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D546C7A1-09EB-422A-AAD9-5C03001B4C78}" xr6:coauthVersionLast="47" xr6:coauthVersionMax="47" xr10:uidLastSave="{00000000-0000-0000-0000-000000000000}"/>
  <bookViews>
    <workbookView xWindow="28680" yWindow="-120" windowWidth="29040" windowHeight="15720" tabRatio="881" firstSheet="4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CDS" sheetId="54" r:id="rId15"/>
    <sheet name="Auxiliar" sheetId="383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P&amp;L'!$A$11:$AD$41</definedName>
    <definedName name="_xlnm._FilterDatabase" localSheetId="8" hidden="1">Options!$A$3:$BD$36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P&amp;L'!$B$2:$AC$41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" calcOnSave="0"/>
  <pivotCaches>
    <pivotCache cacheId="25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AI17" i="1"/>
  <c r="L17" i="1" a="1"/>
  <c r="AB17" i="1"/>
  <c r="I17" i="1" a="1"/>
  <c r="AG17" i="1"/>
  <c r="AC17" i="1" a="1"/>
  <c r="AF17" i="1"/>
  <c r="AC17" i="1" l="1"/>
  <c r="I17" i="1"/>
  <c r="L17" i="1"/>
  <c r="BA10" i="2"/>
  <c r="BB10" i="2"/>
  <c r="T10" i="2" a="1"/>
  <c r="AF10" i="2" a="1"/>
  <c r="D10" i="2" a="1"/>
  <c r="C10" i="2" a="1"/>
  <c r="Q10" i="2" a="1"/>
  <c r="AD10" i="2" a="1"/>
  <c r="P10" i="2" a="1"/>
  <c r="AR10" i="2" a="1"/>
  <c r="F10" i="2" a="1"/>
  <c r="AA10" i="2" a="1"/>
  <c r="L10" i="2" a="1"/>
  <c r="AN10" i="2" a="1"/>
  <c r="G10" i="2" a="1"/>
  <c r="E10" i="2" a="1"/>
  <c r="AG16" i="1"/>
  <c r="AC16" i="1" a="1"/>
  <c r="BC10" i="2" l="1"/>
  <c r="N17" i="1"/>
  <c r="J17" i="1"/>
  <c r="E10" i="2"/>
  <c r="G10" i="2"/>
  <c r="AN10" i="2"/>
  <c r="L10" i="2"/>
  <c r="AA10" i="2"/>
  <c r="F10" i="2"/>
  <c r="AR10" i="2"/>
  <c r="P10" i="2"/>
  <c r="AD10" i="2"/>
  <c r="Q10" i="2"/>
  <c r="C10" i="2"/>
  <c r="D10" i="2"/>
  <c r="AF10" i="2"/>
  <c r="T10" i="2"/>
  <c r="AC16" i="1"/>
  <c r="S10" i="2" a="1"/>
  <c r="AI16" i="1"/>
  <c r="I16" i="1" a="1"/>
  <c r="P17" i="1" l="1"/>
  <c r="O17" i="1"/>
  <c r="R10" i="2"/>
  <c r="S10" i="2"/>
  <c r="AO10" i="2"/>
  <c r="O10" i="2"/>
  <c r="AP10" i="2"/>
  <c r="U10" i="2"/>
  <c r="I16" i="1"/>
  <c r="AC10" i="2" a="1"/>
  <c r="AQ10" i="2" a="1"/>
  <c r="Z10" i="2"/>
  <c r="K16" i="1" a="1"/>
  <c r="AV10" i="2" a="1"/>
  <c r="AD17" i="1" l="1"/>
  <c r="AV10" i="2"/>
  <c r="AT10" i="2"/>
  <c r="AS10" i="2"/>
  <c r="AL10" i="2"/>
  <c r="AM10" i="2"/>
  <c r="X10" i="2"/>
  <c r="Y10" i="2" s="1"/>
  <c r="AB10" i="2"/>
  <c r="M10" i="2"/>
  <c r="AQ10" i="2"/>
  <c r="AC10" i="2"/>
  <c r="AE10" i="2" s="1"/>
  <c r="K16" i="1"/>
  <c r="J16" i="1" s="1"/>
  <c r="L16" i="1" a="1"/>
  <c r="L16" i="1" l="1"/>
  <c r="N16" i="1"/>
  <c r="O16" i="1" s="1"/>
  <c r="AB16" i="1"/>
  <c r="P16" i="1" l="1"/>
  <c r="AD16" i="1" s="1"/>
  <c r="AF16" i="1"/>
  <c r="AG24" i="1"/>
  <c r="AG19" i="1"/>
  <c r="AG18" i="1"/>
  <c r="AG28" i="1"/>
  <c r="AG27" i="1"/>
  <c r="AG21" i="1"/>
  <c r="AG33" i="1"/>
  <c r="AG35" i="1"/>
  <c r="AG39" i="1"/>
  <c r="AG38" i="1"/>
  <c r="AG32" i="1"/>
  <c r="AG31" i="1"/>
  <c r="AG12" i="1"/>
  <c r="AG15" i="1"/>
  <c r="AG13" i="1"/>
  <c r="AG29" i="1"/>
  <c r="AG34" i="1"/>
  <c r="AG37" i="1"/>
  <c r="AG30" i="1"/>
  <c r="AG22" i="1"/>
  <c r="AG36" i="1"/>
  <c r="AG26" i="1"/>
  <c r="AG41" i="1"/>
  <c r="AB26" i="1"/>
  <c r="K23" i="1" a="1"/>
  <c r="K23" i="1"/>
  <c r="E5" i="1" a="1"/>
  <c r="E5" i="1"/>
  <c r="K26" i="1" a="1"/>
  <c r="K26" i="1"/>
  <c r="K20" i="1" a="1"/>
  <c r="K20" i="1"/>
  <c r="AF28" i="1"/>
  <c r="AF27" i="1"/>
  <c r="AB23" i="1"/>
  <c r="AF20" i="1"/>
  <c r="AB36" i="1"/>
  <c r="AF12" i="1"/>
  <c r="AI28" i="1"/>
  <c r="AI27" i="1"/>
  <c r="AC12" i="1"/>
  <c r="AI14" i="1"/>
  <c r="AB28" i="1"/>
  <c r="AB27" i="1"/>
  <c r="AI21" i="1"/>
  <c r="AI26" i="1"/>
  <c r="AC37" i="1" a="1"/>
  <c r="AC37" i="1"/>
  <c r="AC23" i="1" a="1"/>
  <c r="AC23" i="1"/>
  <c r="AF14" i="1"/>
  <c r="K36" i="1" a="1"/>
  <c r="K36" i="1"/>
  <c r="AI12" i="1"/>
  <c r="AC21" i="1"/>
  <c r="AC20" i="1"/>
  <c r="AB29" i="1"/>
  <c r="AC28" i="1" a="1"/>
  <c r="AC28" i="1"/>
  <c r="AC27" i="1" a="1"/>
  <c r="AC27" i="1"/>
  <c r="AF26" i="1"/>
  <c r="AF23" i="1"/>
  <c r="AC29" i="1" a="1"/>
  <c r="AC29" i="1"/>
  <c r="AB21" i="1"/>
  <c r="AI37" i="1"/>
  <c r="K12" i="1" a="1"/>
  <c r="K12" i="1"/>
  <c r="K37" i="1" a="1"/>
  <c r="K37" i="1"/>
  <c r="AC14" i="1"/>
  <c r="K29" i="1" a="1"/>
  <c r="K29" i="1"/>
  <c r="AF21" i="1"/>
  <c r="AF36" i="1"/>
  <c r="AB20" i="1"/>
  <c r="K10" i="1"/>
  <c r="AB14" i="1"/>
  <c r="AB37" i="1"/>
  <c r="AF37" i="1"/>
  <c r="AI29" i="1"/>
  <c r="AI36" i="1"/>
  <c r="K14" i="1" a="1"/>
  <c r="K14" i="1"/>
  <c r="AC36" i="1" a="1"/>
  <c r="AC36" i="1"/>
  <c r="K21" i="1" a="1"/>
  <c r="K21" i="1"/>
  <c r="AI20" i="1"/>
  <c r="AC26" i="1" a="1"/>
  <c r="AC26" i="1"/>
  <c r="AI23" i="1"/>
  <c r="AB12" i="1"/>
  <c r="AF29" i="1"/>
  <c r="K27" i="1" a="1"/>
  <c r="K27" i="1"/>
  <c r="AF39" i="1"/>
  <c r="AF38" i="1"/>
  <c r="AC30" i="1" a="1"/>
  <c r="AC30" i="1"/>
  <c r="K30" i="1" a="1"/>
  <c r="K30" i="1"/>
  <c r="AB22" i="1"/>
  <c r="AB13" i="1"/>
  <c r="AF30" i="1"/>
  <c r="K38" i="1" a="1"/>
  <c r="K38" i="1"/>
  <c r="AC39" i="1" a="1"/>
  <c r="AC39" i="1"/>
  <c r="AC38" i="1" a="1"/>
  <c r="AC38" i="1"/>
  <c r="AC22" i="1" a="1"/>
  <c r="AC22" i="1"/>
  <c r="AI22" i="1"/>
  <c r="AI39" i="1"/>
  <c r="AI38" i="1"/>
  <c r="AB30" i="1"/>
  <c r="AI13" i="1"/>
  <c r="AF13" i="1"/>
  <c r="AC13" i="1"/>
  <c r="AF22" i="1"/>
  <c r="K22" i="1" a="1"/>
  <c r="K22" i="1"/>
  <c r="K13" i="1" a="1"/>
  <c r="K13" i="1"/>
  <c r="AI30" i="1"/>
  <c r="AB39" i="1"/>
  <c r="AB38" i="1"/>
  <c r="E6" i="1" a="1"/>
  <c r="E6" i="1"/>
  <c r="K3" i="1" a="1"/>
  <c r="K3" i="1"/>
  <c r="K9" i="1" a="1"/>
  <c r="K9" i="1"/>
  <c r="K1" i="1"/>
  <c r="K2" i="1"/>
  <c r="E8" i="1" a="1"/>
  <c r="E8" i="1"/>
  <c r="K8" i="1" a="1"/>
  <c r="K8" i="1"/>
  <c r="E4" i="1" a="1"/>
  <c r="E4" i="1"/>
  <c r="K4" i="1" a="1"/>
  <c r="K4" i="1"/>
  <c r="X3" i="1"/>
  <c r="K6" i="1" a="1"/>
  <c r="K6" i="1"/>
  <c r="AI41" i="1"/>
  <c r="AC40" i="1"/>
  <c r="K40" i="1" a="1"/>
  <c r="K40" i="1"/>
  <c r="AC41" i="1"/>
  <c r="AC19" i="1" a="1"/>
  <c r="AC19" i="1"/>
  <c r="AC18" i="1" a="1"/>
  <c r="AC18" i="1"/>
  <c r="K41" i="1" a="1"/>
  <c r="K41" i="1"/>
  <c r="AI40" i="1"/>
  <c r="AI19" i="1"/>
  <c r="AI18" i="1"/>
  <c r="K5" i="1" a="1"/>
  <c r="K5" i="1"/>
  <c r="K18" i="1" a="1"/>
  <c r="K18" i="1"/>
  <c r="K24" i="1" a="1"/>
  <c r="K24" i="1"/>
  <c r="E9" i="1"/>
  <c r="K34" i="1" a="1"/>
  <c r="K34" i="1"/>
  <c r="E2" i="1" a="1"/>
  <c r="E2" i="1"/>
  <c r="AI25" i="1"/>
  <c r="K25" i="1" a="1"/>
  <c r="K25" i="1"/>
  <c r="E7" i="1" a="1"/>
  <c r="E7" i="1"/>
  <c r="AI33" i="1"/>
  <c r="AI34" i="1"/>
  <c r="K33" i="1" a="1"/>
  <c r="K33" i="1"/>
  <c r="E3" i="1"/>
  <c r="AI24" i="1"/>
  <c r="AG14" i="1"/>
  <c r="AG25" i="1"/>
  <c r="AG20" i="1"/>
  <c r="AG23" i="1"/>
  <c r="AG40" i="1"/>
  <c r="K31" i="1" a="1"/>
  <c r="K31" i="1"/>
  <c r="E1" i="1"/>
  <c r="AI32" i="1"/>
  <c r="AI31" i="1"/>
  <c r="AC32" i="1" a="1"/>
  <c r="AC32" i="1"/>
  <c r="AC31" i="1" a="1"/>
  <c r="AC31" i="1"/>
  <c r="AC35" i="1" a="1"/>
  <c r="AC35" i="1"/>
  <c r="AI35" i="1"/>
  <c r="AB32" i="1"/>
  <c r="AB31" i="1"/>
  <c r="AB35" i="1"/>
  <c r="K35" i="1" a="1"/>
  <c r="K35" i="1"/>
  <c r="AC15" i="1" a="1"/>
  <c r="AC15" i="1"/>
  <c r="AI15" i="1"/>
  <c r="K7" i="1"/>
  <c r="K15" i="1" a="1"/>
  <c r="K15" i="1"/>
  <c r="AB15" i="1"/>
  <c r="E10" i="1"/>
  <c r="AF10" i="1" a="1"/>
  <c r="AF10" i="1"/>
  <c r="L26" i="1" a="1"/>
  <c r="L26" i="1"/>
  <c r="I30" i="1" a="1"/>
  <c r="I30" i="1"/>
  <c r="I25" i="1" a="1"/>
  <c r="I25" i="1"/>
  <c r="I15" i="1" a="1"/>
  <c r="I15" i="1"/>
  <c r="I29" i="1" a="1"/>
  <c r="I29" i="1"/>
  <c r="I23" i="1" a="1"/>
  <c r="I23" i="1"/>
  <c r="I36" i="1" a="1"/>
  <c r="I36" i="1"/>
  <c r="I22" i="1" a="1"/>
  <c r="I22" i="1"/>
  <c r="I34" i="1" a="1"/>
  <c r="I34" i="1"/>
  <c r="I33" i="1" a="1"/>
  <c r="I33" i="1"/>
  <c r="I24" i="1" a="1"/>
  <c r="I24" i="1"/>
  <c r="I2" i="1" a="1"/>
  <c r="I2" i="1"/>
  <c r="I1" i="1" a="1"/>
  <c r="I1" i="1"/>
  <c r="I20" i="1" a="1"/>
  <c r="I20" i="1"/>
  <c r="C8" i="1" a="1"/>
  <c r="C8" i="1"/>
  <c r="I35" i="1" a="1"/>
  <c r="I35" i="1"/>
  <c r="C7" i="1" a="1"/>
  <c r="C7" i="1"/>
  <c r="C2" i="1" a="1"/>
  <c r="C2" i="1"/>
  <c r="C9" i="1" a="1"/>
  <c r="C9" i="1"/>
  <c r="I13" i="1" a="1"/>
  <c r="I13" i="1"/>
  <c r="I4" i="1" a="1"/>
  <c r="I4" i="1"/>
  <c r="C4" i="1" a="1"/>
  <c r="C4" i="1"/>
  <c r="I12" i="1" a="1"/>
  <c r="I12" i="1"/>
  <c r="I37" i="1" a="1"/>
  <c r="I37" i="1"/>
  <c r="I9" i="1" a="1"/>
  <c r="I9" i="1"/>
  <c r="I21" i="1" a="1"/>
  <c r="I21" i="1"/>
  <c r="C6" i="1" a="1"/>
  <c r="C6" i="1"/>
  <c r="AC3" i="1" a="1"/>
  <c r="AC3" i="1"/>
  <c r="I6" i="1" a="1"/>
  <c r="I6" i="1"/>
  <c r="C3" i="1" a="1"/>
  <c r="C3" i="1"/>
  <c r="C5" i="1" a="1"/>
  <c r="C5" i="1"/>
  <c r="I7" i="1" a="1"/>
  <c r="I7" i="1"/>
  <c r="I8" i="1" a="1"/>
  <c r="I8" i="1"/>
  <c r="I26" i="1" a="1"/>
  <c r="I26" i="1"/>
  <c r="I41" i="1" a="1"/>
  <c r="I41" i="1"/>
  <c r="I3" i="1" a="1"/>
  <c r="I3" i="1"/>
  <c r="I10" i="1" a="1"/>
  <c r="I10" i="1"/>
  <c r="C10" i="1" a="1"/>
  <c r="C10" i="1"/>
  <c r="C1" i="1" a="1"/>
  <c r="C1" i="1"/>
  <c r="I5" i="1" a="1"/>
  <c r="I5" i="1"/>
  <c r="I40" i="1" a="1"/>
  <c r="I40" i="1"/>
  <c r="AB2" i="1" a="1"/>
  <c r="AB2" i="1"/>
  <c r="AD2" i="1" a="1"/>
  <c r="AD2" i="1"/>
  <c r="AC2" i="1" a="1"/>
  <c r="AC2" i="1"/>
  <c r="I39" i="1" a="1"/>
  <c r="I39" i="1"/>
  <c r="I28" i="1" a="1"/>
  <c r="I28" i="1"/>
  <c r="I19" i="1" a="1"/>
  <c r="I19" i="1"/>
  <c r="I32" i="1" a="1"/>
  <c r="I32" i="1"/>
  <c r="L19" i="1" a="1"/>
  <c r="L28" i="1" a="1"/>
  <c r="L32" i="1" a="1"/>
  <c r="AF19" i="1"/>
  <c r="AF32" i="1"/>
  <c r="AB19" i="1"/>
  <c r="L32" i="1" l="1"/>
  <c r="L28" i="1"/>
  <c r="L19" i="1"/>
  <c r="I38" i="1" a="1"/>
  <c r="J32" i="1" l="1"/>
  <c r="N32" i="1"/>
  <c r="N19" i="1"/>
  <c r="J19" i="1"/>
  <c r="N28" i="1"/>
  <c r="J28" i="1"/>
  <c r="I38" i="1"/>
  <c r="T19" i="1" l="1"/>
  <c r="T32" i="1"/>
  <c r="T28" i="1"/>
  <c r="J5" i="2" l="1"/>
  <c r="K5" i="2" s="1"/>
  <c r="J6" i="2"/>
  <c r="K6" i="2" s="1"/>
  <c r="J7" i="2"/>
  <c r="K7" i="2" s="1"/>
  <c r="J8" i="2"/>
  <c r="K8" i="2" s="1"/>
  <c r="J9" i="2"/>
  <c r="K9" i="2" s="1"/>
  <c r="J11" i="2"/>
  <c r="K11" i="2" s="1"/>
  <c r="J12" i="2"/>
  <c r="K12" i="2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29" i="2"/>
  <c r="K29" i="2" s="1"/>
  <c r="J30" i="2"/>
  <c r="K30" i="2" s="1"/>
  <c r="J31" i="2"/>
  <c r="K31" i="2" s="1"/>
  <c r="J32" i="2"/>
  <c r="K32" i="2" s="1"/>
  <c r="J33" i="2"/>
  <c r="K33" i="2" s="1"/>
  <c r="L39" i="1" a="1"/>
  <c r="J39" i="1" l="1"/>
  <c r="L39" i="1"/>
  <c r="N39" i="1" l="1"/>
  <c r="AA39" i="1" l="1"/>
  <c r="Z39" i="1"/>
  <c r="AB249" i="89" a="1"/>
  <c r="AB249" i="89"/>
  <c r="AB235" i="89" a="1"/>
  <c r="AB235" i="89"/>
  <c r="AB63" i="89" a="1"/>
  <c r="AB63" i="89"/>
  <c r="AB62" i="89" a="1"/>
  <c r="AB62" i="89"/>
  <c r="AB56" i="89" a="1"/>
  <c r="AB56" i="89"/>
  <c r="AB55" i="89" a="1"/>
  <c r="AB55" i="89"/>
  <c r="AB34" i="89" a="1"/>
  <c r="AB34" i="89"/>
  <c r="AB33" i="89" a="1"/>
  <c r="AB33" i="89"/>
  <c r="AB76" i="89" a="1"/>
  <c r="AB76" i="89"/>
  <c r="AB75" i="89" a="1"/>
  <c r="AB75" i="89"/>
  <c r="AB69" i="89" a="1"/>
  <c r="AB69" i="89"/>
  <c r="AB68" i="89" a="1"/>
  <c r="AB68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B8" i="89" a="1"/>
  <c r="AB8" i="89"/>
  <c r="AB7" i="89" a="1"/>
  <c r="AB7" i="89"/>
  <c r="AB20" i="89" a="1"/>
  <c r="AB20" i="89"/>
  <c r="AB197" i="89" a="1"/>
  <c r="AB197" i="89"/>
  <c r="AB196" i="89" a="1"/>
  <c r="AB196" i="89"/>
  <c r="AB195" i="89" a="1"/>
  <c r="AB195" i="89"/>
  <c r="AB19" i="89" a="1"/>
  <c r="AB19" i="89"/>
  <c r="AB14" i="89" a="1"/>
  <c r="AB14" i="89"/>
  <c r="AB13" i="89" a="1"/>
  <c r="AB13" i="89"/>
  <c r="AB188" i="89" a="1"/>
  <c r="AB188" i="89"/>
  <c r="AB187" i="89" a="1"/>
  <c r="AB187" i="89"/>
  <c r="AB186" i="89" a="1"/>
  <c r="AB186" i="89"/>
  <c r="AB254" i="89" a="1"/>
  <c r="AB254" i="89"/>
  <c r="AB225" i="89" a="1"/>
  <c r="AB225" i="89"/>
  <c r="AB224" i="89" a="1"/>
  <c r="AB224" i="89"/>
  <c r="AB223" i="89" a="1"/>
  <c r="AB223" i="89"/>
  <c r="AB222" i="89" a="1"/>
  <c r="AB222" i="89"/>
  <c r="AB252" i="89" a="1"/>
  <c r="AB252" i="89"/>
  <c r="AB233" i="89" a="1"/>
  <c r="AB233" i="89"/>
  <c r="AB180" i="89" a="1"/>
  <c r="AB180" i="89"/>
  <c r="AB179" i="89" a="1"/>
  <c r="AB179" i="89"/>
  <c r="AB171" i="89" a="1"/>
  <c r="AB171" i="89"/>
  <c r="AB170" i="89" a="1"/>
  <c r="AB170" i="89"/>
  <c r="AB169" i="89" a="1"/>
  <c r="AB169" i="89"/>
  <c r="AB253" i="89" a="1"/>
  <c r="AB253" i="89"/>
  <c r="AB243" i="89" a="1"/>
  <c r="AB243" i="89"/>
  <c r="AB242" i="89" a="1"/>
  <c r="AB242" i="89"/>
  <c r="AB96" i="89" a="1"/>
  <c r="AB96" i="89"/>
  <c r="AB95" i="89" a="1"/>
  <c r="AB95" i="89"/>
  <c r="AB102" i="89" a="1"/>
  <c r="AB102" i="89"/>
  <c r="AB101" i="89" a="1"/>
  <c r="AB101" i="89"/>
  <c r="R123" i="89" a="1"/>
  <c r="R123" i="89"/>
  <c r="R122" i="89" a="1"/>
  <c r="R122" i="89"/>
  <c r="R116" i="89" a="1"/>
  <c r="R116" i="89"/>
  <c r="R115" i="89" a="1"/>
  <c r="R115" i="89"/>
  <c r="AB251" i="89" a="1"/>
  <c r="AB251" i="89"/>
  <c r="AB234" i="89" a="1"/>
  <c r="AB234" i="89"/>
  <c r="AB40" i="89" a="1"/>
  <c r="AB40" i="89"/>
  <c r="AB81" i="89" a="1"/>
  <c r="AB81" i="89"/>
  <c r="AB116" i="89" a="1"/>
  <c r="AB116" i="89"/>
  <c r="AB115" i="89" a="1"/>
  <c r="AB115" i="89"/>
  <c r="AB178" i="89" a="1"/>
  <c r="AB178" i="89"/>
  <c r="AB154" i="89" a="1"/>
  <c r="AB154" i="89"/>
  <c r="AB153" i="89" a="1"/>
  <c r="AB153" i="89"/>
  <c r="R96" i="89" a="1"/>
  <c r="R96" i="89"/>
  <c r="R95" i="89" a="1"/>
  <c r="R95" i="89"/>
  <c r="R102" i="89" a="1"/>
  <c r="R102" i="89"/>
  <c r="R101" i="89" a="1"/>
  <c r="R101" i="89"/>
  <c r="AB123" i="89" a="1"/>
  <c r="AB123" i="89"/>
  <c r="AB122" i="89" a="1"/>
  <c r="AB122" i="89"/>
  <c r="AB138" i="89" a="1"/>
  <c r="AB138" i="89"/>
  <c r="AB137" i="89" a="1"/>
  <c r="AB137" i="89"/>
  <c r="AB136" i="89" a="1"/>
  <c r="AB136" i="89"/>
  <c r="AB129" i="89" a="1"/>
  <c r="AB129" i="89"/>
  <c r="AB250" i="89" a="1"/>
  <c r="AB250" i="89"/>
  <c r="AB90" i="89" a="1"/>
  <c r="AB90" i="89"/>
  <c r="AB89" i="89" a="1"/>
  <c r="AB89" i="89"/>
  <c r="AB39" i="89" a="1"/>
  <c r="AB39" i="89"/>
  <c r="R145" i="89" a="1"/>
  <c r="R145" i="89"/>
  <c r="R144" i="89" a="1"/>
  <c r="R144" i="89"/>
  <c r="R90" i="89" a="1"/>
  <c r="R90" i="89"/>
  <c r="R89" i="89" a="1"/>
  <c r="R89" i="89"/>
  <c r="AB160" i="89" a="1"/>
  <c r="AB160" i="89"/>
  <c r="AB50" i="89" a="1"/>
  <c r="AB50" i="89"/>
  <c r="AB49" i="89" a="1"/>
  <c r="AB49" i="89"/>
  <c r="R138" i="89" a="1"/>
  <c r="R138" i="89"/>
  <c r="R137" i="89" a="1"/>
  <c r="R137" i="89"/>
  <c r="R136" i="89" a="1"/>
  <c r="R136" i="89"/>
  <c r="AB145" i="89" a="1"/>
  <c r="AB145" i="89"/>
  <c r="AB144" i="89" a="1"/>
  <c r="AB144" i="89"/>
  <c r="AB109" i="89" a="1"/>
  <c r="AB109" i="89"/>
  <c r="AB108" i="89" a="1"/>
  <c r="AB108" i="89"/>
  <c r="S253" i="89" a="1"/>
  <c r="S253" i="89"/>
  <c r="R253" i="89" a="1"/>
  <c r="S225" i="89" a="1"/>
  <c r="R253" i="89" l="1"/>
  <c r="S225" i="89"/>
  <c r="R225" i="89" a="1"/>
  <c r="S160" i="89" a="1"/>
  <c r="R225" i="89" l="1"/>
  <c r="S160" i="89"/>
  <c r="R160" i="89" a="1"/>
  <c r="S109" i="89" a="1"/>
  <c r="R160" i="89" l="1"/>
  <c r="S109" i="89"/>
  <c r="R109" i="89" a="1"/>
  <c r="S101" i="89" a="1"/>
  <c r="R109" i="89" l="1"/>
  <c r="S101" i="89"/>
  <c r="S39" i="89" a="1"/>
  <c r="S39" i="89"/>
  <c r="R39" i="89" a="1"/>
  <c r="S40" i="89" a="1"/>
  <c r="R39" i="89" l="1"/>
  <c r="S40" i="89"/>
  <c r="R40" i="89" a="1"/>
  <c r="S234" i="89" a="1"/>
  <c r="R40" i="89" l="1"/>
  <c r="S234" i="89"/>
  <c r="R234" i="89" a="1"/>
  <c r="S129" i="89" a="1"/>
  <c r="R234" i="89" l="1"/>
  <c r="S129" i="89"/>
  <c r="R129" i="89" a="1"/>
  <c r="S186" i="89" a="1"/>
  <c r="R129" i="89" l="1"/>
  <c r="S186" i="89"/>
  <c r="R186" i="89" a="1"/>
  <c r="S145" i="89" a="1"/>
  <c r="R186" i="89" l="1"/>
  <c r="S145" i="89"/>
  <c r="S242" i="89" a="1"/>
  <c r="S242" i="89"/>
  <c r="R242" i="89" a="1"/>
  <c r="S81" i="89" a="1"/>
  <c r="R242" i="89" l="1"/>
  <c r="S81" i="89"/>
  <c r="R81" i="89" a="1"/>
  <c r="S108" i="89" a="1"/>
  <c r="R81" i="89" l="1"/>
  <c r="S108" i="89"/>
  <c r="R108" i="89" a="1"/>
  <c r="S49" i="89" a="1"/>
  <c r="R108" i="89" l="1"/>
  <c r="S49" i="89"/>
  <c r="R49" i="89" a="1"/>
  <c r="S116" i="89" a="1"/>
  <c r="R49" i="89" l="1"/>
  <c r="S116" i="89"/>
  <c r="S250" i="89" a="1"/>
  <c r="S250" i="89"/>
  <c r="R250" i="89" a="1"/>
  <c r="S178" i="89" a="1"/>
  <c r="R250" i="89" l="1"/>
  <c r="S178" i="89"/>
  <c r="R178" i="89" a="1"/>
  <c r="S90" i="89" a="1"/>
  <c r="R178" i="89" l="1"/>
  <c r="S90" i="89"/>
  <c r="S154" i="89" a="1"/>
  <c r="S154" i="89"/>
  <c r="R154" i="89" a="1"/>
  <c r="S123" i="89" a="1"/>
  <c r="R154" i="89" l="1"/>
  <c r="S123" i="89"/>
  <c r="S138" i="89" a="1"/>
  <c r="S138" i="89"/>
  <c r="S235" i="89" a="1"/>
  <c r="S235" i="89"/>
  <c r="R235" i="89" a="1"/>
  <c r="S179" i="89" a="1"/>
  <c r="R235" i="89" l="1"/>
  <c r="S179" i="89"/>
  <c r="R179" i="89" a="1"/>
  <c r="O243" i="89" a="1"/>
  <c r="R179" i="89" l="1"/>
  <c r="O243" i="89"/>
  <c r="T224" i="89" a="1"/>
  <c r="T224" i="89"/>
  <c r="V169" i="89" a="1"/>
  <c r="V169" i="89"/>
  <c r="V233" i="89" a="1"/>
  <c r="V233" i="89"/>
  <c r="V224" i="89" a="1"/>
  <c r="V224" i="89"/>
  <c r="V68" i="89" a="1"/>
  <c r="V68" i="89"/>
  <c r="O39" i="89" a="1"/>
  <c r="O39" i="89"/>
  <c r="T254" i="89" a="1"/>
  <c r="T254" i="89"/>
  <c r="C249" i="89" a="1"/>
  <c r="C249" i="89"/>
  <c r="T233" i="89" a="1"/>
  <c r="T233" i="89"/>
  <c r="Z243" i="89" a="1"/>
  <c r="Z243" i="89"/>
  <c r="AA243" i="89" a="1"/>
  <c r="AA243" i="89"/>
  <c r="C68" i="89" a="1"/>
  <c r="C68" i="89"/>
  <c r="C169" i="89" a="1"/>
  <c r="C169" i="89"/>
  <c r="T39" i="89" a="1"/>
  <c r="T39" i="89"/>
  <c r="V39" i="89" a="1"/>
  <c r="V39" i="89"/>
  <c r="C188" i="89" a="1"/>
  <c r="C188" i="89"/>
  <c r="C27" i="89" a="1"/>
  <c r="C27" i="89"/>
  <c r="T68" i="89" a="1"/>
  <c r="T68" i="89"/>
  <c r="C233" i="89" a="1"/>
  <c r="C233" i="89"/>
  <c r="O233" i="89" a="1"/>
  <c r="O233" i="89"/>
  <c r="C243" i="89" a="1"/>
  <c r="C243" i="89"/>
  <c r="T249" i="89" a="1"/>
  <c r="T249" i="89"/>
  <c r="C224" i="89" a="1"/>
  <c r="C224" i="89"/>
  <c r="O68" i="89" a="1"/>
  <c r="O68" i="89"/>
  <c r="T188" i="89" a="1"/>
  <c r="T188" i="89"/>
  <c r="O249" i="89" a="1"/>
  <c r="O249" i="89"/>
  <c r="V254" i="89" a="1"/>
  <c r="V254" i="89"/>
  <c r="O254" i="89" a="1"/>
  <c r="O254" i="89"/>
  <c r="T243" i="89" a="1"/>
  <c r="T243" i="89"/>
  <c r="O169" i="89" a="1"/>
  <c r="O169" i="89"/>
  <c r="T27" i="89" a="1"/>
  <c r="T27" i="89" l="1"/>
  <c r="Z254" i="89" a="1"/>
  <c r="Z254" i="89"/>
  <c r="AA254" i="89" a="1"/>
  <c r="AA254" i="89"/>
  <c r="O27" i="89" a="1"/>
  <c r="O27" i="89"/>
  <c r="V27" i="89" a="1"/>
  <c r="V27" i="89"/>
  <c r="O188" i="89" a="1"/>
  <c r="O188" i="89"/>
  <c r="Z249" i="89" a="1"/>
  <c r="Z249" i="89" l="1"/>
  <c r="AA249" i="89" a="1"/>
  <c r="AA249" i="89"/>
  <c r="C254" i="89" a="1"/>
  <c r="C254" i="89"/>
  <c r="V188" i="89" a="1"/>
  <c r="V188" i="89"/>
  <c r="Z27" i="89" a="1"/>
  <c r="Z27" i="89"/>
  <c r="AA27" i="89" a="1"/>
  <c r="AA27" i="89"/>
  <c r="V249" i="89" a="1"/>
  <c r="V249" i="89"/>
  <c r="O224" i="89" a="1"/>
  <c r="O224" i="89"/>
  <c r="V243" i="89" a="1"/>
  <c r="V243" i="89"/>
  <c r="T169" i="89" a="1"/>
  <c r="T169" i="89"/>
  <c r="C39" i="89" a="1"/>
  <c r="C39" i="89"/>
  <c r="C50" i="89" a="1"/>
  <c r="C50" i="89"/>
  <c r="O63" i="89" a="1"/>
  <c r="O63" i="89"/>
  <c r="V252" i="89" a="1"/>
  <c r="V252" i="89"/>
  <c r="T20" i="89" a="1"/>
  <c r="T20" i="89"/>
  <c r="T242" i="89" a="1"/>
  <c r="T242" i="89"/>
  <c r="T62" i="89" a="1"/>
  <c r="T62" i="89"/>
  <c r="O251" i="89" a="1"/>
  <c r="O251" i="89"/>
  <c r="O171" i="89" a="1"/>
  <c r="O171" i="89"/>
  <c r="V63" i="89" a="1"/>
  <c r="V63" i="89"/>
  <c r="O62" i="89" a="1"/>
  <c r="O62" i="89"/>
  <c r="T251" i="89" a="1"/>
  <c r="T251" i="89"/>
  <c r="V171" i="89" a="1"/>
  <c r="V171" i="89"/>
  <c r="O252" i="89" a="1"/>
  <c r="O252" i="89"/>
  <c r="V62" i="89" a="1"/>
  <c r="V62" i="89"/>
  <c r="C187" i="89" a="1"/>
  <c r="C187" i="89"/>
  <c r="V34" i="89" a="1"/>
  <c r="V34" i="89"/>
  <c r="T63" i="89" a="1"/>
  <c r="T63" i="89"/>
  <c r="V20" i="89" a="1"/>
  <c r="V20" i="89"/>
  <c r="C20" i="89" a="1"/>
  <c r="C20" i="89"/>
  <c r="C242" i="89" a="1"/>
  <c r="C242" i="89"/>
  <c r="T252" i="89" a="1"/>
  <c r="T252" i="89"/>
  <c r="O20" i="89" a="1"/>
  <c r="O20" i="89"/>
  <c r="O34" i="89" a="1"/>
  <c r="O34" i="89"/>
  <c r="C252" i="89" a="1"/>
  <c r="C252" i="89"/>
  <c r="O50" i="89" a="1"/>
  <c r="O50" i="89"/>
  <c r="V251" i="89" a="1"/>
  <c r="V251" i="89" l="1"/>
  <c r="C251" i="89" a="1"/>
  <c r="C251" i="89"/>
  <c r="O242" i="89" a="1"/>
  <c r="O242" i="89"/>
  <c r="V50" i="89" a="1"/>
  <c r="V50" i="89"/>
  <c r="Z252" i="89" a="1"/>
  <c r="Z252" i="89"/>
  <c r="AA252" i="89" a="1"/>
  <c r="AA252" i="89"/>
  <c r="T187" i="89" a="1"/>
  <c r="T187" i="89"/>
  <c r="C34" i="89" a="1"/>
  <c r="C34" i="89"/>
  <c r="T50" i="89" a="1"/>
  <c r="T50" i="89"/>
  <c r="C63" i="89" a="1"/>
  <c r="C63" i="89"/>
  <c r="O187" i="89" a="1"/>
  <c r="O187" i="89"/>
  <c r="Z242" i="89" a="1"/>
  <c r="Z242" i="89" l="1"/>
  <c r="AA242" i="89" a="1"/>
  <c r="AA242" i="89"/>
  <c r="C62" i="89" a="1"/>
  <c r="C62" i="89"/>
  <c r="V242" i="89" a="1"/>
  <c r="V242" i="89"/>
  <c r="C171" i="89" a="1"/>
  <c r="C171" i="89"/>
  <c r="Z251" i="89" a="1"/>
  <c r="Z251" i="89"/>
  <c r="AA251" i="89" a="1"/>
  <c r="AA251" i="89"/>
  <c r="T34" i="89" a="1"/>
  <c r="T34" i="89"/>
  <c r="T171" i="89" a="1"/>
  <c r="T171" i="89"/>
  <c r="V187" i="89" a="1"/>
  <c r="V187" i="89"/>
  <c r="C235" i="89" a="1"/>
  <c r="C235" i="89"/>
  <c r="C19" i="89"/>
  <c r="V49" i="89" a="1"/>
  <c r="V49" i="89"/>
  <c r="V19" i="89"/>
  <c r="V81" i="89" a="1"/>
  <c r="V81" i="89"/>
  <c r="C178" i="89" a="1"/>
  <c r="C178" i="89"/>
  <c r="AA253" i="89" a="1"/>
  <c r="AA253" i="89"/>
  <c r="O81" i="89" a="1"/>
  <c r="O81" i="89"/>
  <c r="V253" i="89" a="1"/>
  <c r="V253" i="89"/>
  <c r="C186" i="89" a="1"/>
  <c r="C186" i="89"/>
  <c r="V33" i="89" a="1"/>
  <c r="V33" i="89"/>
  <c r="O250" i="89" a="1"/>
  <c r="O250" i="89"/>
  <c r="O253" i="89" a="1"/>
  <c r="O253" i="89"/>
  <c r="Z253" i="89" a="1"/>
  <c r="O26" i="89" a="1"/>
  <c r="Z253" i="89" l="1"/>
  <c r="O26" i="89"/>
  <c r="T26" i="89" a="1"/>
  <c r="T26" i="89"/>
  <c r="Z26" i="89" a="1"/>
  <c r="Z26" i="89"/>
  <c r="AA26" i="89" a="1"/>
  <c r="AA26" i="89"/>
  <c r="V26" i="89" a="1"/>
  <c r="V26" i="89"/>
  <c r="V235" i="89" a="1"/>
  <c r="V235" i="89"/>
  <c r="O235" i="89" a="1"/>
  <c r="O235" i="89"/>
  <c r="O186" i="89" a="1"/>
  <c r="O186" i="89"/>
  <c r="C33" i="89" a="1"/>
  <c r="C33" i="89" l="1"/>
  <c r="T81" i="89" a="1"/>
  <c r="T81" i="89"/>
  <c r="Z250" i="89" a="1"/>
  <c r="Z250" i="89"/>
  <c r="AA250" i="89" a="1"/>
  <c r="AA250" i="89"/>
  <c r="C49" i="89" a="1"/>
  <c r="C49" i="89"/>
  <c r="T49" i="89" a="1"/>
  <c r="T49" i="89"/>
  <c r="T235" i="89" a="1"/>
  <c r="T235" i="89"/>
  <c r="T178" i="89" a="1"/>
  <c r="T178" i="89"/>
  <c r="O178" i="89" a="1"/>
  <c r="O178" i="89"/>
  <c r="V186" i="89" a="1"/>
  <c r="V186" i="89"/>
  <c r="T250" i="89" a="1"/>
  <c r="T250" i="89"/>
  <c r="V250" i="89" a="1"/>
  <c r="V250" i="89"/>
  <c r="O33" i="89" a="1"/>
  <c r="O33" i="89"/>
  <c r="C253" i="89" a="1"/>
  <c r="C253" i="89" l="1"/>
  <c r="T19" i="89"/>
  <c r="C26" i="89" a="1"/>
  <c r="C26" i="89"/>
  <c r="O49" i="89" a="1"/>
  <c r="O49" i="89"/>
  <c r="V178" i="89" a="1"/>
  <c r="V178" i="89" l="1"/>
  <c r="T186" i="89" a="1"/>
  <c r="T186" i="89"/>
  <c r="C81" i="89" a="1"/>
  <c r="C81" i="89"/>
  <c r="T253" i="89" a="1"/>
  <c r="T253" i="89"/>
  <c r="O19" i="89"/>
  <c r="T33" i="89" a="1"/>
  <c r="T33" i="89" l="1"/>
  <c r="C250" i="89" a="1"/>
  <c r="C250" i="89"/>
  <c r="D24" i="2" a="1"/>
  <c r="D24" i="2"/>
  <c r="AQ24" i="2" a="1"/>
  <c r="AC24" i="2" a="1"/>
  <c r="E11" i="2" a="1"/>
  <c r="AC24" i="2" l="1"/>
  <c r="AQ24" i="2"/>
  <c r="E11" i="2"/>
  <c r="F11" i="2" a="1"/>
  <c r="F11" i="2"/>
  <c r="D25" i="2" a="1"/>
  <c r="D25" i="2"/>
  <c r="AQ25" i="2" a="1"/>
  <c r="AC25" i="2" a="1"/>
  <c r="C17" i="2" a="1"/>
  <c r="AC25" i="2" l="1"/>
  <c r="AQ25" i="2"/>
  <c r="C17" i="2"/>
  <c r="D15" i="2" a="1"/>
  <c r="D15" i="2"/>
  <c r="AQ15" i="2" a="1"/>
  <c r="AC15" i="2" a="1"/>
  <c r="D18" i="2" a="1"/>
  <c r="AC15" i="2" l="1"/>
  <c r="AQ15" i="2"/>
  <c r="D18" i="2"/>
  <c r="AC18" i="2" a="1"/>
  <c r="AQ18" i="2" a="1"/>
  <c r="F18" i="2" a="1"/>
  <c r="AQ18" i="2" l="1"/>
  <c r="AC18" i="2"/>
  <c r="F18" i="2"/>
  <c r="AA23" i="2" a="1"/>
  <c r="AA23" i="2" l="1"/>
  <c r="E24" i="2" a="1"/>
  <c r="E24" i="2"/>
  <c r="T11" i="2" a="1"/>
  <c r="T11" i="2"/>
  <c r="F15" i="2" a="1"/>
  <c r="F15" i="2"/>
  <c r="AA11" i="2" a="1"/>
  <c r="AA11" i="2"/>
  <c r="AD15" i="2" a="1"/>
  <c r="AD15" i="2"/>
  <c r="F14" i="2" a="1"/>
  <c r="F14" i="2"/>
  <c r="C4" i="2" a="1"/>
  <c r="C4" i="2"/>
  <c r="AD18" i="2" a="1"/>
  <c r="AD18" i="2"/>
  <c r="AD20" i="2" a="1"/>
  <c r="AD20" i="2"/>
  <c r="F20" i="2" a="1"/>
  <c r="F20" i="2"/>
  <c r="C24" i="2" a="1"/>
  <c r="C24" i="2"/>
  <c r="AD17" i="2" a="1"/>
  <c r="AD17" i="2"/>
  <c r="C15" i="2" a="1"/>
  <c r="C15" i="2"/>
  <c r="AA14" i="2" a="1"/>
  <c r="AA14" i="2"/>
  <c r="F17" i="2" a="1"/>
  <c r="F17" i="2"/>
  <c r="E23" i="2" a="1"/>
  <c r="E23" i="2"/>
  <c r="AA24" i="2" a="1"/>
  <c r="AA24" i="2"/>
  <c r="E25" i="2" a="1"/>
  <c r="E25" i="2"/>
  <c r="AR18" i="2" a="1"/>
  <c r="AR18" i="2"/>
  <c r="AA4" i="2" a="1"/>
  <c r="AA4" i="2"/>
  <c r="AD25" i="2" a="1"/>
  <c r="AD25" i="2"/>
  <c r="T18" i="2" a="1"/>
  <c r="T18" i="2"/>
  <c r="E15" i="2" a="1"/>
  <c r="E15" i="2"/>
  <c r="C11" i="2" a="1"/>
  <c r="C11" i="2"/>
  <c r="D11" i="2" a="1"/>
  <c r="D11" i="2"/>
  <c r="Z11" i="2"/>
  <c r="AV11" i="2" s="1" a="1"/>
  <c r="AC11" i="2" a="1"/>
  <c r="AQ11" i="2" a="1"/>
  <c r="AA18" i="2" a="1"/>
  <c r="AQ11" i="2" l="1"/>
  <c r="AC11" i="2"/>
  <c r="AV11" i="2"/>
  <c r="AA18" i="2"/>
  <c r="E4" i="2" a="1"/>
  <c r="E4" i="2"/>
  <c r="T20" i="2" a="1"/>
  <c r="T20" i="2"/>
  <c r="T14" i="2" a="1"/>
  <c r="T14" i="2"/>
  <c r="AR11" i="2" a="1"/>
  <c r="AR11" i="2"/>
  <c r="T24" i="2" a="1"/>
  <c r="T24" i="2"/>
  <c r="F24" i="2" a="1"/>
  <c r="F24" i="2"/>
  <c r="F4" i="2" a="1"/>
  <c r="F4" i="2"/>
  <c r="E17" i="2" a="1"/>
  <c r="E17" i="2"/>
  <c r="E18" i="2" a="1"/>
  <c r="E18" i="2"/>
  <c r="C25" i="2" a="1"/>
  <c r="C25" i="2"/>
  <c r="AD14" i="2" a="1"/>
  <c r="AD14" i="2"/>
  <c r="F23" i="2" a="1"/>
  <c r="F23" i="2"/>
  <c r="D23" i="2" a="1"/>
  <c r="D23" i="2"/>
  <c r="AQ23" i="2" a="1"/>
  <c r="AC23" i="2" a="1"/>
  <c r="AR14" i="2" a="1"/>
  <c r="AC23" i="2" l="1"/>
  <c r="AQ23" i="2"/>
  <c r="AR14" i="2"/>
  <c r="C14" i="2" a="1"/>
  <c r="C14" i="2"/>
  <c r="F25" i="2" a="1"/>
  <c r="F25" i="2"/>
  <c r="D17" i="2" a="1"/>
  <c r="D17" i="2"/>
  <c r="Z17" i="2"/>
  <c r="AQ17" i="2" a="1"/>
  <c r="AC17" i="2" a="1"/>
  <c r="T4" i="2" a="1"/>
  <c r="AC17" i="2" l="1"/>
  <c r="AQ17" i="2"/>
  <c r="T4" i="2"/>
  <c r="T17" i="2" a="1"/>
  <c r="T17" i="2"/>
  <c r="AA17" i="2" a="1"/>
  <c r="AA17" i="2"/>
  <c r="AV17" i="2" a="1"/>
  <c r="C20" i="2" a="1"/>
  <c r="AV17" i="2" l="1"/>
  <c r="C20" i="2"/>
  <c r="AR20" i="2" a="1"/>
  <c r="AR20" i="2"/>
  <c r="AD4" i="2" a="1"/>
  <c r="AD4" i="2"/>
  <c r="D14" i="2" a="1"/>
  <c r="D14" i="2"/>
  <c r="AC14" i="2" a="1"/>
  <c r="AQ14" i="2" a="1"/>
  <c r="T25" i="2" a="1"/>
  <c r="AQ14" i="2" l="1"/>
  <c r="AC14" i="2"/>
  <c r="T25" i="2"/>
  <c r="D20" i="2" a="1"/>
  <c r="D20" i="2"/>
  <c r="AC20" i="2" a="1"/>
  <c r="AQ20" i="2" a="1"/>
  <c r="E14" i="2" a="1"/>
  <c r="AQ20" i="2" l="1"/>
  <c r="AC20" i="2"/>
  <c r="E14" i="2"/>
  <c r="AR15" i="2" a="1"/>
  <c r="AR15" i="2"/>
  <c r="AR24" i="2" a="1"/>
  <c r="AR24" i="2"/>
  <c r="E20" i="2" a="1"/>
  <c r="E20" i="2"/>
  <c r="AR4" i="2" a="1"/>
  <c r="AR4" i="2"/>
  <c r="AA20" i="2" a="1"/>
  <c r="AA20" i="2"/>
  <c r="D4" i="2" a="1"/>
  <c r="D4" i="2"/>
  <c r="Z4" i="2"/>
  <c r="AV4" i="2" s="1" a="1"/>
  <c r="AC4" i="2" a="1"/>
  <c r="AQ4" i="2" a="1"/>
  <c r="C23" i="2" a="1"/>
  <c r="AQ4" i="2" l="1"/>
  <c r="AC4" i="2"/>
  <c r="AV4" i="2"/>
  <c r="C23" i="2"/>
  <c r="C18" i="2" a="1"/>
  <c r="C18" i="2"/>
  <c r="AR17" i="2" a="1"/>
  <c r="AR17" i="2"/>
  <c r="AA15" i="2" a="1"/>
  <c r="AA15" i="2"/>
  <c r="AA25" i="2" a="1"/>
  <c r="AA25" i="2"/>
  <c r="AD11" i="2" a="1"/>
  <c r="AD11" i="2"/>
  <c r="AR23" i="2" a="1"/>
  <c r="AR23" i="2"/>
  <c r="AD24" i="2" a="1"/>
  <c r="AD24" i="2"/>
  <c r="AR25" i="2" a="1"/>
  <c r="AR25" i="2"/>
  <c r="T15" i="2" a="1"/>
  <c r="T15" i="2"/>
  <c r="T23" i="2" a="1"/>
  <c r="T23" i="2"/>
  <c r="AD23" i="2" a="1"/>
  <c r="AD23" i="2"/>
  <c r="F18" i="446" a="1"/>
  <c r="F18" i="446"/>
  <c r="AK13" i="338" a="1"/>
  <c r="AK13" i="338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F24" i="446" a="1"/>
  <c r="F24" i="446"/>
  <c r="G22" i="446" a="1"/>
  <c r="G22" i="446"/>
  <c r="F22" i="446" a="1"/>
  <c r="F22" i="446"/>
  <c r="AK49" i="338" a="1"/>
  <c r="AK49" i="338"/>
  <c r="AK48" i="338" a="1"/>
  <c r="AK48" i="338"/>
  <c r="AF54" i="338"/>
  <c r="AF53" i="338"/>
  <c r="AF52" i="338"/>
  <c r="F17" i="446" a="1"/>
  <c r="F17" i="446"/>
  <c r="F15" i="446" a="1"/>
  <c r="F15" i="446"/>
  <c r="AI13" i="338" a="1"/>
  <c r="AI13" i="338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G13" i="338"/>
  <c r="G15" i="446" a="1"/>
  <c r="G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37" i="338"/>
  <c r="AG36" i="338"/>
  <c r="AG35" i="338"/>
  <c r="AG34" i="338"/>
  <c r="AF51" i="338"/>
  <c r="AF50" i="338"/>
  <c r="AG49" i="338"/>
  <c r="AG48" i="338"/>
  <c r="G24" i="446" a="1"/>
  <c r="G24" i="446"/>
  <c r="G17" i="446" a="1"/>
  <c r="G17" i="446"/>
  <c r="G18" i="446" a="1"/>
  <c r="G18" i="446"/>
  <c r="E212" i="89" a="1"/>
  <c r="E212" i="89"/>
  <c r="E204" i="89" a="1"/>
  <c r="E204" i="89"/>
  <c r="E224" i="89" a="1"/>
  <c r="E224" i="89"/>
  <c r="E50" i="89" a="1"/>
  <c r="E50" i="89"/>
  <c r="E68" i="89"/>
  <c r="D81" i="89" a="1"/>
  <c r="D81" i="89"/>
  <c r="E33" i="89" a="1"/>
  <c r="E33" i="89"/>
  <c r="E81" i="89" a="1"/>
  <c r="E81" i="89"/>
  <c r="D204" i="89" a="1"/>
  <c r="D204" i="89"/>
  <c r="E49" i="89" a="1"/>
  <c r="E49" i="89"/>
  <c r="D224" i="89" a="1"/>
  <c r="D224" i="89"/>
  <c r="E225" i="89" a="1"/>
  <c r="E225" i="89"/>
  <c r="E62" i="89" a="1"/>
  <c r="E62" i="89"/>
  <c r="D49" i="89" a="1"/>
  <c r="D49" i="89"/>
  <c r="D225" i="89" a="1"/>
  <c r="D225" i="89"/>
  <c r="D195" i="89" a="1"/>
  <c r="D195" i="89"/>
  <c r="D68" i="89"/>
  <c r="D62" i="89" a="1"/>
  <c r="D62" i="89"/>
  <c r="E195" i="89" a="1"/>
  <c r="E195" i="89"/>
  <c r="D50" i="89" a="1"/>
  <c r="D50" i="89"/>
  <c r="D33" i="89" a="1"/>
  <c r="D33" i="89"/>
  <c r="E63" i="89" a="1"/>
  <c r="E63" i="89"/>
  <c r="D7" i="89" a="1"/>
  <c r="D7" i="89"/>
  <c r="D223" i="89" a="1"/>
  <c r="D223" i="89"/>
  <c r="E40" i="89" a="1"/>
  <c r="E40" i="89"/>
  <c r="D75" i="89" a="1"/>
  <c r="D75" i="89"/>
  <c r="E55" i="89" a="1"/>
  <c r="E55" i="89"/>
  <c r="D197" i="89" a="1"/>
  <c r="D197" i="89"/>
  <c r="E39" i="89" a="1"/>
  <c r="E39" i="89"/>
  <c r="D20" i="89" a="1"/>
  <c r="D20" i="89"/>
  <c r="E196" i="89" a="1"/>
  <c r="E196" i="89"/>
  <c r="D55" i="89" a="1"/>
  <c r="D55" i="89"/>
  <c r="D63" i="89" a="1"/>
  <c r="D63" i="89"/>
  <c r="E197" i="89" a="1"/>
  <c r="E197" i="89"/>
  <c r="D39" i="89" a="1"/>
  <c r="D39" i="89"/>
  <c r="E20" i="89" a="1"/>
  <c r="E20" i="89"/>
  <c r="D40" i="89" a="1"/>
  <c r="D40" i="89"/>
  <c r="D196" i="89" a="1"/>
  <c r="D196" i="89"/>
  <c r="E75" i="89" a="1"/>
  <c r="E75" i="89"/>
  <c r="E223" i="89" a="1"/>
  <c r="E223" i="89"/>
  <c r="E7" i="89" a="1"/>
  <c r="E7" i="89"/>
  <c r="AH9" i="338" a="1"/>
  <c r="AH9" i="338"/>
  <c r="AH8" i="338" a="1"/>
  <c r="AH8" i="338"/>
  <c r="AG9" i="338"/>
  <c r="AF41" i="1"/>
  <c r="AK9" i="338" a="1"/>
  <c r="AK9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F23" i="446" a="1"/>
  <c r="F23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4" i="1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18" i="338"/>
  <c r="AF17" i="338"/>
  <c r="AF40" i="1"/>
  <c r="AF35" i="338"/>
  <c r="AF14" i="338"/>
  <c r="AF34" i="1"/>
  <c r="AC33" i="1" a="1"/>
  <c r="AC33" i="1"/>
  <c r="D35" i="446" a="1"/>
  <c r="D35" i="446"/>
  <c r="AB18" i="1"/>
  <c r="F21" i="446" a="1"/>
  <c r="F21" i="446"/>
  <c r="G26" i="446" a="1"/>
  <c r="G26" i="446"/>
  <c r="AJ18" i="338" a="1"/>
  <c r="AJ18" i="338"/>
  <c r="AJ17" i="338" a="1"/>
  <c r="AJ17" i="338"/>
  <c r="AI9" i="338" a="1"/>
  <c r="AI9" i="338"/>
  <c r="AB40" i="1"/>
  <c r="F14" i="446" a="1"/>
  <c r="F14" i="446"/>
  <c r="AB41" i="1"/>
  <c r="F19" i="446" a="1"/>
  <c r="F19" i="446"/>
  <c r="AC24" i="1" a="1"/>
  <c r="AC24" i="1"/>
  <c r="D26" i="446" a="1"/>
  <c r="D26" i="446"/>
  <c r="AB24" i="1"/>
  <c r="F26" i="446" a="1"/>
  <c r="F26" i="446"/>
  <c r="G23" i="446" a="1"/>
  <c r="G23" i="446"/>
  <c r="AF34" i="338"/>
  <c r="AF13" i="338"/>
  <c r="AF33" i="1"/>
  <c r="AC25" i="1" a="1"/>
  <c r="AC25" i="1"/>
  <c r="D30" i="446" a="1"/>
  <c r="D30" i="446"/>
  <c r="G30" i="446" a="1"/>
  <c r="G30" i="446"/>
  <c r="AG51" i="338"/>
  <c r="AG47" i="338"/>
  <c r="AG41" i="338"/>
  <c r="AG33" i="338"/>
  <c r="AG31" i="338"/>
  <c r="AF49" i="338"/>
  <c r="AF46" i="338"/>
  <c r="AF45" i="338"/>
  <c r="AJ34" i="338" a="1"/>
  <c r="AJ34" i="338"/>
  <c r="AJ13" i="338" a="1"/>
  <c r="AJ13" i="338"/>
  <c r="AC34" i="1" a="1"/>
  <c r="AC34" i="1"/>
  <c r="D36" i="446" a="1"/>
  <c r="D36" i="446"/>
  <c r="AF9" i="338"/>
  <c r="AF8" i="338"/>
  <c r="AF25" i="1"/>
  <c r="AJ33" i="338" a="1"/>
  <c r="AJ33" i="338"/>
  <c r="AJ11" i="338" a="1"/>
  <c r="AJ11" i="338"/>
  <c r="AJ10" i="338" a="1"/>
  <c r="AJ10" i="338"/>
  <c r="AB25" i="1"/>
  <c r="F30" i="446" a="1"/>
  <c r="F30" i="446"/>
  <c r="G35" i="446" a="1"/>
  <c r="G35" i="446"/>
  <c r="AB34" i="1"/>
  <c r="F36" i="446" a="1"/>
  <c r="F36" i="446"/>
  <c r="G21" i="446" a="1"/>
  <c r="G21" i="446"/>
  <c r="AH34" i="338" a="1"/>
  <c r="AH34" i="338"/>
  <c r="AH13" i="338" a="1"/>
  <c r="AH13" i="338"/>
  <c r="AB33" i="1"/>
  <c r="F35" i="446" a="1"/>
  <c r="F35" i="446"/>
  <c r="AG52" i="338"/>
  <c r="AG44" i="338"/>
  <c r="AG39" i="338"/>
  <c r="AG38" i="338"/>
  <c r="AG17" i="338"/>
  <c r="AG16" i="338"/>
  <c r="AG15" i="338"/>
  <c r="AF18" i="1"/>
  <c r="G14" i="446" a="1"/>
  <c r="G14" i="446"/>
  <c r="V96" i="89" a="1"/>
  <c r="V96" i="89"/>
  <c r="D160" i="89" a="1"/>
  <c r="D160" i="89"/>
  <c r="V154" i="89" a="1"/>
  <c r="V154" i="89"/>
  <c r="V153" i="89" a="1"/>
  <c r="V153" i="89"/>
  <c r="C154" i="89" a="1"/>
  <c r="C154" i="89"/>
  <c r="C153" i="89" a="1"/>
  <c r="C153" i="89"/>
  <c r="E102" i="89" a="1"/>
  <c r="E102" i="89"/>
  <c r="T129" i="89" a="1"/>
  <c r="T129" i="89"/>
  <c r="C129" i="89" a="1"/>
  <c r="C129" i="89"/>
  <c r="V115" i="89" a="1"/>
  <c r="V115" i="89"/>
  <c r="E108" i="89" a="1"/>
  <c r="E108" i="89"/>
  <c r="Z116" i="89" a="1"/>
  <c r="Z116" i="89"/>
  <c r="AA116" i="89" a="1"/>
  <c r="AA116" i="89"/>
  <c r="C115" i="89" a="1"/>
  <c r="C115" i="89"/>
  <c r="E137" i="89" a="1"/>
  <c r="E137" i="89"/>
  <c r="V102" i="89" a="1"/>
  <c r="V102" i="89"/>
  <c r="Z96" i="89" a="1"/>
  <c r="Z96" i="89"/>
  <c r="AA96" i="89" a="1"/>
  <c r="AA96" i="89"/>
  <c r="Z154" i="89" a="1"/>
  <c r="Z154" i="89"/>
  <c r="Z153" i="89" a="1"/>
  <c r="Z153" i="89"/>
  <c r="AA154" i="89" a="1"/>
  <c r="AA154" i="89"/>
  <c r="AA153" i="89" a="1"/>
  <c r="AA153" i="89"/>
  <c r="E160" i="89" a="1"/>
  <c r="E160" i="89"/>
  <c r="C137" i="89" a="1"/>
  <c r="C137" i="89"/>
  <c r="T160" i="89" a="1"/>
  <c r="T160" i="89"/>
  <c r="D102" i="89" a="1"/>
  <c r="D102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Z137" i="89" a="1"/>
  <c r="Z137" i="89"/>
  <c r="AA137" i="89" a="1"/>
  <c r="AA137" i="89"/>
  <c r="T102" i="89" a="1"/>
  <c r="T102" i="89"/>
  <c r="E129" i="89" a="1"/>
  <c r="E129" i="89"/>
  <c r="T154" i="89" a="1"/>
  <c r="T154" i="89"/>
  <c r="T153" i="89" a="1"/>
  <c r="T153" i="89"/>
  <c r="T108" i="89" a="1"/>
  <c r="T108" i="89"/>
  <c r="T96" i="89" a="1"/>
  <c r="T96" i="89"/>
  <c r="C116" i="89" a="1"/>
  <c r="C116" i="89"/>
  <c r="D108" i="89" a="1"/>
  <c r="D108" i="89"/>
  <c r="Z129" i="89" a="1"/>
  <c r="Z129" i="89"/>
  <c r="AA129" i="89" a="1"/>
  <c r="AA129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Z115" i="89" a="1"/>
  <c r="Z115" i="89"/>
  <c r="AA115" i="89" a="1"/>
  <c r="AA115" i="89"/>
  <c r="D154" i="89" a="1"/>
  <c r="D154" i="89"/>
  <c r="D153" i="89" a="1"/>
  <c r="D153" i="89"/>
  <c r="Z122" i="89" a="1"/>
  <c r="Z122" i="89"/>
  <c r="AA122" i="89" a="1"/>
  <c r="AA122" i="89"/>
  <c r="C108" i="89" a="1"/>
  <c r="C108" i="89"/>
  <c r="E154" i="89" a="1"/>
  <c r="E154" i="89"/>
  <c r="E153" i="89" a="1"/>
  <c r="E153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AA102" i="89" a="1"/>
  <c r="AA102" i="89"/>
  <c r="D129" i="89" a="1"/>
  <c r="D129" i="89"/>
  <c r="Z160" i="89" a="1"/>
  <c r="Z160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X12" i="338" a="1"/>
  <c r="X12" i="338"/>
  <c r="P31" i="338" a="1"/>
  <c r="P31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E26" i="89" a="1"/>
  <c r="E26" i="89"/>
  <c r="D19" i="89"/>
  <c r="D14" i="89" a="1"/>
  <c r="D14" i="89"/>
  <c r="D222" i="89" a="1"/>
  <c r="D222" i="89"/>
  <c r="E13" i="89" a="1"/>
  <c r="E13" i="89"/>
  <c r="E56" i="89" a="1"/>
  <c r="E56" i="89"/>
  <c r="D8" i="89" a="1"/>
  <c r="D8" i="89"/>
  <c r="D205" i="89" a="1"/>
  <c r="D205" i="89"/>
  <c r="D203" i="89" a="1"/>
  <c r="D203" i="89"/>
  <c r="E211" i="89" a="1"/>
  <c r="E211" i="89"/>
  <c r="E203" i="89" a="1"/>
  <c r="E203" i="89"/>
  <c r="E213" i="89" a="1"/>
  <c r="E213" i="89"/>
  <c r="E205" i="89" a="1"/>
  <c r="E205" i="89"/>
  <c r="D26" i="89" a="1"/>
  <c r="D26" i="89"/>
  <c r="E14" i="89" a="1"/>
  <c r="E14" i="89"/>
  <c r="E34" i="89" a="1"/>
  <c r="E34" i="89"/>
  <c r="E222" i="89" a="1"/>
  <c r="E222" i="89"/>
  <c r="D56" i="89" a="1"/>
  <c r="D56" i="89"/>
  <c r="E19" i="89"/>
  <c r="D13" i="89" a="1"/>
  <c r="D13" i="89"/>
  <c r="E8" i="89" a="1"/>
  <c r="E8" i="89"/>
  <c r="D34" i="89" a="1"/>
  <c r="D34" i="89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D13" i="2" a="1"/>
  <c r="D13" i="2"/>
  <c r="AC13" i="2" a="1"/>
  <c r="AQ13" i="2" a="1"/>
  <c r="C180" i="89" a="1"/>
  <c r="AQ13" i="2" l="1"/>
  <c r="AC13" i="2"/>
  <c r="C180" i="89"/>
  <c r="C5" i="2" a="1"/>
  <c r="C5" i="2"/>
  <c r="T28" i="2" a="1"/>
  <c r="T28" i="2"/>
  <c r="T26" i="2" a="1"/>
  <c r="T26" i="2"/>
  <c r="O13" i="89" a="1"/>
  <c r="O13" i="89"/>
  <c r="E22" i="2" a="1"/>
  <c r="E22" i="2"/>
  <c r="T22" i="2" a="1"/>
  <c r="T22" i="2"/>
  <c r="O56" i="89" a="1"/>
  <c r="O56" i="89"/>
  <c r="AD33" i="2" a="1"/>
  <c r="AD33" i="2" l="1"/>
  <c r="V197" i="89" a="1"/>
  <c r="V197" i="89"/>
  <c r="C33" i="2" a="1"/>
  <c r="C33" i="2"/>
  <c r="AA32" i="2" a="1"/>
  <c r="AA32" i="2"/>
  <c r="T196" i="89" a="1"/>
  <c r="T196" i="89"/>
  <c r="E33" i="2" a="1"/>
  <c r="E33" i="2"/>
  <c r="AA5" i="2" a="1"/>
  <c r="AA5" i="2"/>
  <c r="T222" i="89" a="1"/>
  <c r="T222" i="89"/>
  <c r="C13" i="2" a="1"/>
  <c r="C13" i="2"/>
  <c r="AR28" i="2" a="1"/>
  <c r="AR28" i="2"/>
  <c r="AR26" i="2" a="1"/>
  <c r="AR26" i="2"/>
  <c r="F32" i="2" a="1"/>
  <c r="F32" i="2"/>
  <c r="T5" i="2" a="1"/>
  <c r="T5" i="2"/>
  <c r="O222" i="89" a="1"/>
  <c r="O222" i="89"/>
  <c r="AD31" i="2" a="1"/>
  <c r="AD31" i="2"/>
  <c r="V195" i="89" a="1"/>
  <c r="V195" i="89"/>
  <c r="AR12" i="2" a="1"/>
  <c r="AR12" i="2"/>
  <c r="C22" i="2" a="1"/>
  <c r="C22" i="2"/>
  <c r="D12" i="2" a="1"/>
  <c r="D12" i="2"/>
  <c r="AC12" i="2" a="1"/>
  <c r="AQ12" i="2" a="1"/>
  <c r="C179" i="89" a="1"/>
  <c r="AQ12" i="2" l="1"/>
  <c r="AC12" i="2"/>
  <c r="C179" i="89"/>
  <c r="C170" i="89" a="1"/>
  <c r="C170" i="89"/>
  <c r="F6" i="2" a="1"/>
  <c r="F6" i="2"/>
  <c r="AR22" i="2" a="1"/>
  <c r="AR22" i="2"/>
  <c r="AD29" i="2" a="1"/>
  <c r="AD29" i="2"/>
  <c r="AD27" i="2" a="1"/>
  <c r="AD27" i="2"/>
  <c r="V14" i="89" a="1"/>
  <c r="V14" i="89"/>
  <c r="AA13" i="2" a="1"/>
  <c r="AA13" i="2"/>
  <c r="T180" i="89" a="1"/>
  <c r="T180" i="89"/>
  <c r="AA12" i="2" a="1"/>
  <c r="AA12" i="2"/>
  <c r="T179" i="89" a="1"/>
  <c r="T179" i="89"/>
  <c r="T170" i="89" a="1"/>
  <c r="T170" i="89"/>
  <c r="AR29" i="2" a="1"/>
  <c r="AR29" i="2"/>
  <c r="AR27" i="2" a="1"/>
  <c r="AR27" i="2"/>
  <c r="T12" i="2" a="1"/>
  <c r="T12" i="2"/>
  <c r="O179" i="89" a="1"/>
  <c r="O179" i="89"/>
  <c r="O170" i="89" a="1"/>
  <c r="O170" i="89"/>
  <c r="F5" i="2" a="1"/>
  <c r="F5" i="2"/>
  <c r="AD5" i="2" a="1"/>
  <c r="AD5" i="2"/>
  <c r="V222" i="89" a="1"/>
  <c r="V222" i="89"/>
  <c r="AR32" i="2" a="1"/>
  <c r="AR32" i="2"/>
  <c r="D22" i="2" a="1"/>
  <c r="D22" i="2"/>
  <c r="AC22" i="2" a="1"/>
  <c r="AQ22" i="2" a="1"/>
  <c r="C56" i="89" a="1"/>
  <c r="AQ22" i="2" l="1"/>
  <c r="AC22" i="2"/>
  <c r="C56" i="89"/>
  <c r="E6" i="2" a="1"/>
  <c r="E6" i="2"/>
  <c r="C29" i="2" a="1"/>
  <c r="C29" i="2"/>
  <c r="C27" i="2" a="1"/>
  <c r="C27" i="2"/>
  <c r="T6" i="2" a="1"/>
  <c r="T6" i="2"/>
  <c r="O223" i="89" a="1"/>
  <c r="O223" i="89"/>
  <c r="T13" i="2" a="1"/>
  <c r="T13" i="2"/>
  <c r="O180" i="89" a="1"/>
  <c r="O180" i="89"/>
  <c r="F22" i="2" a="1"/>
  <c r="F22" i="2"/>
  <c r="C31" i="2" a="1"/>
  <c r="C31" i="2"/>
  <c r="AD28" i="2" a="1"/>
  <c r="AD28" i="2"/>
  <c r="AD26" i="2" a="1"/>
  <c r="AD26" i="2"/>
  <c r="V13" i="89" a="1"/>
  <c r="V13" i="89"/>
  <c r="E29" i="2" a="1"/>
  <c r="E29" i="2"/>
  <c r="E27" i="2" a="1"/>
  <c r="E27" i="2"/>
  <c r="D33" i="2" a="1"/>
  <c r="D33" i="2"/>
  <c r="AQ33" i="2" a="1"/>
  <c r="AC33" i="2" a="1"/>
  <c r="C197" i="89" a="1"/>
  <c r="AC33" i="2" l="1"/>
  <c r="AQ33" i="2"/>
  <c r="C197" i="89"/>
  <c r="AD13" i="2" a="1"/>
  <c r="AD13" i="2"/>
  <c r="V180" i="89" a="1"/>
  <c r="V180" i="89"/>
  <c r="C12" i="2" a="1"/>
  <c r="C12" i="2"/>
  <c r="T32" i="2" a="1"/>
  <c r="T32" i="2"/>
  <c r="O196" i="89" a="1"/>
  <c r="O196" i="89"/>
  <c r="E13" i="2" a="1"/>
  <c r="E13" i="2" l="1"/>
  <c r="C32" i="2" a="1"/>
  <c r="C32" i="2"/>
  <c r="C28" i="2" a="1"/>
  <c r="C28" i="2"/>
  <c r="C26" i="2" a="1"/>
  <c r="C26" i="2"/>
  <c r="E28" i="2" a="1"/>
  <c r="E28" i="2"/>
  <c r="E26" i="2" a="1"/>
  <c r="E26" i="2"/>
  <c r="AD6" i="2" a="1"/>
  <c r="AD6" i="2"/>
  <c r="V223" i="89" a="1"/>
  <c r="V223" i="89"/>
  <c r="AA33" i="2" a="1"/>
  <c r="AA33" i="2"/>
  <c r="T197" i="89" a="1"/>
  <c r="T197" i="89"/>
  <c r="AA6" i="2" a="1"/>
  <c r="AA6" i="2"/>
  <c r="T223" i="89" a="1"/>
  <c r="T223" i="89"/>
  <c r="AR6" i="2" a="1"/>
  <c r="AR6" i="2"/>
  <c r="F31" i="2" a="1"/>
  <c r="F31" i="2"/>
  <c r="D29" i="2" a="1"/>
  <c r="D29" i="2"/>
  <c r="AQ29" i="2" a="1"/>
  <c r="AC29" i="2" a="1"/>
  <c r="D27" i="2" a="1"/>
  <c r="AC29" i="2" l="1"/>
  <c r="AQ29" i="2"/>
  <c r="D27" i="2"/>
  <c r="AQ27" i="2" a="1"/>
  <c r="AC27" i="2" a="1"/>
  <c r="C14" i="89" a="1"/>
  <c r="AC27" i="2" l="1"/>
  <c r="AQ27" i="2"/>
  <c r="C14" i="89"/>
  <c r="AA28" i="2" a="1"/>
  <c r="AA28" i="2"/>
  <c r="AA26" i="2" a="1"/>
  <c r="AA26" i="2"/>
  <c r="T13" i="89" a="1"/>
  <c r="T13" i="89"/>
  <c r="F29" i="2" a="1"/>
  <c r="F29" i="2"/>
  <c r="F27" i="2" a="1"/>
  <c r="F27" i="2"/>
  <c r="AR31" i="2" a="1"/>
  <c r="AR31" i="2"/>
  <c r="AA22" i="2" a="1"/>
  <c r="AA22" i="2"/>
  <c r="T56" i="89" a="1"/>
  <c r="T56" i="89"/>
  <c r="D31" i="2" a="1"/>
  <c r="D31" i="2"/>
  <c r="AQ31" i="2" a="1"/>
  <c r="AC31" i="2" a="1"/>
  <c r="C195" i="89" a="1"/>
  <c r="AC31" i="2" l="1"/>
  <c r="AQ31" i="2"/>
  <c r="C195" i="89"/>
  <c r="D32" i="2" a="1"/>
  <c r="D32" i="2"/>
  <c r="AQ32" i="2" a="1"/>
  <c r="AC32" i="2" a="1"/>
  <c r="C196" i="89" a="1"/>
  <c r="AC32" i="2" l="1"/>
  <c r="AQ32" i="2"/>
  <c r="C196" i="89"/>
  <c r="AD12" i="2" a="1"/>
  <c r="AD12" i="2"/>
  <c r="V179" i="89" a="1"/>
  <c r="V179" i="89"/>
  <c r="V170" i="89" a="1"/>
  <c r="V170" i="89"/>
  <c r="D6" i="2" a="1"/>
  <c r="D6" i="2"/>
  <c r="AQ6" i="2" a="1"/>
  <c r="AC6" i="2" a="1"/>
  <c r="C223" i="89" a="1"/>
  <c r="AC6" i="2" l="1"/>
  <c r="AQ6" i="2"/>
  <c r="C223" i="89"/>
  <c r="E5" i="2" a="1"/>
  <c r="E5" i="2"/>
  <c r="F33" i="2" a="1"/>
  <c r="F33" i="2"/>
  <c r="E32" i="2" a="1"/>
  <c r="E32" i="2"/>
  <c r="F13" i="2" a="1"/>
  <c r="F13" i="2"/>
  <c r="E31" i="2" a="1"/>
  <c r="E31" i="2"/>
  <c r="D5" i="2" a="1"/>
  <c r="D5" i="2"/>
  <c r="AQ5" i="2" a="1"/>
  <c r="AC5" i="2" a="1"/>
  <c r="C222" i="89" a="1"/>
  <c r="AC5" i="2" l="1"/>
  <c r="AQ5" i="2"/>
  <c r="C222" i="89"/>
  <c r="AA29" i="2" a="1"/>
  <c r="AA29" i="2"/>
  <c r="AA27" i="2" a="1"/>
  <c r="AA27" i="2"/>
  <c r="T14" i="89" a="1"/>
  <c r="T14" i="89"/>
  <c r="C6" i="2" a="1"/>
  <c r="C6" i="2"/>
  <c r="AR33" i="2" a="1"/>
  <c r="AR33" i="2"/>
  <c r="E12" i="2" a="1"/>
  <c r="E12" i="2"/>
  <c r="AA31" i="2" a="1"/>
  <c r="AA31" i="2"/>
  <c r="T195" i="89" a="1"/>
  <c r="T195" i="89"/>
  <c r="F28" i="2" a="1"/>
  <c r="F28" i="2"/>
  <c r="F26" i="2" a="1"/>
  <c r="F26" i="2"/>
  <c r="AD22" i="2" a="1"/>
  <c r="AD22" i="2"/>
  <c r="V56" i="89" a="1"/>
  <c r="V56" i="89"/>
  <c r="T29" i="2" a="1"/>
  <c r="T29" i="2"/>
  <c r="T27" i="2" a="1"/>
  <c r="T27" i="2"/>
  <c r="O14" i="89" a="1"/>
  <c r="O14" i="89"/>
  <c r="AR13" i="2" a="1"/>
  <c r="AR13" i="2" l="1"/>
  <c r="AD32" i="2" a="1"/>
  <c r="AD32" i="2"/>
  <c r="V196" i="89" a="1"/>
  <c r="V196" i="89"/>
  <c r="D28" i="2" a="1"/>
  <c r="D28" i="2"/>
  <c r="AQ28" i="2" a="1"/>
  <c r="AC28" i="2" a="1"/>
  <c r="D26" i="2" a="1"/>
  <c r="AC28" i="2" l="1"/>
  <c r="AQ28" i="2"/>
  <c r="D26" i="2"/>
  <c r="AQ26" i="2" a="1"/>
  <c r="AC26" i="2" a="1"/>
  <c r="C13" i="89" a="1"/>
  <c r="AC26" i="2" l="1"/>
  <c r="AQ26" i="2"/>
  <c r="C13" i="89"/>
  <c r="T33" i="2" a="1"/>
  <c r="T33" i="2"/>
  <c r="O197" i="89" a="1"/>
  <c r="O197" i="89"/>
  <c r="F12" i="2" a="1"/>
  <c r="F12" i="2"/>
  <c r="T31" i="2" a="1"/>
  <c r="T31" i="2"/>
  <c r="O195" i="89" a="1"/>
  <c r="O195" i="89"/>
  <c r="AR5" i="2" a="1"/>
  <c r="AR5" i="2" l="1"/>
  <c r="E145" i="89" a="1"/>
  <c r="E145" i="89"/>
  <c r="T90" i="89" a="1"/>
  <c r="T90" i="89"/>
  <c r="V89" i="89" a="1"/>
  <c r="V89" i="89"/>
  <c r="V90" i="89" a="1"/>
  <c r="V90" i="89"/>
  <c r="V109" i="89" a="1"/>
  <c r="V109" i="89"/>
  <c r="V144" i="89" a="1"/>
  <c r="V144" i="89"/>
  <c r="D145" i="89" a="1"/>
  <c r="D145" i="89"/>
  <c r="D109" i="89" a="1"/>
  <c r="D109" i="89"/>
  <c r="Z89" i="89" a="1"/>
  <c r="Z89" i="89"/>
  <c r="AA89" i="89" a="1"/>
  <c r="AA89" i="89"/>
  <c r="C90" i="89" a="1"/>
  <c r="C90" i="89"/>
  <c r="T136" i="89" a="1"/>
  <c r="T136" i="89"/>
  <c r="C123" i="89" a="1"/>
  <c r="C123" i="89"/>
  <c r="D101" i="89" a="1"/>
  <c r="D101" i="89"/>
  <c r="D123" i="89" a="1"/>
  <c r="D123" i="89"/>
  <c r="T138" i="89" a="1"/>
  <c r="T138" i="89"/>
  <c r="C136" i="89" a="1"/>
  <c r="C136" i="89"/>
  <c r="E89" i="89" a="1"/>
  <c r="E89" i="89"/>
  <c r="C95" i="89" a="1"/>
  <c r="C95" i="89"/>
  <c r="V101" i="89" a="1"/>
  <c r="V101" i="89"/>
  <c r="V136" i="89" a="1"/>
  <c r="V136" i="89"/>
  <c r="Z145" i="89" a="1"/>
  <c r="Z145" i="89"/>
  <c r="AA145" i="89" a="1"/>
  <c r="AA145" i="89"/>
  <c r="C89" i="89" a="1"/>
  <c r="C89" i="89"/>
  <c r="D90" i="89" a="1"/>
  <c r="D90" i="89"/>
  <c r="V138" i="89" a="1"/>
  <c r="V138" i="89"/>
  <c r="Z90" i="89" a="1"/>
  <c r="Z90" i="89"/>
  <c r="AA90" i="89" a="1"/>
  <c r="AA90" i="89"/>
  <c r="Z138" i="89" a="1"/>
  <c r="Z138" i="89"/>
  <c r="AA138" i="89" a="1"/>
  <c r="AA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E123" i="89" a="1"/>
  <c r="E123" i="89"/>
  <c r="D95" i="89" a="1"/>
  <c r="D95" i="89"/>
  <c r="Z101" i="89" a="1"/>
  <c r="Z101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E90" i="89" a="1"/>
  <c r="E90" i="89"/>
  <c r="T145" i="89" a="1"/>
  <c r="T145" i="89"/>
  <c r="Z95" i="89" a="1"/>
  <c r="Z95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T144" i="89" a="1"/>
  <c r="T144" i="89"/>
  <c r="E144" i="89" a="1"/>
  <c r="E144" i="89"/>
  <c r="T95" i="89" a="1"/>
  <c r="T95" i="89"/>
  <c r="T89" i="89" a="1"/>
  <c r="T89" i="89"/>
  <c r="Z136" i="89" a="1"/>
  <c r="Z136" i="89"/>
  <c r="AA136" i="89" a="1"/>
  <c r="AA136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Z123" i="89" a="1"/>
  <c r="Z123" i="89"/>
  <c r="AA123" i="89" a="1"/>
  <c r="AA123" i="89"/>
  <c r="D69" i="89" a="1"/>
  <c r="D69" i="89"/>
  <c r="C76" i="89" a="1"/>
  <c r="C76" i="89"/>
  <c r="V76" i="89" a="1"/>
  <c r="V76" i="89"/>
  <c r="T76" i="89" a="1"/>
  <c r="T76" i="89"/>
  <c r="E76" i="89" a="1"/>
  <c r="E76" i="89"/>
  <c r="V75" i="89" a="1"/>
  <c r="V75" i="89"/>
  <c r="V69" i="89" a="1"/>
  <c r="V69" i="89"/>
  <c r="T75" i="89" a="1"/>
  <c r="T75" i="89"/>
  <c r="T69" i="89" a="1"/>
  <c r="T69" i="89"/>
  <c r="O76" i="89" a="1"/>
  <c r="O76" i="89"/>
  <c r="D76" i="89" a="1"/>
  <c r="D76" i="89"/>
  <c r="O75" i="89" a="1"/>
  <c r="O75" i="89"/>
  <c r="O69" i="89" a="1"/>
  <c r="O69" i="89" l="1"/>
  <c r="E69" i="89" a="1"/>
  <c r="E69" i="89" l="1"/>
  <c r="Z76" i="89" a="1"/>
  <c r="Z76" i="89"/>
  <c r="C75" i="89" a="1"/>
  <c r="C75" i="89"/>
  <c r="C69" i="89" a="1"/>
  <c r="C69" i="89"/>
  <c r="AJ37" i="338" a="1"/>
  <c r="AJ37" i="338"/>
  <c r="AH37" i="338" a="1"/>
  <c r="AH37" i="338"/>
  <c r="AJ36" i="338" a="1"/>
  <c r="AJ36" i="338"/>
  <c r="AK45" i="338" a="1"/>
  <c r="AK45" i="338"/>
  <c r="AF37" i="338"/>
  <c r="AF35" i="1"/>
  <c r="AH36" i="338" a="1"/>
  <c r="AH36" i="338"/>
  <c r="AG45" i="338"/>
  <c r="AF15" i="1"/>
  <c r="AF36" i="338"/>
  <c r="AF31" i="1"/>
  <c r="AI45" i="338" a="1"/>
  <c r="AI45" i="338"/>
  <c r="G6" i="446" a="1"/>
  <c r="G6" i="446"/>
  <c r="G5" i="446" a="1"/>
  <c r="G5" i="446"/>
  <c r="F6" i="446" a="1"/>
  <c r="F6" i="446"/>
  <c r="F5" i="446" a="1"/>
  <c r="F5" i="446"/>
  <c r="C19" i="2" a="1"/>
  <c r="C19" i="2"/>
  <c r="AA16" i="2" a="1"/>
  <c r="AA16" i="2"/>
  <c r="AR19" i="2" a="1"/>
  <c r="AR19" i="2"/>
  <c r="T16" i="2" a="1"/>
  <c r="T16" i="2"/>
  <c r="AD19" i="2" a="1"/>
  <c r="AD19" i="2"/>
  <c r="AD16" i="2" a="1"/>
  <c r="AD16" i="2"/>
  <c r="C16" i="2" a="1"/>
  <c r="C16" i="2"/>
  <c r="AR16" i="2" a="1"/>
  <c r="AR16" i="2"/>
  <c r="D19" i="2" a="1"/>
  <c r="D19" i="2"/>
  <c r="AC19" i="2" a="1"/>
  <c r="AQ19" i="2" a="1"/>
  <c r="E19" i="2" a="1"/>
  <c r="AQ19" i="2" l="1"/>
  <c r="AC19" i="2"/>
  <c r="E19" i="2"/>
  <c r="F19" i="2" a="1"/>
  <c r="F19" i="2"/>
  <c r="AA19" i="2" a="1"/>
  <c r="AA19" i="2"/>
  <c r="E16" i="2" a="1"/>
  <c r="E16" i="2"/>
  <c r="F16" i="2" a="1"/>
  <c r="F16" i="2"/>
  <c r="T19" i="2" a="1"/>
  <c r="T19" i="2"/>
  <c r="D16" i="2" a="1"/>
  <c r="D16" i="2"/>
  <c r="AQ16" i="2" a="1"/>
  <c r="AC16" i="2" a="1"/>
  <c r="F7" i="2" a="1"/>
  <c r="AC16" i="2" l="1"/>
  <c r="AQ16" i="2"/>
  <c r="F7" i="2"/>
  <c r="AD8" i="2" a="1"/>
  <c r="AD8" i="2"/>
  <c r="V212" i="89" a="1"/>
  <c r="V212" i="89"/>
  <c r="V204" i="89" a="1"/>
  <c r="V204" i="89"/>
  <c r="AD9" i="2" a="1"/>
  <c r="AD9" i="2"/>
  <c r="V213" i="89" a="1"/>
  <c r="V213" i="89"/>
  <c r="V205" i="89" a="1"/>
  <c r="V205" i="89"/>
  <c r="T21" i="2" a="1"/>
  <c r="T21" i="2"/>
  <c r="O55" i="89" a="1"/>
  <c r="O55" i="89"/>
  <c r="AA8" i="2" a="1"/>
  <c r="AA8" i="2"/>
  <c r="T212" i="89" a="1"/>
  <c r="T212" i="89"/>
  <c r="T204" i="89" a="1"/>
  <c r="T204" i="89"/>
  <c r="AA9" i="2" a="1"/>
  <c r="AA9" i="2"/>
  <c r="T213" i="89" a="1"/>
  <c r="T213" i="89"/>
  <c r="T205" i="89" a="1"/>
  <c r="T205" i="89"/>
  <c r="F8" i="2" a="1"/>
  <c r="F8" i="2"/>
  <c r="D21" i="2" a="1"/>
  <c r="D21" i="2"/>
  <c r="Z21" i="2"/>
  <c r="AC21" i="2" a="1"/>
  <c r="AQ21" i="2" a="1"/>
  <c r="C55" i="89" a="1"/>
  <c r="AQ21" i="2" l="1"/>
  <c r="AC21" i="2"/>
  <c r="C55" i="89"/>
  <c r="AD7" i="2" a="1"/>
  <c r="AD7" i="2"/>
  <c r="V211" i="89" a="1"/>
  <c r="V211" i="89"/>
  <c r="V203" i="89" a="1"/>
  <c r="V203" i="89"/>
  <c r="AR8" i="2" a="1"/>
  <c r="AR8" i="2"/>
  <c r="F9" i="2" a="1"/>
  <c r="F9" i="2"/>
  <c r="AA30" i="2" a="1"/>
  <c r="AA30" i="2"/>
  <c r="T7" i="89" a="1"/>
  <c r="T7" i="89"/>
  <c r="E7" i="2" a="1"/>
  <c r="E7" i="2"/>
  <c r="AA21" i="2" a="1"/>
  <c r="AA21" i="2"/>
  <c r="AV21" i="2" a="1"/>
  <c r="T55" i="89" a="1"/>
  <c r="AV21" i="2" l="1"/>
  <c r="T55" i="89"/>
  <c r="E21" i="2" a="1"/>
  <c r="E21" i="2"/>
  <c r="C7" i="2" a="1"/>
  <c r="C7" i="2"/>
  <c r="T9" i="2" a="1"/>
  <c r="T9" i="2"/>
  <c r="O213" i="89" a="1"/>
  <c r="O213" i="89"/>
  <c r="O205" i="89" a="1"/>
  <c r="O205" i="89" l="1"/>
  <c r="F21" i="2" a="1"/>
  <c r="F21" i="2"/>
  <c r="D7" i="2" a="1"/>
  <c r="D7" i="2"/>
  <c r="AC7" i="2" a="1"/>
  <c r="AQ7" i="2" a="1"/>
  <c r="C211" i="89" a="1"/>
  <c r="AQ7" i="2" l="1"/>
  <c r="AC7" i="2"/>
  <c r="C211" i="89"/>
  <c r="C203" i="89" a="1"/>
  <c r="C203" i="89"/>
  <c r="AR9" i="2" a="1"/>
  <c r="AR9" i="2"/>
  <c r="T30" i="2" a="1"/>
  <c r="T30" i="2"/>
  <c r="O7" i="89" a="1"/>
  <c r="O7" i="89"/>
  <c r="AR21" i="2" a="1"/>
  <c r="AR21" i="2"/>
  <c r="T7" i="2" a="1"/>
  <c r="T7" i="2"/>
  <c r="O211" i="89" a="1"/>
  <c r="O211" i="89"/>
  <c r="O203" i="89" a="1"/>
  <c r="O203" i="89"/>
  <c r="E9" i="2" a="1"/>
  <c r="E9" i="2"/>
  <c r="D9" i="2" a="1"/>
  <c r="D9" i="2"/>
  <c r="Z9" i="2"/>
  <c r="AV9" i="2" s="1" a="1"/>
  <c r="AC9" i="2" a="1"/>
  <c r="AQ9" i="2" a="1"/>
  <c r="C213" i="89" a="1"/>
  <c r="AQ9" i="2" l="1"/>
  <c r="AC9" i="2"/>
  <c r="AV9" i="2"/>
  <c r="C213" i="89"/>
  <c r="C205" i="89" a="1"/>
  <c r="C205" i="89"/>
  <c r="AD21" i="2" a="1"/>
  <c r="AD21" i="2"/>
  <c r="V55" i="89" a="1"/>
  <c r="V55" i="89"/>
  <c r="C21" i="2" a="1"/>
  <c r="C21" i="2"/>
  <c r="D8" i="2" a="1"/>
  <c r="D8" i="2"/>
  <c r="AC8" i="2" a="1"/>
  <c r="AQ8" i="2" a="1"/>
  <c r="C212" i="89" a="1"/>
  <c r="AQ8" i="2" l="1"/>
  <c r="AC8" i="2"/>
  <c r="C212" i="89"/>
  <c r="C204" i="89" a="1"/>
  <c r="C204" i="89"/>
  <c r="AA7" i="2" a="1"/>
  <c r="AA7" i="2"/>
  <c r="T211" i="89" a="1"/>
  <c r="T211" i="89"/>
  <c r="T203" i="89" a="1"/>
  <c r="T203" i="89"/>
  <c r="C9" i="2" a="1"/>
  <c r="C9" i="2"/>
  <c r="F30" i="2" a="1"/>
  <c r="F30" i="2"/>
  <c r="D30" i="2" a="1"/>
  <c r="D30" i="2"/>
  <c r="Z30" i="2"/>
  <c r="AV30" i="2" s="1" a="1"/>
  <c r="AQ30" i="2" a="1"/>
  <c r="AC30" i="2" a="1"/>
  <c r="C7" i="89" a="1"/>
  <c r="AC30" i="2" l="1"/>
  <c r="AQ30" i="2"/>
  <c r="AV30" i="2"/>
  <c r="S39" i="1"/>
  <c r="Q39" i="1"/>
  <c r="T39" i="1" s="1"/>
  <c r="C7" i="89"/>
  <c r="C30" i="2" a="1"/>
  <c r="C30" i="2"/>
  <c r="AR7" i="2" a="1"/>
  <c r="AR7" i="2"/>
  <c r="E30" i="2" a="1"/>
  <c r="E30" i="2"/>
  <c r="T8" i="2" a="1"/>
  <c r="T8" i="2"/>
  <c r="O212" i="89" a="1"/>
  <c r="O212" i="89"/>
  <c r="O204" i="89" a="1"/>
  <c r="O204" i="89" l="1"/>
  <c r="C8" i="2" a="1"/>
  <c r="C8" i="2" l="1"/>
  <c r="AD30" i="2" a="1"/>
  <c r="AD30" i="2"/>
  <c r="V7" i="89" a="1"/>
  <c r="V7" i="89"/>
  <c r="AR30" i="2" a="1"/>
  <c r="AR30" i="2"/>
  <c r="E8" i="2" a="1"/>
  <c r="E8" i="2"/>
  <c r="O6" i="252" a="1"/>
  <c r="O6" i="252"/>
  <c r="Y6" i="252" a="1"/>
  <c r="Y6" i="252"/>
  <c r="L6" i="252" a="1"/>
  <c r="L6" i="252"/>
  <c r="M6" i="252" a="1"/>
  <c r="M6" i="252"/>
  <c r="N6" i="252" a="1"/>
  <c r="N6" i="252"/>
  <c r="X13" i="338" a="1"/>
  <c r="X13" i="338"/>
  <c r="X35" i="338" a="1"/>
  <c r="X35" i="338"/>
  <c r="T54" i="338" a="1"/>
  <c r="T54" i="338"/>
  <c r="P13" i="338" a="1"/>
  <c r="P13" i="338"/>
  <c r="T37" i="338" a="1"/>
  <c r="T37" i="338"/>
  <c r="P35" i="338" a="1"/>
  <c r="P35" i="338"/>
  <c r="S53" i="338" a="1"/>
  <c r="S53" i="338"/>
  <c r="X17" i="338" a="1"/>
  <c r="X17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T53" i="338" a="1"/>
  <c r="T53" i="338"/>
  <c r="P40" i="338" a="1"/>
  <c r="P40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S40" i="338" a="1"/>
  <c r="S40" i="338"/>
  <c r="P10" i="338" a="1"/>
  <c r="P1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E251" i="89" a="1"/>
  <c r="E251" i="89"/>
  <c r="X40" i="338" a="1"/>
  <c r="X40" i="338"/>
  <c r="E180" i="89" a="1"/>
  <c r="E180" i="89"/>
  <c r="E235" i="89" a="1"/>
  <c r="E235" i="89"/>
  <c r="E250" i="89" a="1"/>
  <c r="E250" i="89"/>
  <c r="E249" i="89" a="1"/>
  <c r="E249" i="89"/>
  <c r="E187" i="89" a="1"/>
  <c r="E187" i="89"/>
  <c r="X10" i="338" a="1"/>
  <c r="X10" i="338"/>
  <c r="E242" i="89" a="1"/>
  <c r="E242" i="89"/>
  <c r="S38" i="338" a="1"/>
  <c r="S38" i="338"/>
  <c r="S16" i="338" a="1"/>
  <c r="S16" i="338"/>
  <c r="E243" i="89" a="1"/>
  <c r="E243" i="89"/>
  <c r="X51" i="338" a="1"/>
  <c r="X51" i="338"/>
  <c r="P53" i="338" a="1"/>
  <c r="P53" i="338"/>
  <c r="E252" i="89" a="1"/>
  <c r="E252" i="89"/>
  <c r="S37" i="338" a="1"/>
  <c r="S37" i="338"/>
  <c r="E178" i="89" a="1"/>
  <c r="E178" i="89"/>
  <c r="E233" i="89" a="1"/>
  <c r="E233" i="89"/>
  <c r="E179" i="89" a="1"/>
  <c r="E179" i="89"/>
  <c r="E170" i="89" a="1"/>
  <c r="E170" i="89"/>
  <c r="E171" i="89" a="1"/>
  <c r="E171" i="89"/>
  <c r="E186" i="89" a="1"/>
  <c r="E186" i="89"/>
  <c r="E253" i="89" a="1"/>
  <c r="E253" i="89"/>
  <c r="E188" i="89" a="1"/>
  <c r="E188" i="89"/>
  <c r="E234" i="89" a="1"/>
  <c r="E234" i="89"/>
  <c r="E254" i="89" a="1"/>
  <c r="E254" i="89"/>
  <c r="E169" i="89" a="1"/>
  <c r="E169" i="89"/>
  <c r="G27" i="446" a="1"/>
  <c r="G27" i="446"/>
  <c r="F27" i="446" a="1"/>
  <c r="F27" i="446"/>
  <c r="AK11" i="338" a="1"/>
  <c r="AK11" i="338"/>
  <c r="AI11" i="338" a="1"/>
  <c r="AI11" i="338"/>
  <c r="D27" i="446" a="1"/>
  <c r="D27" i="446"/>
  <c r="AG11" i="338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AG12" i="338"/>
  <c r="F34" i="446" a="1"/>
  <c r="F34" i="446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F40" i="446" a="1"/>
  <c r="F40" i="446"/>
  <c r="G38" i="446" a="1"/>
  <c r="G38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M13" i="252" a="1"/>
  <c r="M13" i="252"/>
  <c r="F13" i="252" a="1"/>
  <c r="F13" i="252"/>
  <c r="L13" i="252" a="1"/>
  <c r="L13" i="252"/>
  <c r="O13" i="252" a="1"/>
  <c r="O13" i="252"/>
  <c r="N13" i="252" a="1"/>
  <c r="N13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F11" i="252" a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S16" i="252" a="1"/>
  <c r="S16" i="252"/>
  <c r="M18" i="252" a="1"/>
  <c r="M18" i="252"/>
  <c r="L11" i="252" a="1"/>
  <c r="L11" i="252"/>
  <c r="N14" i="252" a="1"/>
  <c r="N14" i="252"/>
  <c r="O14" i="252" a="1"/>
  <c r="O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O20" i="252" a="1"/>
  <c r="O20" i="252"/>
  <c r="F16" i="252" a="1"/>
  <c r="F16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O10" i="252" a="1"/>
  <c r="O10" i="252"/>
  <c r="L19" i="252" a="1"/>
  <c r="L19" i="252"/>
  <c r="L20" i="252" a="1"/>
  <c r="L20" i="252"/>
  <c r="M8" i="252" a="1"/>
  <c r="M8" i="252"/>
  <c r="M7" i="252" a="1"/>
  <c r="M7" i="252"/>
  <c r="S7" i="252" a="1"/>
  <c r="S7" i="252"/>
  <c r="L18" i="252" a="1"/>
  <c r="L18" i="252"/>
  <c r="O7" i="252" a="1"/>
  <c r="O7" i="252"/>
  <c r="F8" i="252" a="1"/>
  <c r="F8" i="252"/>
  <c r="P16" i="252" a="1"/>
  <c r="P16" i="252"/>
  <c r="O18" i="252" a="1"/>
  <c r="O18" i="252"/>
  <c r="F18" i="252" a="1"/>
  <c r="F18" i="252"/>
  <c r="S17" i="252" a="1"/>
  <c r="S17" i="252"/>
  <c r="E27" i="89" a="1"/>
  <c r="E27" i="89"/>
  <c r="D27" i="89" a="1"/>
  <c r="D27" i="89"/>
  <c r="C40" i="89" a="1"/>
  <c r="C40" i="89"/>
  <c r="C8" i="89" a="1"/>
  <c r="C8" i="89"/>
  <c r="C234" i="89" a="1"/>
  <c r="C234" i="89"/>
  <c r="V8" i="89" a="1"/>
  <c r="V8" i="89"/>
  <c r="O225" i="89" a="1"/>
  <c r="O225" i="89"/>
  <c r="O234" i="89" a="1"/>
  <c r="O234" i="89"/>
  <c r="T8" i="89" a="1"/>
  <c r="T8" i="89" l="1"/>
  <c r="T40" i="89" a="1"/>
  <c r="T40" i="89"/>
  <c r="V40" i="89" a="1"/>
  <c r="V40" i="89"/>
  <c r="C225" i="89" a="1"/>
  <c r="C225" i="89"/>
  <c r="V225" i="89" a="1"/>
  <c r="V225" i="89"/>
  <c r="T234" i="89" a="1"/>
  <c r="T234" i="89"/>
  <c r="T225" i="89" a="1"/>
  <c r="T225" i="89"/>
  <c r="V234" i="89" a="1"/>
  <c r="V234" i="89"/>
  <c r="O8" i="89" a="1"/>
  <c r="O8" i="89"/>
  <c r="O40" i="89" a="1"/>
  <c r="O40" i="89" l="1"/>
  <c r="F10" i="446" a="1"/>
  <c r="F10" i="446" l="1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AG54" i="338"/>
  <c r="F16" i="446" a="1"/>
  <c r="F16" i="446"/>
  <c r="AI54" i="338" a="1"/>
  <c r="AI54" i="338"/>
  <c r="AI8" i="338" a="1"/>
  <c r="AI8" i="338"/>
  <c r="AI50" i="338" a="1"/>
  <c r="AI50" i="338"/>
  <c r="AI46" i="338" a="1"/>
  <c r="AI46" i="338"/>
  <c r="AI32" i="338" a="1"/>
  <c r="AI32" i="338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9" i="446" a="1"/>
  <c r="G9" i="446"/>
  <c r="F9" i="446" a="1"/>
  <c r="F9" i="446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L41" i="1" a="1"/>
  <c r="L41" i="1"/>
  <c r="L40" i="1" a="1"/>
  <c r="L40" i="1"/>
  <c r="L38" i="1" a="1"/>
  <c r="L38" i="1"/>
  <c r="L37" i="1" a="1"/>
  <c r="L37" i="1"/>
  <c r="L36" i="1" a="1"/>
  <c r="L36" i="1"/>
  <c r="L35" i="1" a="1"/>
  <c r="L35" i="1"/>
  <c r="L34" i="1" a="1"/>
  <c r="L34" i="1"/>
  <c r="L33" i="1" a="1"/>
  <c r="L33" i="1"/>
  <c r="L31" i="1" a="1"/>
  <c r="L31" i="1"/>
  <c r="L30" i="1" a="1"/>
  <c r="L30" i="1"/>
  <c r="L29" i="1" a="1"/>
  <c r="L29" i="1"/>
  <c r="L27" i="1" a="1"/>
  <c r="L27" i="1"/>
  <c r="L25" i="1" a="1"/>
  <c r="L25" i="1"/>
  <c r="L24" i="1" a="1"/>
  <c r="L24" i="1"/>
  <c r="L23" i="1" a="1"/>
  <c r="L23" i="1"/>
  <c r="L22" i="1" a="1"/>
  <c r="L22" i="1"/>
  <c r="L21" i="1" a="1"/>
  <c r="L21" i="1"/>
  <c r="L20" i="1" a="1"/>
  <c r="L20" i="1"/>
  <c r="L18" i="1" a="1"/>
  <c r="L18" i="1"/>
  <c r="L15" i="1" a="1"/>
  <c r="L15" i="1"/>
  <c r="L14" i="1" a="1"/>
  <c r="L14" i="1"/>
  <c r="L13" i="1" a="1"/>
  <c r="L13" i="1"/>
  <c r="L12" i="1" a="1"/>
  <c r="L12" i="1"/>
  <c r="T82" i="89" a="1"/>
  <c r="T82" i="89"/>
  <c r="P55" i="338" a="1"/>
  <c r="P55" i="338"/>
  <c r="E82" i="89" a="1"/>
  <c r="E82" i="89"/>
  <c r="AK55" i="338" a="1"/>
  <c r="AK55" i="338"/>
  <c r="AK14" i="338" a="1"/>
  <c r="AK14" i="338"/>
  <c r="AJ55" i="338" a="1"/>
  <c r="AJ55" i="338"/>
  <c r="J1" i="24" a="1"/>
  <c r="J1" i="24"/>
  <c r="K2" i="2" a="1"/>
  <c r="K2" i="2"/>
  <c r="O82" i="89" a="1"/>
  <c r="O82" i="89"/>
  <c r="C82" i="89" a="1"/>
  <c r="C82" i="89"/>
  <c r="T55" i="338" a="1"/>
  <c r="T55" i="338"/>
  <c r="V82" i="89" a="1"/>
  <c r="V82" i="89"/>
  <c r="J55" i="338" a="1"/>
  <c r="J55" i="338"/>
  <c r="J14" i="338" a="1"/>
  <c r="J14" i="338"/>
  <c r="H55" i="338" a="1"/>
  <c r="H55" i="338"/>
  <c r="AI55" i="338" a="1"/>
  <c r="AI55" i="338"/>
  <c r="AI14" i="338" a="1"/>
  <c r="AI14" i="338"/>
  <c r="AH55" i="338" a="1"/>
  <c r="AH55" i="338"/>
  <c r="Z82" i="89" a="1"/>
  <c r="Z82" i="89"/>
  <c r="AA82" i="89" a="1"/>
  <c r="AA82" i="89"/>
  <c r="X55" i="338" a="1"/>
  <c r="X55" i="338"/>
  <c r="D82" i="89" a="1"/>
  <c r="D82" i="89"/>
  <c r="S55" i="338" a="1"/>
  <c r="S55" i="338"/>
  <c r="H34" i="89" l="1"/>
  <c r="K26" i="89" a="1"/>
  <c r="F26" i="89" a="1"/>
  <c r="W34" i="89" a="1"/>
  <c r="K27" i="89" a="1"/>
  <c r="K33" i="89" a="1"/>
  <c r="F27" i="89" a="1"/>
  <c r="L27" i="89" a="1"/>
  <c r="W27" i="89" a="1"/>
  <c r="W26" i="89" a="1"/>
  <c r="K34" i="89" a="1"/>
  <c r="L33" i="89" a="1"/>
  <c r="L34" i="89" a="1"/>
  <c r="L26" i="89" a="1"/>
  <c r="F34" i="89" a="1"/>
  <c r="F33" i="89" a="1"/>
  <c r="W33" i="89" a="1"/>
  <c r="W33" i="89" l="1"/>
  <c r="L33" i="89"/>
  <c r="F33" i="89"/>
  <c r="K33" i="89"/>
  <c r="K34" i="89"/>
  <c r="W26" i="89"/>
  <c r="K27" i="89"/>
  <c r="W27" i="89"/>
  <c r="L27" i="89"/>
  <c r="F34" i="89"/>
  <c r="W34" i="89"/>
  <c r="F26" i="89"/>
  <c r="L26" i="89"/>
  <c r="F27" i="89"/>
  <c r="L34" i="89"/>
  <c r="K26" i="89"/>
  <c r="Q38" i="1" l="1"/>
  <c r="S38" i="1"/>
  <c r="N38" i="1"/>
  <c r="J38" i="1"/>
  <c r="BB9" i="2"/>
  <c r="BA9" i="2"/>
  <c r="BB8" i="2"/>
  <c r="BA8" i="2"/>
  <c r="BB7" i="2"/>
  <c r="BA7" i="2"/>
  <c r="AF14" i="2" a="1"/>
  <c r="Q23" i="2" a="1"/>
  <c r="Q19" i="2" a="1"/>
  <c r="AN29" i="2" a="1"/>
  <c r="L24" i="2" a="1"/>
  <c r="AF19" i="2" a="1"/>
  <c r="AF8" i="2" a="1"/>
  <c r="AN20" i="2" a="1"/>
  <c r="G17" i="2" a="1"/>
  <c r="P17" i="2" a="1"/>
  <c r="L4" i="2" a="1"/>
  <c r="P7" i="2" a="1"/>
  <c r="L28" i="2" a="1"/>
  <c r="L29" i="2" a="1"/>
  <c r="G20" i="2" a="1"/>
  <c r="P16" i="2" a="1"/>
  <c r="L14" i="2" a="1"/>
  <c r="L9" i="2" a="1"/>
  <c r="L21" i="2" a="1"/>
  <c r="Q8" i="2" a="1"/>
  <c r="AN9" i="2" a="1"/>
  <c r="G25" i="2" a="1"/>
  <c r="Q25" i="2" a="1"/>
  <c r="AN24" i="2" a="1"/>
  <c r="AF7" i="2" a="1"/>
  <c r="AN6" i="2" a="1"/>
  <c r="I27" i="1" a="1"/>
  <c r="AN16" i="2" a="1"/>
  <c r="L19" i="2" a="1"/>
  <c r="AN25" i="2" a="1"/>
  <c r="AN19" i="2" a="1"/>
  <c r="L11" i="2" a="1"/>
  <c r="AN32" i="2" a="1"/>
  <c r="AN33" i="2" a="1"/>
  <c r="AN13" i="2" a="1"/>
  <c r="Q9" i="2" a="1"/>
  <c r="Q17" i="2" a="1"/>
  <c r="L17" i="2" a="1"/>
  <c r="Q7" i="2" a="1"/>
  <c r="AN5" i="2" a="1"/>
  <c r="AN21" i="2" a="1"/>
  <c r="AN4" i="2" a="1"/>
  <c r="AN14" i="2" a="1"/>
  <c r="L13" i="2" a="1"/>
  <c r="L22" i="2" a="1"/>
  <c r="AN30" i="2" a="1"/>
  <c r="Q15" i="2" a="1"/>
  <c r="Q20" i="2" a="1"/>
  <c r="AN11" i="2" a="1"/>
  <c r="L15" i="2" a="1"/>
  <c r="P20" i="2" a="1"/>
  <c r="AN12" i="2" a="1"/>
  <c r="AN31" i="2" a="1"/>
  <c r="G19" i="2" a="1"/>
  <c r="AN28" i="2" a="1"/>
  <c r="L31" i="2" a="1"/>
  <c r="G8" i="2" a="1"/>
  <c r="G15" i="2" a="1"/>
  <c r="P8" i="2" a="1"/>
  <c r="G7" i="2" a="1"/>
  <c r="G16" i="2" a="1"/>
  <c r="AN22" i="2" a="1"/>
  <c r="L12" i="2" a="1"/>
  <c r="L30" i="2" a="1"/>
  <c r="L33" i="2" a="1"/>
  <c r="L5" i="2" a="1"/>
  <c r="L32" i="2" a="1"/>
  <c r="L16" i="2" a="1"/>
  <c r="Q14" i="2" a="1"/>
  <c r="AF16" i="2" a="1"/>
  <c r="Q16" i="2" a="1"/>
  <c r="AN7" i="2" a="1"/>
  <c r="AF23" i="2" a="1"/>
  <c r="P15" i="2" a="1"/>
  <c r="Q18" i="2" a="1"/>
  <c r="L23" i="2" a="1"/>
  <c r="AN8" i="2" a="1"/>
  <c r="P18" i="2" a="1"/>
  <c r="P23" i="2" a="1"/>
  <c r="I18" i="1" a="1"/>
  <c r="L20" i="2" a="1"/>
  <c r="AF20" i="2" a="1"/>
  <c r="G18" i="2" a="1"/>
  <c r="AN15" i="2" a="1"/>
  <c r="AF9" i="2" a="1"/>
  <c r="P25" i="2" a="1"/>
  <c r="AF25" i="2" a="1"/>
  <c r="AF15" i="2" a="1"/>
  <c r="G24" i="2" a="1"/>
  <c r="P9" i="2" a="1"/>
  <c r="G9" i="2" a="1"/>
  <c r="AN17" i="2" a="1"/>
  <c r="AF24" i="2" a="1"/>
  <c r="L6" i="2" a="1"/>
  <c r="G14" i="2" a="1"/>
  <c r="AN23" i="2" a="1"/>
  <c r="P19" i="2" a="1"/>
  <c r="P24" i="2" a="1"/>
  <c r="G23" i="2" a="1"/>
  <c r="Q24" i="2" a="1"/>
  <c r="L2" i="2" a="1"/>
  <c r="L25" i="2" a="1"/>
  <c r="P14" i="2" a="1"/>
  <c r="AF17" i="2" a="1"/>
  <c r="AN18" i="2" a="1"/>
  <c r="T38" i="1" l="1"/>
  <c r="AN14" i="2"/>
  <c r="L30" i="2"/>
  <c r="AN31" i="2"/>
  <c r="L11" i="2"/>
  <c r="G17" i="2"/>
  <c r="AF19" i="2"/>
  <c r="L24" i="2"/>
  <c r="P25" i="2"/>
  <c r="AN18" i="2"/>
  <c r="L16" i="2"/>
  <c r="P14" i="2"/>
  <c r="AN30" i="2"/>
  <c r="L31" i="2"/>
  <c r="AN11" i="2"/>
  <c r="L17" i="2"/>
  <c r="AN19" i="2"/>
  <c r="AN24" i="2"/>
  <c r="G25" i="2"/>
  <c r="G16" i="2"/>
  <c r="G14" i="2"/>
  <c r="G20" i="2"/>
  <c r="L25" i="2"/>
  <c r="AF24" i="2"/>
  <c r="Q18" i="2"/>
  <c r="AN15" i="2"/>
  <c r="L29" i="2"/>
  <c r="L4" i="2"/>
  <c r="P17" i="2"/>
  <c r="AN4" i="2"/>
  <c r="Q17" i="2"/>
  <c r="AN25" i="2"/>
  <c r="Q25" i="2"/>
  <c r="AN9" i="2"/>
  <c r="AN29" i="2"/>
  <c r="L2" i="2"/>
  <c r="AN17" i="2"/>
  <c r="G24" i="2"/>
  <c r="G18" i="2"/>
  <c r="P15" i="2"/>
  <c r="L32" i="2"/>
  <c r="AN6" i="2"/>
  <c r="AN28" i="2"/>
  <c r="L12" i="2"/>
  <c r="AN12" i="2"/>
  <c r="Q20" i="2"/>
  <c r="AN21" i="2"/>
  <c r="Q19" i="2"/>
  <c r="P16" i="2"/>
  <c r="Q24" i="2"/>
  <c r="P18" i="2"/>
  <c r="AF15" i="2"/>
  <c r="AF20" i="2"/>
  <c r="AF23" i="2"/>
  <c r="L22" i="2"/>
  <c r="L33" i="2"/>
  <c r="AN5" i="2"/>
  <c r="AN13" i="2"/>
  <c r="L19" i="2"/>
  <c r="AN20" i="2"/>
  <c r="L21" i="2"/>
  <c r="Q23" i="2"/>
  <c r="AF16" i="2"/>
  <c r="G15" i="2"/>
  <c r="G23" i="2"/>
  <c r="AN8" i="2"/>
  <c r="L20" i="2"/>
  <c r="AN7" i="2"/>
  <c r="L28" i="2"/>
  <c r="P20" i="2"/>
  <c r="Q15" i="2"/>
  <c r="AN33" i="2"/>
  <c r="AN16" i="2"/>
  <c r="L9" i="2"/>
  <c r="AN23" i="2"/>
  <c r="Q14" i="2"/>
  <c r="AF17" i="2"/>
  <c r="P24" i="2"/>
  <c r="I18" i="1"/>
  <c r="L5" i="2"/>
  <c r="L13" i="2"/>
  <c r="G19" i="2"/>
  <c r="AN22" i="2"/>
  <c r="L15" i="2"/>
  <c r="AN32" i="2"/>
  <c r="I27" i="1"/>
  <c r="L14" i="2"/>
  <c r="AF14" i="2"/>
  <c r="L6" i="2"/>
  <c r="P19" i="2"/>
  <c r="L23" i="2"/>
  <c r="AF25" i="2"/>
  <c r="P23" i="2"/>
  <c r="Q16" i="2"/>
  <c r="BC7" i="2"/>
  <c r="BC8" i="2"/>
  <c r="BC9" i="2"/>
  <c r="Q9" i="2"/>
  <c r="Q7" i="2"/>
  <c r="P8" i="2"/>
  <c r="AF7" i="2"/>
  <c r="P7" i="2"/>
  <c r="Q8" i="2"/>
  <c r="P9" i="2"/>
  <c r="AF9" i="2"/>
  <c r="G8" i="2"/>
  <c r="G7" i="2"/>
  <c r="G9" i="2"/>
  <c r="AF8" i="2"/>
  <c r="S8" i="2" a="1"/>
  <c r="S9" i="2" a="1"/>
  <c r="S7" i="2" a="1"/>
  <c r="R8" i="2" l="1"/>
  <c r="S9" i="2"/>
  <c r="U9" i="2" s="1"/>
  <c r="S7" i="2"/>
  <c r="AO7" i="2" s="1"/>
  <c r="S8" i="2"/>
  <c r="AO8" i="2" s="1"/>
  <c r="O7" i="2"/>
  <c r="AP7" i="2"/>
  <c r="U8" i="2"/>
  <c r="AP8" i="2"/>
  <c r="O8" i="2"/>
  <c r="O9" i="2"/>
  <c r="R7" i="2"/>
  <c r="R9" i="2"/>
  <c r="Z8" i="2"/>
  <c r="AV8" i="2" s="1" a="1"/>
  <c r="Z7" i="2"/>
  <c r="AV7" i="2" s="1" a="1"/>
  <c r="AP9" i="2" l="1"/>
  <c r="AO9" i="2"/>
  <c r="U7" i="2"/>
  <c r="AV7" i="2"/>
  <c r="AV8" i="2"/>
  <c r="AT9" i="2"/>
  <c r="AL9" i="2"/>
  <c r="AS9" i="2"/>
  <c r="M9" i="2"/>
  <c r="AM9" i="2"/>
  <c r="X9" i="2"/>
  <c r="Y9" i="2" s="1"/>
  <c r="AB9" i="2"/>
  <c r="AL8" i="2"/>
  <c r="AT8" i="2"/>
  <c r="AS8" i="2"/>
  <c r="AB8" i="2"/>
  <c r="X8" i="2"/>
  <c r="Y8" i="2" s="1"/>
  <c r="AM8" i="2"/>
  <c r="M8" i="2"/>
  <c r="AE9" i="2"/>
  <c r="AL7" i="2"/>
  <c r="AT7" i="2"/>
  <c r="AS7" i="2"/>
  <c r="AB7" i="2"/>
  <c r="AM7" i="2"/>
  <c r="M7" i="2"/>
  <c r="X7" i="2"/>
  <c r="Y7" i="2" s="1"/>
  <c r="AE8" i="2"/>
  <c r="AE7" i="2"/>
  <c r="T17" i="1" l="1"/>
  <c r="Q16" i="1"/>
  <c r="H76" i="89"/>
  <c r="H69" i="89"/>
  <c r="L76" i="89" a="1"/>
  <c r="W76" i="89" a="1"/>
  <c r="K76" i="89" a="1"/>
  <c r="U17" i="1" l="1"/>
  <c r="AH17" i="1"/>
  <c r="T16" i="1"/>
  <c r="K76" i="89"/>
  <c r="W76" i="89"/>
  <c r="L76" i="89"/>
  <c r="F69" i="89" a="1"/>
  <c r="W75" i="89" a="1"/>
  <c r="L75" i="89" a="1"/>
  <c r="K69" i="89" a="1"/>
  <c r="K75" i="89" a="1"/>
  <c r="W69" i="89" a="1"/>
  <c r="F75" i="89" a="1"/>
  <c r="L69" i="89" a="1"/>
  <c r="S76" i="89" a="1"/>
  <c r="Y17" i="1" l="1"/>
  <c r="AA17" i="1"/>
  <c r="Z17" i="1"/>
  <c r="L69" i="89"/>
  <c r="F75" i="89"/>
  <c r="W69" i="89"/>
  <c r="K75" i="89"/>
  <c r="K69" i="89"/>
  <c r="L75" i="89"/>
  <c r="W75" i="89"/>
  <c r="F69" i="89"/>
  <c r="S76" i="89"/>
  <c r="R76" i="89" a="1"/>
  <c r="L68" i="89" a="1"/>
  <c r="K68" i="89" a="1"/>
  <c r="F68" i="89" a="1"/>
  <c r="W68" i="89" a="1"/>
  <c r="R76" i="89" l="1"/>
  <c r="F68" i="89"/>
  <c r="W68" i="89"/>
  <c r="K68" i="89"/>
  <c r="L68" i="89"/>
  <c r="L235" i="89" a="1"/>
  <c r="L178" i="89" a="1"/>
  <c r="W235" i="89" a="1"/>
  <c r="K235" i="89" a="1"/>
  <c r="F235" i="89" a="1"/>
  <c r="F178" i="89" a="1"/>
  <c r="W178" i="89" a="1"/>
  <c r="K178" i="89" a="1"/>
  <c r="F178" i="89" l="1"/>
  <c r="K235" i="89"/>
  <c r="K178" i="89"/>
  <c r="W235" i="89"/>
  <c r="W178" i="89"/>
  <c r="L235" i="89"/>
  <c r="F235" i="89"/>
  <c r="L178" i="89"/>
  <c r="W234" i="89" a="1"/>
  <c r="W233" i="89" a="1"/>
  <c r="K233" i="89" a="1"/>
  <c r="L234" i="89" a="1"/>
  <c r="K234" i="89" a="1"/>
  <c r="F234" i="89" a="1"/>
  <c r="L233" i="89" a="1"/>
  <c r="F233" i="89" a="1"/>
  <c r="F233" i="89" l="1"/>
  <c r="K233" i="89"/>
  <c r="L233" i="89"/>
  <c r="W233" i="89"/>
  <c r="F234" i="89"/>
  <c r="K234" i="89"/>
  <c r="L234" i="89"/>
  <c r="W234" i="89"/>
  <c r="AE235" i="89"/>
  <c r="N235" i="89" a="1"/>
  <c r="N235" i="89" l="1"/>
  <c r="M235" i="89"/>
  <c r="I235" i="89"/>
  <c r="Z235" i="89" a="1"/>
  <c r="AA235" i="89" a="1"/>
  <c r="Z235" i="89" l="1"/>
  <c r="AA235" i="89"/>
  <c r="J235" i="89"/>
  <c r="P235" i="89"/>
  <c r="Q235" i="89" l="1"/>
  <c r="AC235" i="89"/>
  <c r="Y235" i="89"/>
  <c r="U235" i="89"/>
  <c r="D235" i="89" s="1"/>
  <c r="A235" i="89" l="1"/>
  <c r="F212" i="89" a="1"/>
  <c r="L211" i="89" a="1"/>
  <c r="F211" i="89" a="1"/>
  <c r="W211" i="89" a="1"/>
  <c r="K212" i="89" a="1"/>
  <c r="L212" i="89" a="1"/>
  <c r="W212" i="89" a="1"/>
  <c r="K211" i="89" a="1"/>
  <c r="W212" i="89" l="1"/>
  <c r="W211" i="89"/>
  <c r="L212" i="89"/>
  <c r="F211" i="89"/>
  <c r="L211" i="89"/>
  <c r="K211" i="89"/>
  <c r="K212" i="89"/>
  <c r="F212" i="89"/>
  <c r="BA30" i="2"/>
  <c r="BB30" i="2"/>
  <c r="BA29" i="2"/>
  <c r="BA28" i="2"/>
  <c r="K213" i="89" a="1"/>
  <c r="F213" i="89" a="1"/>
  <c r="G28" i="2" a="1"/>
  <c r="P29" i="2" a="1"/>
  <c r="W213" i="89" a="1"/>
  <c r="AF30" i="2" a="1"/>
  <c r="AF28" i="2" a="1"/>
  <c r="Q29" i="2" a="1"/>
  <c r="P28" i="2" a="1"/>
  <c r="Q28" i="2" a="1"/>
  <c r="AF29" i="2" a="1"/>
  <c r="Q30" i="2" a="1"/>
  <c r="G29" i="2" a="1"/>
  <c r="P30" i="2" a="1"/>
  <c r="L213" i="89" a="1"/>
  <c r="G30" i="2" a="1"/>
  <c r="F213" i="89" l="1"/>
  <c r="K213" i="89"/>
  <c r="L213" i="89"/>
  <c r="W213" i="89"/>
  <c r="BC30" i="2"/>
  <c r="AF30" i="2"/>
  <c r="G30" i="2"/>
  <c r="Q30" i="2"/>
  <c r="P30" i="2"/>
  <c r="P28" i="2"/>
  <c r="P29" i="2"/>
  <c r="Q29" i="2"/>
  <c r="AF29" i="2"/>
  <c r="G28" i="2"/>
  <c r="G29" i="2"/>
  <c r="Q28" i="2"/>
  <c r="AF28" i="2"/>
  <c r="BB28" i="2"/>
  <c r="BC28" i="2" s="1"/>
  <c r="BB29" i="2"/>
  <c r="BC29" i="2" s="1"/>
  <c r="S30" i="2" a="1"/>
  <c r="S28" i="2" a="1"/>
  <c r="S29" i="2" a="1"/>
  <c r="J41" i="1" l="1"/>
  <c r="N41" i="1"/>
  <c r="N40" i="1"/>
  <c r="J40" i="1"/>
  <c r="S30" i="2"/>
  <c r="R30" i="2"/>
  <c r="O30" i="2"/>
  <c r="U30" i="2"/>
  <c r="AP30" i="2"/>
  <c r="AO30" i="2"/>
  <c r="R29" i="2"/>
  <c r="R28" i="2"/>
  <c r="S29" i="2"/>
  <c r="AO29" i="2" s="1"/>
  <c r="S28" i="2"/>
  <c r="U28" i="2" s="1"/>
  <c r="O29" i="2"/>
  <c r="O28" i="2"/>
  <c r="Z29" i="2"/>
  <c r="AV29" i="2" s="1" a="1"/>
  <c r="Z28" i="2"/>
  <c r="AV28" i="2" s="1" a="1"/>
  <c r="AV28" i="2" l="1"/>
  <c r="AV29" i="2"/>
  <c r="AP28" i="2"/>
  <c r="AO28" i="2"/>
  <c r="AP29" i="2"/>
  <c r="U29" i="2"/>
  <c r="AT30" i="2"/>
  <c r="AS30" i="2"/>
  <c r="AL30" i="2"/>
  <c r="M30" i="2"/>
  <c r="AM30" i="2"/>
  <c r="X30" i="2"/>
  <c r="Y30" i="2" s="1"/>
  <c r="AB30" i="2"/>
  <c r="AE30" i="2"/>
  <c r="AL28" i="2"/>
  <c r="AS28" i="2"/>
  <c r="AT28" i="2"/>
  <c r="AB28" i="2"/>
  <c r="X28" i="2"/>
  <c r="Y28" i="2" s="1"/>
  <c r="M28" i="2"/>
  <c r="AM28" i="2"/>
  <c r="AL29" i="2"/>
  <c r="AT29" i="2"/>
  <c r="AS29" i="2"/>
  <c r="M29" i="2"/>
  <c r="AB29" i="2"/>
  <c r="X29" i="2"/>
  <c r="Y29" i="2" s="1"/>
  <c r="AM29" i="2"/>
  <c r="AE29" i="2"/>
  <c r="AE28" i="2"/>
  <c r="AF33" i="2" a="1"/>
  <c r="AF32" i="2" a="1"/>
  <c r="G31" i="2" a="1"/>
  <c r="AF31" i="2" a="1"/>
  <c r="AF31" i="2" l="1"/>
  <c r="AF32" i="2"/>
  <c r="AF33" i="2"/>
  <c r="G31" i="2"/>
  <c r="O31" i="2"/>
  <c r="Q31" i="2" a="1"/>
  <c r="Z31" i="2"/>
  <c r="AV31" i="2" s="1" a="1"/>
  <c r="P31" i="2" a="1"/>
  <c r="S31" i="2" a="1"/>
  <c r="AV31" i="2" l="1"/>
  <c r="S31" i="2"/>
  <c r="Q31" i="2"/>
  <c r="P31" i="2"/>
  <c r="M31" i="2"/>
  <c r="X31" i="2"/>
  <c r="Y31" i="2" s="1"/>
  <c r="AB31" i="2"/>
  <c r="AL31" i="2"/>
  <c r="AM31" i="2"/>
  <c r="AO31" i="2"/>
  <c r="AP31" i="2"/>
  <c r="AE31" i="2" l="1"/>
  <c r="R31" i="2"/>
  <c r="U31" i="2"/>
  <c r="AS31" i="2"/>
  <c r="AT31" i="2"/>
  <c r="BA31" i="2"/>
  <c r="BB31" i="2"/>
  <c r="BC31" i="2" l="1"/>
  <c r="G32" i="2" a="1"/>
  <c r="G32" i="2" l="1"/>
  <c r="O32" i="2"/>
  <c r="Q32" i="2" a="1"/>
  <c r="Z32" i="2"/>
  <c r="AV32" i="2" s="1" a="1"/>
  <c r="P32" i="2" a="1"/>
  <c r="S32" i="2" a="1"/>
  <c r="AV32" i="2" l="1"/>
  <c r="S32" i="2"/>
  <c r="P32" i="2"/>
  <c r="U32" i="2"/>
  <c r="Q32" i="2"/>
  <c r="M32" i="2"/>
  <c r="X32" i="2"/>
  <c r="Y32" i="2" s="1"/>
  <c r="AB32" i="2"/>
  <c r="AL32" i="2"/>
  <c r="AM32" i="2"/>
  <c r="AO32" i="2"/>
  <c r="AP32" i="2"/>
  <c r="R32" i="2" l="1"/>
  <c r="AE32" i="2"/>
  <c r="AS32" i="2"/>
  <c r="AT32" i="2"/>
  <c r="BA32" i="2"/>
  <c r="BB32" i="2"/>
  <c r="BC32" i="2" s="1"/>
  <c r="G33" i="2" a="1"/>
  <c r="G33" i="2" l="1"/>
  <c r="O33" i="2"/>
  <c r="Q33" i="2" a="1"/>
  <c r="Z33" i="2"/>
  <c r="AV33" i="2" s="1" a="1"/>
  <c r="S33" i="2" a="1"/>
  <c r="P33" i="2" a="1"/>
  <c r="AV33" i="2" l="1"/>
  <c r="S33" i="2"/>
  <c r="U33" i="2" s="1"/>
  <c r="P33" i="2"/>
  <c r="Q33" i="2"/>
  <c r="M33" i="2"/>
  <c r="X33" i="2"/>
  <c r="Y33" i="2" s="1"/>
  <c r="AB33" i="2"/>
  <c r="AL33" i="2"/>
  <c r="AM33" i="2"/>
  <c r="AO33" i="2"/>
  <c r="AP33" i="2"/>
  <c r="R33" i="2" l="1"/>
  <c r="AE33" i="2"/>
  <c r="AS33" i="2"/>
  <c r="AT33" i="2"/>
  <c r="BA33" i="2"/>
  <c r="BB33" i="2"/>
  <c r="BC33" i="2" l="1"/>
  <c r="L36" i="2"/>
  <c r="BB22" i="2"/>
  <c r="BA22" i="2"/>
  <c r="BB21" i="2"/>
  <c r="BA21" i="2"/>
  <c r="L27" i="2" a="1"/>
  <c r="G21" i="2" a="1"/>
  <c r="L26" i="2" a="1"/>
  <c r="AN27" i="2" a="1"/>
  <c r="G22" i="2" a="1"/>
  <c r="AN26" i="2" a="1"/>
  <c r="Q21" i="2" a="1"/>
  <c r="P22" i="2" a="1"/>
  <c r="Q22" i="2" a="1"/>
  <c r="AF21" i="2" a="1"/>
  <c r="AF22" i="2" a="1"/>
  <c r="P21" i="2" a="1"/>
  <c r="AN27" i="2" l="1"/>
  <c r="L27" i="2"/>
  <c r="L26" i="2"/>
  <c r="AN26" i="2"/>
  <c r="BC21" i="2"/>
  <c r="AF22" i="2"/>
  <c r="AF21" i="2"/>
  <c r="P21" i="2"/>
  <c r="Q22" i="2"/>
  <c r="Q21" i="2"/>
  <c r="P22" i="2"/>
  <c r="G21" i="2"/>
  <c r="G22" i="2"/>
  <c r="BC22" i="2"/>
  <c r="S22" i="2" a="1"/>
  <c r="S21" i="2" a="1"/>
  <c r="R22" i="2" l="1"/>
  <c r="S21" i="2"/>
  <c r="AO21" i="2" s="1"/>
  <c r="S22" i="2"/>
  <c r="U22" i="2" s="1"/>
  <c r="AP21" i="2"/>
  <c r="O21" i="2"/>
  <c r="AO22" i="2"/>
  <c r="R21" i="2"/>
  <c r="O22" i="2"/>
  <c r="N36" i="1"/>
  <c r="J36" i="1"/>
  <c r="Z22" i="2"/>
  <c r="AV22" i="2" s="1" a="1"/>
  <c r="AV22" i="2" l="1"/>
  <c r="U21" i="2"/>
  <c r="AP22" i="2"/>
  <c r="AE22" i="2"/>
  <c r="AL22" i="2"/>
  <c r="AS22" i="2"/>
  <c r="AT22" i="2"/>
  <c r="M22" i="2"/>
  <c r="AM22" i="2"/>
  <c r="X22" i="2"/>
  <c r="Y22" i="2" s="1"/>
  <c r="AB22" i="2"/>
  <c r="AE21" i="2"/>
  <c r="AL21" i="2"/>
  <c r="AT21" i="2"/>
  <c r="AS21" i="2"/>
  <c r="AB21" i="2"/>
  <c r="M21" i="2"/>
  <c r="X21" i="2"/>
  <c r="Y21" i="2" s="1"/>
  <c r="AM21" i="2"/>
  <c r="W63" i="89" a="1"/>
  <c r="W55" i="89" a="1"/>
  <c r="W62" i="89" a="1"/>
  <c r="F55" i="89" a="1"/>
  <c r="F63" i="89" a="1"/>
  <c r="K62" i="89" a="1"/>
  <c r="L55" i="89" a="1"/>
  <c r="L63" i="89" a="1"/>
  <c r="L62" i="89" a="1"/>
  <c r="K55" i="89" a="1"/>
  <c r="F62" i="89" a="1"/>
  <c r="K63" i="89" a="1"/>
  <c r="K55" i="89" l="1"/>
  <c r="L62" i="89"/>
  <c r="L63" i="89"/>
  <c r="L55" i="89"/>
  <c r="K62" i="89"/>
  <c r="F63" i="89"/>
  <c r="W55" i="89"/>
  <c r="F55" i="89"/>
  <c r="W62" i="89"/>
  <c r="W63" i="89"/>
  <c r="K63" i="89"/>
  <c r="F62" i="89"/>
  <c r="L56" i="89" a="1"/>
  <c r="K56" i="89" a="1"/>
  <c r="W56" i="89" a="1"/>
  <c r="F56" i="89" a="1"/>
  <c r="F56" i="89" l="1"/>
  <c r="K56" i="89"/>
  <c r="W56" i="89"/>
  <c r="L56" i="89"/>
  <c r="S55" i="89" a="1"/>
  <c r="S55" i="89" l="1"/>
  <c r="R55" i="89" a="1"/>
  <c r="S50" i="89" a="1"/>
  <c r="R55" i="89" l="1"/>
  <c r="S50" i="89"/>
  <c r="R50" i="89" a="1"/>
  <c r="W50" i="89" a="1"/>
  <c r="L49" i="89" a="1"/>
  <c r="K50" i="89" a="1"/>
  <c r="L50" i="89" a="1"/>
  <c r="F50" i="89" a="1"/>
  <c r="F49" i="89" a="1"/>
  <c r="K49" i="89" a="1"/>
  <c r="W49" i="89" a="1"/>
  <c r="R50" i="89" l="1"/>
  <c r="F49" i="89"/>
  <c r="W49" i="89"/>
  <c r="F50" i="89"/>
  <c r="W50" i="89"/>
  <c r="L50" i="89"/>
  <c r="K50" i="89"/>
  <c r="K49" i="89"/>
  <c r="L49" i="89"/>
  <c r="H195" i="89" l="1"/>
  <c r="L197" i="89" a="1"/>
  <c r="K197" i="89" a="1"/>
  <c r="Z20" i="2"/>
  <c r="AV20" i="2" s="1" a="1"/>
  <c r="AB27" i="89" a="1"/>
  <c r="AB26" i="89" a="1"/>
  <c r="L7" i="89" a="1"/>
  <c r="F8" i="89" a="1"/>
  <c r="S56" i="89" a="1"/>
  <c r="S69" i="89" a="1"/>
  <c r="K8" i="89" a="1"/>
  <c r="W8" i="89" a="1"/>
  <c r="F7" i="89" a="1"/>
  <c r="F197" i="89" a="1"/>
  <c r="S33" i="89"/>
  <c r="R33" i="89" s="1" a="1"/>
  <c r="S27" i="89" a="1"/>
  <c r="L8" i="89" a="1"/>
  <c r="W7" i="89" a="1"/>
  <c r="K7" i="89" a="1"/>
  <c r="W197" i="89" a="1"/>
  <c r="R33" i="89" l="1"/>
  <c r="AV20" i="2"/>
  <c r="S69" i="89"/>
  <c r="AB27" i="89"/>
  <c r="S27" i="89"/>
  <c r="S56" i="89"/>
  <c r="AB26" i="89"/>
  <c r="W197" i="89"/>
  <c r="L197" i="89"/>
  <c r="K197" i="89"/>
  <c r="L7" i="89"/>
  <c r="K7" i="89"/>
  <c r="W7" i="89"/>
  <c r="F7" i="89"/>
  <c r="F197" i="89"/>
  <c r="L8" i="89"/>
  <c r="K8" i="89"/>
  <c r="F8" i="89"/>
  <c r="W8" i="89"/>
  <c r="R69" i="89" a="1"/>
  <c r="R56" i="89" a="1"/>
  <c r="W195" i="89" a="1"/>
  <c r="L195" i="89" a="1"/>
  <c r="K195" i="89" a="1"/>
  <c r="F195" i="89" a="1"/>
  <c r="R27" i="89" a="1"/>
  <c r="R56" i="89" l="1"/>
  <c r="R69" i="89"/>
  <c r="R27" i="89"/>
  <c r="S40" i="1"/>
  <c r="Q41" i="1"/>
  <c r="S41" i="1"/>
  <c r="Q40" i="1"/>
  <c r="Q36" i="1"/>
  <c r="T36" i="1" s="1"/>
  <c r="W195" i="89"/>
  <c r="F195" i="89"/>
  <c r="L195" i="89"/>
  <c r="K195" i="89"/>
  <c r="S205" i="89" a="1"/>
  <c r="S243" i="89" a="1"/>
  <c r="W196" i="89" a="1"/>
  <c r="S251" i="89" a="1"/>
  <c r="S196" i="89"/>
  <c r="R196" i="89" s="1" a="1"/>
  <c r="S14" i="89" a="1"/>
  <c r="S223" i="89" a="1"/>
  <c r="S13" i="89" a="1"/>
  <c r="S26" i="89" a="1"/>
  <c r="L196" i="89" a="1"/>
  <c r="K196" i="89" a="1"/>
  <c r="F196" i="89" a="1"/>
  <c r="R196" i="89" l="1"/>
  <c r="S13" i="89"/>
  <c r="S223" i="89"/>
  <c r="S251" i="89"/>
  <c r="S205" i="89"/>
  <c r="T40" i="1"/>
  <c r="T41" i="1"/>
  <c r="S14" i="89"/>
  <c r="S243" i="89"/>
  <c r="S26" i="89"/>
  <c r="L196" i="89"/>
  <c r="F196" i="89"/>
  <c r="K196" i="89"/>
  <c r="W196" i="89"/>
  <c r="R243" i="89" a="1"/>
  <c r="R13" i="89" a="1"/>
  <c r="R14" i="89" a="1"/>
  <c r="R223" i="89" a="1"/>
  <c r="R251" i="89" a="1"/>
  <c r="R205" i="89" a="1"/>
  <c r="I14" i="1" a="1"/>
  <c r="R26" i="89" a="1"/>
  <c r="I31" i="1" a="1"/>
  <c r="R243" i="89" l="1"/>
  <c r="R14" i="89"/>
  <c r="R13" i="89"/>
  <c r="R205" i="89"/>
  <c r="R251" i="89"/>
  <c r="R223" i="89"/>
  <c r="R26" i="89"/>
  <c r="I31" i="1"/>
  <c r="I14" i="1"/>
  <c r="S102" i="89" a="1"/>
  <c r="S102" i="89" l="1"/>
  <c r="W19" i="252" l="1"/>
  <c r="T19" i="252"/>
  <c r="W8" i="252"/>
  <c r="T10" i="252"/>
  <c r="T18" i="252"/>
  <c r="W10" i="252"/>
  <c r="T8" i="252"/>
  <c r="W18" i="252"/>
  <c r="W16" i="252" l="1"/>
  <c r="T16" i="252"/>
  <c r="W14" i="252"/>
  <c r="T14" i="252"/>
  <c r="W17" i="252"/>
  <c r="T17" i="252"/>
  <c r="T11" i="252"/>
  <c r="W11" i="252"/>
  <c r="J12" i="252" l="1" a="1"/>
  <c r="J11" i="252" a="1"/>
  <c r="J8" i="252" a="1"/>
  <c r="J7" i="252" a="1"/>
  <c r="J9" i="252" a="1"/>
  <c r="J10" i="252" a="1"/>
  <c r="J18" i="252" a="1"/>
  <c r="J14" i="252" a="1"/>
  <c r="J17" i="252" a="1"/>
  <c r="J15" i="252" a="1"/>
  <c r="J13" i="252" a="1"/>
  <c r="J19" i="252" a="1"/>
  <c r="J6" i="252" a="1"/>
  <c r="J20" i="252" a="1"/>
  <c r="J16" i="252" a="1"/>
  <c r="J16" i="252" l="1"/>
  <c r="J20" i="252"/>
  <c r="J6" i="252"/>
  <c r="J19" i="252"/>
  <c r="J13" i="252"/>
  <c r="J15" i="252"/>
  <c r="J17" i="252"/>
  <c r="J14" i="252"/>
  <c r="J18" i="252"/>
  <c r="J10" i="252"/>
  <c r="J9" i="252"/>
  <c r="J7" i="252"/>
  <c r="J8" i="252"/>
  <c r="J11" i="252"/>
  <c r="J12" i="252"/>
  <c r="W20" i="252" l="1"/>
  <c r="T20" i="252"/>
  <c r="W7" i="252"/>
  <c r="T7" i="252"/>
  <c r="S165" i="444" l="1"/>
  <c r="R165" i="444"/>
  <c r="T165" i="444" s="1"/>
  <c r="U165" i="444" s="1"/>
  <c r="G165" i="444"/>
  <c r="S164" i="444"/>
  <c r="R164" i="444"/>
  <c r="T164" i="444" s="1"/>
  <c r="U164" i="444" s="1"/>
  <c r="G164" i="444"/>
  <c r="R163" i="444"/>
  <c r="T163" i="444" s="1"/>
  <c r="U163" i="444" s="1"/>
  <c r="G163" i="444"/>
  <c r="T162" i="444"/>
  <c r="U162" i="444" s="1"/>
  <c r="R162" i="444"/>
  <c r="S162" i="444" s="1"/>
  <c r="G162" i="444"/>
  <c r="T161" i="444"/>
  <c r="U161" i="444" s="1"/>
  <c r="R161" i="444"/>
  <c r="S161" i="444" s="1"/>
  <c r="G161" i="444"/>
  <c r="T160" i="444"/>
  <c r="U160" i="444" s="1"/>
  <c r="S160" i="444"/>
  <c r="R160" i="444"/>
  <c r="G160" i="444"/>
  <c r="R159" i="444"/>
  <c r="T159" i="444" s="1"/>
  <c r="U159" i="444" s="1"/>
  <c r="G159" i="444"/>
  <c r="R158" i="444"/>
  <c r="T158" i="444" s="1"/>
  <c r="U158" i="444" s="1"/>
  <c r="G158" i="444"/>
  <c r="T157" i="444"/>
  <c r="U157" i="444" s="1"/>
  <c r="V157" i="444" s="1"/>
  <c r="W157" i="444" s="1"/>
  <c r="S157" i="444"/>
  <c r="R157" i="444"/>
  <c r="G157" i="444"/>
  <c r="R156" i="444"/>
  <c r="T156" i="444" s="1"/>
  <c r="U156" i="444" s="1"/>
  <c r="G156" i="444"/>
  <c r="T155" i="444"/>
  <c r="U155" i="444" s="1"/>
  <c r="V155" i="444" s="1"/>
  <c r="W155" i="444" s="1"/>
  <c r="S155" i="444"/>
  <c r="R155" i="444"/>
  <c r="G155" i="444"/>
  <c r="T154" i="444"/>
  <c r="U154" i="444" s="1"/>
  <c r="V154" i="444" s="1"/>
  <c r="W154" i="444" s="1"/>
  <c r="S154" i="444"/>
  <c r="R154" i="444"/>
  <c r="G154" i="444"/>
  <c r="T153" i="444"/>
  <c r="U153" i="444" s="1"/>
  <c r="S153" i="444"/>
  <c r="R153" i="444"/>
  <c r="G153" i="444"/>
  <c r="T152" i="444"/>
  <c r="U152" i="444" s="1"/>
  <c r="R152" i="444"/>
  <c r="S152" i="444" s="1"/>
  <c r="G152" i="444"/>
  <c r="T151" i="444"/>
  <c r="U151" i="444" s="1"/>
  <c r="V151" i="444" s="1"/>
  <c r="W151" i="444" s="1"/>
  <c r="S151" i="444"/>
  <c r="R151" i="444"/>
  <c r="G151" i="444"/>
  <c r="T150" i="444"/>
  <c r="U150" i="444" s="1"/>
  <c r="R150" i="444"/>
  <c r="S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S145" i="444"/>
  <c r="R145" i="444"/>
  <c r="T145" i="444" s="1"/>
  <c r="U145" i="444" s="1"/>
  <c r="G145" i="444"/>
  <c r="S144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R142" i="444"/>
  <c r="S142" i="444" s="1"/>
  <c r="G142" i="444"/>
  <c r="T141" i="444"/>
  <c r="U141" i="444" s="1"/>
  <c r="R141" i="444"/>
  <c r="S141" i="444" s="1"/>
  <c r="G141" i="444"/>
  <c r="T140" i="444"/>
  <c r="U140" i="444" s="1"/>
  <c r="S140" i="444"/>
  <c r="R140" i="444"/>
  <c r="G140" i="444"/>
  <c r="R139" i="444"/>
  <c r="T139" i="444" s="1"/>
  <c r="U139" i="444" s="1"/>
  <c r="G139" i="444"/>
  <c r="S138" i="444"/>
  <c r="R138" i="444"/>
  <c r="T138" i="444" s="1"/>
  <c r="U138" i="444" s="1"/>
  <c r="G138" i="444"/>
  <c r="T137" i="444"/>
  <c r="U137" i="444" s="1"/>
  <c r="V137" i="444" s="1"/>
  <c r="W137" i="444" s="1"/>
  <c r="S137" i="444"/>
  <c r="R137" i="444"/>
  <c r="G137" i="444"/>
  <c r="R136" i="444"/>
  <c r="T136" i="444" s="1"/>
  <c r="U136" i="444" s="1"/>
  <c r="G136" i="444"/>
  <c r="T135" i="444"/>
  <c r="U135" i="444" s="1"/>
  <c r="V135" i="444" s="1"/>
  <c r="W135" i="444" s="1"/>
  <c r="S135" i="444"/>
  <c r="R135" i="444"/>
  <c r="G135" i="444"/>
  <c r="T134" i="444"/>
  <c r="U134" i="444" s="1"/>
  <c r="V134" i="444" s="1"/>
  <c r="W134" i="444" s="1"/>
  <c r="S134" i="444"/>
  <c r="R134" i="444"/>
  <c r="G134" i="444"/>
  <c r="T133" i="444"/>
  <c r="U133" i="444" s="1"/>
  <c r="S133" i="444"/>
  <c r="R133" i="444"/>
  <c r="G133" i="444"/>
  <c r="T132" i="444"/>
  <c r="U132" i="444" s="1"/>
  <c r="R132" i="444"/>
  <c r="S132" i="444" s="1"/>
  <c r="G132" i="444"/>
  <c r="T131" i="444"/>
  <c r="U131" i="444" s="1"/>
  <c r="V131" i="444" s="1"/>
  <c r="W131" i="444" s="1"/>
  <c r="S131" i="444"/>
  <c r="R131" i="444"/>
  <c r="G131" i="444"/>
  <c r="T130" i="444"/>
  <c r="U130" i="444" s="1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T126" i="444" s="1"/>
  <c r="U126" i="444" s="1"/>
  <c r="G126" i="444"/>
  <c r="S125" i="444"/>
  <c r="R125" i="444"/>
  <c r="T125" i="444" s="1"/>
  <c r="U125" i="444" s="1"/>
  <c r="G125" i="444"/>
  <c r="S124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R122" i="444"/>
  <c r="S122" i="444" s="1"/>
  <c r="G122" i="444"/>
  <c r="T121" i="444"/>
  <c r="U121" i="444" s="1"/>
  <c r="R121" i="444"/>
  <c r="S121" i="444" s="1"/>
  <c r="G121" i="444"/>
  <c r="T120" i="444"/>
  <c r="U120" i="444" s="1"/>
  <c r="S120" i="444"/>
  <c r="R120" i="444"/>
  <c r="G120" i="444"/>
  <c r="R119" i="444"/>
  <c r="T119" i="444" s="1"/>
  <c r="U119" i="444" s="1"/>
  <c r="G119" i="444"/>
  <c r="S118" i="444"/>
  <c r="R118" i="444"/>
  <c r="T118" i="444" s="1"/>
  <c r="U118" i="444" s="1"/>
  <c r="G118" i="444"/>
  <c r="T117" i="444"/>
  <c r="U117" i="444" s="1"/>
  <c r="V117" i="444" s="1"/>
  <c r="W117" i="444" s="1"/>
  <c r="S117" i="444"/>
  <c r="R117" i="444"/>
  <c r="G117" i="444"/>
  <c r="R116" i="444"/>
  <c r="T116" i="444" s="1"/>
  <c r="U116" i="444" s="1"/>
  <c r="G116" i="444"/>
  <c r="T115" i="444"/>
  <c r="U115" i="444" s="1"/>
  <c r="V115" i="444" s="1"/>
  <c r="W115" i="444" s="1"/>
  <c r="S115" i="444"/>
  <c r="R115" i="444"/>
  <c r="G115" i="444"/>
  <c r="T114" i="444"/>
  <c r="U114" i="444" s="1"/>
  <c r="V114" i="444" s="1"/>
  <c r="W114" i="444" s="1"/>
  <c r="S114" i="444"/>
  <c r="R114" i="444"/>
  <c r="G114" i="444"/>
  <c r="T113" i="444"/>
  <c r="U113" i="444" s="1"/>
  <c r="S113" i="444"/>
  <c r="R113" i="444"/>
  <c r="G113" i="444"/>
  <c r="T112" i="444"/>
  <c r="U112" i="444" s="1"/>
  <c r="R112" i="444"/>
  <c r="S112" i="444" s="1"/>
  <c r="G112" i="444"/>
  <c r="T111" i="444"/>
  <c r="U111" i="444" s="1"/>
  <c r="V111" i="444" s="1"/>
  <c r="W111" i="444" s="1"/>
  <c r="S111" i="444"/>
  <c r="R111" i="444"/>
  <c r="G111" i="444"/>
  <c r="T110" i="444"/>
  <c r="U110" i="444" s="1"/>
  <c r="R110" i="444"/>
  <c r="S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T106" i="444" s="1"/>
  <c r="U106" i="444" s="1"/>
  <c r="G106" i="444"/>
  <c r="S105" i="444"/>
  <c r="R105" i="444"/>
  <c r="T105" i="444" s="1"/>
  <c r="U105" i="444" s="1"/>
  <c r="G105" i="444"/>
  <c r="S104" i="444"/>
  <c r="R104" i="444"/>
  <c r="T104" i="444" s="1"/>
  <c r="U104" i="444" s="1"/>
  <c r="G104" i="444"/>
  <c r="R103" i="444"/>
  <c r="T103" i="444" s="1"/>
  <c r="U103" i="444" s="1"/>
  <c r="G103" i="444"/>
  <c r="T102" i="444"/>
  <c r="U102" i="444" s="1"/>
  <c r="R102" i="444"/>
  <c r="S102" i="444" s="1"/>
  <c r="G102" i="444"/>
  <c r="T101" i="444"/>
  <c r="U101" i="444" s="1"/>
  <c r="R101" i="444"/>
  <c r="S101" i="444" s="1"/>
  <c r="G101" i="444"/>
  <c r="T100" i="444"/>
  <c r="U100" i="444" s="1"/>
  <c r="S100" i="444"/>
  <c r="R100" i="444"/>
  <c r="G100" i="444"/>
  <c r="R99" i="444"/>
  <c r="T99" i="444" s="1"/>
  <c r="U99" i="444" s="1"/>
  <c r="G99" i="444"/>
  <c r="S98" i="444"/>
  <c r="R98" i="444"/>
  <c r="T98" i="444" s="1"/>
  <c r="U98" i="444" s="1"/>
  <c r="G98" i="444"/>
  <c r="T97" i="444"/>
  <c r="U97" i="444" s="1"/>
  <c r="V97" i="444" s="1"/>
  <c r="W97" i="444" s="1"/>
  <c r="S97" i="444"/>
  <c r="R97" i="444"/>
  <c r="G97" i="444"/>
  <c r="R96" i="444"/>
  <c r="T96" i="444" s="1"/>
  <c r="U96" i="444" s="1"/>
  <c r="G96" i="444"/>
  <c r="T95" i="444"/>
  <c r="U95" i="444" s="1"/>
  <c r="V95" i="444" s="1"/>
  <c r="W95" i="444" s="1"/>
  <c r="S95" i="444"/>
  <c r="R95" i="444"/>
  <c r="G95" i="444"/>
  <c r="T94" i="444"/>
  <c r="U94" i="444" s="1"/>
  <c r="R94" i="444"/>
  <c r="S94" i="444" s="1"/>
  <c r="G94" i="444"/>
  <c r="T93" i="444"/>
  <c r="U93" i="444" s="1"/>
  <c r="S93" i="444"/>
  <c r="R93" i="444"/>
  <c r="G93" i="444"/>
  <c r="T92" i="444"/>
  <c r="U92" i="444" s="1"/>
  <c r="R92" i="444"/>
  <c r="S92" i="444" s="1"/>
  <c r="G92" i="444"/>
  <c r="T91" i="444"/>
  <c r="U91" i="444" s="1"/>
  <c r="V91" i="444" s="1"/>
  <c r="W91" i="444" s="1"/>
  <c r="S91" i="444"/>
  <c r="R91" i="444"/>
  <c r="G91" i="444"/>
  <c r="T90" i="444"/>
  <c r="U90" i="444" s="1"/>
  <c r="R90" i="444"/>
  <c r="S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T86" i="444" s="1"/>
  <c r="U86" i="444" s="1"/>
  <c r="G86" i="444"/>
  <c r="S85" i="444"/>
  <c r="R85" i="444"/>
  <c r="T85" i="444" s="1"/>
  <c r="U85" i="444" s="1"/>
  <c r="G85" i="444"/>
  <c r="S84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R82" i="444"/>
  <c r="S82" i="444" s="1"/>
  <c r="G82" i="444"/>
  <c r="T81" i="444"/>
  <c r="U81" i="444" s="1"/>
  <c r="R81" i="444"/>
  <c r="S81" i="444" s="1"/>
  <c r="G81" i="444"/>
  <c r="T80" i="444"/>
  <c r="U80" i="444" s="1"/>
  <c r="S80" i="444"/>
  <c r="R80" i="444"/>
  <c r="G80" i="444"/>
  <c r="R79" i="444"/>
  <c r="T79" i="444" s="1"/>
  <c r="U79" i="444" s="1"/>
  <c r="G79" i="444"/>
  <c r="S78" i="444"/>
  <c r="R78" i="444"/>
  <c r="T78" i="444" s="1"/>
  <c r="U78" i="444" s="1"/>
  <c r="G78" i="444"/>
  <c r="T77" i="444"/>
  <c r="U77" i="444" s="1"/>
  <c r="V77" i="444" s="1"/>
  <c r="W77" i="444" s="1"/>
  <c r="S77" i="444"/>
  <c r="R77" i="444"/>
  <c r="G77" i="444"/>
  <c r="R76" i="444"/>
  <c r="T76" i="444" s="1"/>
  <c r="U76" i="444" s="1"/>
  <c r="G76" i="444"/>
  <c r="T75" i="444"/>
  <c r="U75" i="444" s="1"/>
  <c r="V75" i="444" s="1"/>
  <c r="W75" i="444" s="1"/>
  <c r="S75" i="444"/>
  <c r="R75" i="444"/>
  <c r="G75" i="444"/>
  <c r="T74" i="444"/>
  <c r="U74" i="444" s="1"/>
  <c r="R74" i="444"/>
  <c r="S74" i="444" s="1"/>
  <c r="G74" i="444"/>
  <c r="T73" i="444"/>
  <c r="U73" i="444" s="1"/>
  <c r="S73" i="444"/>
  <c r="R73" i="444"/>
  <c r="G73" i="444"/>
  <c r="T72" i="444"/>
  <c r="U72" i="444" s="1"/>
  <c r="R72" i="444"/>
  <c r="S72" i="444" s="1"/>
  <c r="G72" i="444"/>
  <c r="T71" i="444"/>
  <c r="U71" i="444" s="1"/>
  <c r="V71" i="444" s="1"/>
  <c r="W71" i="444" s="1"/>
  <c r="S71" i="444"/>
  <c r="R71" i="444"/>
  <c r="G71" i="444"/>
  <c r="T70" i="444"/>
  <c r="U70" i="444" s="1"/>
  <c r="R70" i="444"/>
  <c r="S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T66" i="444" s="1"/>
  <c r="U66" i="444" s="1"/>
  <c r="G66" i="444"/>
  <c r="S65" i="444"/>
  <c r="R65" i="444"/>
  <c r="T65" i="444" s="1"/>
  <c r="U65" i="444" s="1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R62" i="444"/>
  <c r="S62" i="444" s="1"/>
  <c r="G62" i="444"/>
  <c r="T61" i="444"/>
  <c r="U61" i="444" s="1"/>
  <c r="R61" i="444"/>
  <c r="S61" i="444" s="1"/>
  <c r="G61" i="444"/>
  <c r="T60" i="444"/>
  <c r="U60" i="444" s="1"/>
  <c r="S60" i="444"/>
  <c r="R60" i="444"/>
  <c r="G60" i="444"/>
  <c r="R59" i="444"/>
  <c r="T59" i="444" s="1"/>
  <c r="U59" i="444" s="1"/>
  <c r="G59" i="444"/>
  <c r="S58" i="444"/>
  <c r="R58" i="444"/>
  <c r="T58" i="444" s="1"/>
  <c r="U58" i="444" s="1"/>
  <c r="G58" i="444"/>
  <c r="T57" i="444"/>
  <c r="U57" i="444" s="1"/>
  <c r="V57" i="444" s="1"/>
  <c r="W57" i="444" s="1"/>
  <c r="S57" i="444"/>
  <c r="R57" i="444"/>
  <c r="G57" i="444"/>
  <c r="R56" i="444"/>
  <c r="T56" i="444" s="1"/>
  <c r="U56" i="444" s="1"/>
  <c r="G56" i="444"/>
  <c r="T55" i="444"/>
  <c r="U55" i="444" s="1"/>
  <c r="V55" i="444" s="1"/>
  <c r="W55" i="444" s="1"/>
  <c r="S55" i="444"/>
  <c r="R55" i="444"/>
  <c r="G55" i="444"/>
  <c r="T54" i="444"/>
  <c r="U54" i="444" s="1"/>
  <c r="R54" i="444"/>
  <c r="S54" i="444" s="1"/>
  <c r="G54" i="444"/>
  <c r="T53" i="444"/>
  <c r="U53" i="444" s="1"/>
  <c r="S53" i="444"/>
  <c r="R53" i="444"/>
  <c r="G53" i="444"/>
  <c r="T52" i="444"/>
  <c r="U52" i="444" s="1"/>
  <c r="R52" i="444"/>
  <c r="S52" i="444" s="1"/>
  <c r="G52" i="444"/>
  <c r="T51" i="444"/>
  <c r="U51" i="444" s="1"/>
  <c r="V51" i="444" s="1"/>
  <c r="W51" i="444" s="1"/>
  <c r="S51" i="444"/>
  <c r="R51" i="444"/>
  <c r="G51" i="444"/>
  <c r="T50" i="444"/>
  <c r="U50" i="444" s="1"/>
  <c r="R50" i="444"/>
  <c r="S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T47" i="444" s="1"/>
  <c r="U47" i="444" s="1"/>
  <c r="G47" i="444"/>
  <c r="R46" i="444"/>
  <c r="T46" i="444" s="1"/>
  <c r="U46" i="444" s="1"/>
  <c r="G46" i="444"/>
  <c r="S45" i="444"/>
  <c r="R45" i="444"/>
  <c r="T45" i="444" s="1"/>
  <c r="U45" i="444" s="1"/>
  <c r="G45" i="444"/>
  <c r="S44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R42" i="444"/>
  <c r="S42" i="444" s="1"/>
  <c r="G42" i="444"/>
  <c r="T41" i="444"/>
  <c r="U41" i="444" s="1"/>
  <c r="R41" i="444"/>
  <c r="S41" i="444" s="1"/>
  <c r="G41" i="444"/>
  <c r="T40" i="444"/>
  <c r="U40" i="444" s="1"/>
  <c r="S40" i="444"/>
  <c r="R40" i="444"/>
  <c r="G40" i="444"/>
  <c r="R39" i="444"/>
  <c r="T39" i="444" s="1"/>
  <c r="U39" i="444" s="1"/>
  <c r="G39" i="444"/>
  <c r="S38" i="444"/>
  <c r="R38" i="444"/>
  <c r="T38" i="444" s="1"/>
  <c r="U38" i="444" s="1"/>
  <c r="G38" i="444"/>
  <c r="T37" i="444"/>
  <c r="U37" i="444" s="1"/>
  <c r="V37" i="444" s="1"/>
  <c r="W37" i="444" s="1"/>
  <c r="S37" i="444"/>
  <c r="R37" i="444"/>
  <c r="G37" i="444"/>
  <c r="R36" i="444"/>
  <c r="T36" i="444" s="1"/>
  <c r="U36" i="444" s="1"/>
  <c r="G36" i="444"/>
  <c r="T35" i="444"/>
  <c r="U35" i="444" s="1"/>
  <c r="V35" i="444" s="1"/>
  <c r="W35" i="444" s="1"/>
  <c r="S35" i="444"/>
  <c r="R35" i="444"/>
  <c r="G35" i="444"/>
  <c r="T34" i="444"/>
  <c r="U34" i="444" s="1"/>
  <c r="R34" i="444"/>
  <c r="S34" i="444" s="1"/>
  <c r="G34" i="444"/>
  <c r="T33" i="444"/>
  <c r="U33" i="444" s="1"/>
  <c r="S33" i="444"/>
  <c r="R33" i="444"/>
  <c r="G33" i="444"/>
  <c r="T32" i="444"/>
  <c r="U32" i="444" s="1"/>
  <c r="R32" i="444"/>
  <c r="S32" i="444" s="1"/>
  <c r="G32" i="444"/>
  <c r="T31" i="444"/>
  <c r="U31" i="444" s="1"/>
  <c r="V31" i="444" s="1"/>
  <c r="W31" i="444" s="1"/>
  <c r="S31" i="444"/>
  <c r="R31" i="444"/>
  <c r="G31" i="444"/>
  <c r="T30" i="444"/>
  <c r="U30" i="444" s="1"/>
  <c r="R30" i="444"/>
  <c r="S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T27" i="444" s="1"/>
  <c r="U27" i="444" s="1"/>
  <c r="G27" i="444"/>
  <c r="R26" i="444"/>
  <c r="T26" i="444" s="1"/>
  <c r="U26" i="444" s="1"/>
  <c r="G26" i="444"/>
  <c r="S25" i="444"/>
  <c r="R25" i="444"/>
  <c r="T25" i="444" s="1"/>
  <c r="U25" i="444" s="1"/>
  <c r="G25" i="444"/>
  <c r="S24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R22" i="444"/>
  <c r="S22" i="444" s="1"/>
  <c r="G22" i="444"/>
  <c r="T21" i="444"/>
  <c r="U21" i="444" s="1"/>
  <c r="R21" i="444"/>
  <c r="S21" i="444" s="1"/>
  <c r="G21" i="444"/>
  <c r="T20" i="444"/>
  <c r="U20" i="444" s="1"/>
  <c r="S20" i="444"/>
  <c r="R20" i="444"/>
  <c r="G20" i="444"/>
  <c r="R19" i="444"/>
  <c r="T19" i="444" s="1"/>
  <c r="U19" i="444" s="1"/>
  <c r="G19" i="444"/>
  <c r="S18" i="444"/>
  <c r="R18" i="444"/>
  <c r="T18" i="444" s="1"/>
  <c r="U18" i="444" s="1"/>
  <c r="G18" i="444"/>
  <c r="T17" i="444"/>
  <c r="U17" i="444" s="1"/>
  <c r="V17" i="444" s="1"/>
  <c r="W17" i="444" s="1"/>
  <c r="S17" i="444"/>
  <c r="R17" i="444"/>
  <c r="G17" i="444"/>
  <c r="R16" i="444"/>
  <c r="T16" i="444" s="1"/>
  <c r="U16" i="444" s="1"/>
  <c r="G16" i="444"/>
  <c r="T15" i="444"/>
  <c r="U15" i="444" s="1"/>
  <c r="V15" i="444" s="1"/>
  <c r="W15" i="444" s="1"/>
  <c r="S15" i="444"/>
  <c r="R15" i="444"/>
  <c r="G15" i="444"/>
  <c r="T14" i="444"/>
  <c r="U14" i="444" s="1"/>
  <c r="R14" i="444"/>
  <c r="S14" i="444" s="1"/>
  <c r="G14" i="444"/>
  <c r="T13" i="444"/>
  <c r="U13" i="444" s="1"/>
  <c r="S13" i="444"/>
  <c r="R13" i="444"/>
  <c r="G13" i="444"/>
  <c r="T12" i="444"/>
  <c r="U12" i="444" s="1"/>
  <c r="R12" i="444"/>
  <c r="S12" i="444" s="1"/>
  <c r="G12" i="444"/>
  <c r="T11" i="444"/>
  <c r="U11" i="444" s="1"/>
  <c r="V11" i="444" s="1"/>
  <c r="W11" i="444" s="1"/>
  <c r="S11" i="444"/>
  <c r="R11" i="444"/>
  <c r="G11" i="444"/>
  <c r="T10" i="444"/>
  <c r="U10" i="444" s="1"/>
  <c r="R10" i="444"/>
  <c r="S10" i="444" s="1"/>
  <c r="G10" i="444"/>
  <c r="R9" i="444"/>
  <c r="T9" i="444" s="1"/>
  <c r="U9" i="444" s="1"/>
  <c r="G9" i="444"/>
  <c r="R8" i="444"/>
  <c r="T8" i="444" s="1"/>
  <c r="U8" i="444" s="1"/>
  <c r="G8" i="444"/>
  <c r="R7" i="444"/>
  <c r="T7" i="444" s="1"/>
  <c r="U7" i="444" s="1"/>
  <c r="G7" i="444"/>
  <c r="R6" i="444"/>
  <c r="T6" i="444" s="1"/>
  <c r="U6" i="444" s="1"/>
  <c r="G6" i="444"/>
  <c r="S5" i="444"/>
  <c r="R5" i="444"/>
  <c r="T5" i="444" s="1"/>
  <c r="U5" i="444" s="1"/>
  <c r="G5" i="444"/>
  <c r="S4" i="444"/>
  <c r="R4" i="444"/>
  <c r="T4" i="444" s="1"/>
  <c r="U4" i="444" s="1"/>
  <c r="G4" i="444"/>
  <c r="R3" i="444"/>
  <c r="T3" i="444" s="1"/>
  <c r="U3" i="444" s="1"/>
  <c r="G3" i="444"/>
  <c r="T2" i="444"/>
  <c r="U2" i="444" s="1"/>
  <c r="R2" i="444"/>
  <c r="S2" i="444" s="1"/>
  <c r="G2" i="444"/>
  <c r="B2" i="383"/>
  <c r="B3" i="383" s="1"/>
  <c r="C42" i="54"/>
  <c r="D42" i="54" s="1"/>
  <c r="C40" i="54"/>
  <c r="I31" i="54"/>
  <c r="I32" i="54" s="1"/>
  <c r="C31" i="54"/>
  <c r="D31" i="54" s="1"/>
  <c r="I30" i="54"/>
  <c r="C29" i="54"/>
  <c r="E23" i="54"/>
  <c r="I22" i="54"/>
  <c r="K21" i="54"/>
  <c r="K19" i="54"/>
  <c r="E18" i="54"/>
  <c r="E17" i="54"/>
  <c r="G14" i="54"/>
  <c r="H14" i="54" s="1"/>
  <c r="G13" i="54"/>
  <c r="H13" i="54" s="1"/>
  <c r="H12" i="54"/>
  <c r="G12" i="54"/>
  <c r="H11" i="54"/>
  <c r="G11" i="54"/>
  <c r="G10" i="54"/>
  <c r="H10" i="54" s="1"/>
  <c r="G9" i="54"/>
  <c r="H9" i="54" s="1"/>
  <c r="D3" i="54"/>
  <c r="C3" i="54"/>
  <c r="D2" i="54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E43" i="415" s="1"/>
  <c r="D42" i="415"/>
  <c r="C42" i="415"/>
  <c r="E42" i="415" s="1"/>
  <c r="D17" i="415"/>
  <c r="C17" i="415"/>
  <c r="E17" i="415" s="1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D5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P78" i="385"/>
  <c r="S78" i="385" s="1"/>
  <c r="M78" i="385"/>
  <c r="L78" i="385"/>
  <c r="K78" i="385"/>
  <c r="J78" i="385"/>
  <c r="H78" i="385"/>
  <c r="G78" i="385"/>
  <c r="F78" i="385"/>
  <c r="E78" i="385"/>
  <c r="D78" i="385"/>
  <c r="C78" i="385"/>
  <c r="Q77" i="385"/>
  <c r="P77" i="385"/>
  <c r="S77" i="385" s="1"/>
  <c r="M77" i="385"/>
  <c r="L77" i="385"/>
  <c r="K77" i="385"/>
  <c r="J77" i="385"/>
  <c r="H77" i="385"/>
  <c r="G77" i="385"/>
  <c r="F77" i="385"/>
  <c r="E77" i="385"/>
  <c r="D77" i="385"/>
  <c r="C77" i="385"/>
  <c r="Q76" i="385"/>
  <c r="P76" i="385"/>
  <c r="S76" i="385" s="1"/>
  <c r="M76" i="385"/>
  <c r="L76" i="385"/>
  <c r="K76" i="385"/>
  <c r="J76" i="385"/>
  <c r="H76" i="385"/>
  <c r="G76" i="385"/>
  <c r="F76" i="385"/>
  <c r="E76" i="385"/>
  <c r="D76" i="385"/>
  <c r="C76" i="385"/>
  <c r="Q75" i="385"/>
  <c r="P75" i="385"/>
  <c r="R75" i="385" s="1"/>
  <c r="M75" i="385"/>
  <c r="L75" i="385"/>
  <c r="K75" i="385"/>
  <c r="J75" i="385"/>
  <c r="H75" i="385"/>
  <c r="G75" i="385"/>
  <c r="F75" i="385"/>
  <c r="E75" i="385"/>
  <c r="D75" i="385"/>
  <c r="C75" i="385"/>
  <c r="Q74" i="385"/>
  <c r="P74" i="385"/>
  <c r="R74" i="385" s="1"/>
  <c r="M74" i="385"/>
  <c r="L74" i="385"/>
  <c r="K74" i="385"/>
  <c r="J74" i="385"/>
  <c r="H74" i="385"/>
  <c r="G74" i="385"/>
  <c r="F74" i="385"/>
  <c r="E74" i="385"/>
  <c r="D74" i="385"/>
  <c r="C74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Q72" i="385"/>
  <c r="R72" i="385" s="1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P70" i="385"/>
  <c r="M70" i="385"/>
  <c r="L70" i="385"/>
  <c r="K70" i="385"/>
  <c r="J70" i="385"/>
  <c r="H70" i="385"/>
  <c r="G70" i="385"/>
  <c r="F70" i="385"/>
  <c r="E70" i="385"/>
  <c r="D70" i="385"/>
  <c r="C70" i="385"/>
  <c r="Q69" i="385"/>
  <c r="P69" i="385"/>
  <c r="M69" i="385"/>
  <c r="L69" i="385"/>
  <c r="K69" i="385"/>
  <c r="J69" i="385"/>
  <c r="H69" i="385"/>
  <c r="G69" i="385"/>
  <c r="F69" i="385"/>
  <c r="E69" i="385"/>
  <c r="D69" i="385"/>
  <c r="C69" i="385"/>
  <c r="Q68" i="385"/>
  <c r="P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L57" i="385"/>
  <c r="K57" i="385"/>
  <c r="G57" i="385"/>
  <c r="F57" i="385"/>
  <c r="M57" i="385" s="1"/>
  <c r="D57" i="385"/>
  <c r="C57" i="385"/>
  <c r="Q56" i="385"/>
  <c r="L56" i="385"/>
  <c r="K56" i="385"/>
  <c r="G56" i="385"/>
  <c r="H56" i="385" s="1"/>
  <c r="F56" i="385"/>
  <c r="D56" i="385"/>
  <c r="C56" i="385"/>
  <c r="Q55" i="385"/>
  <c r="L55" i="385"/>
  <c r="K55" i="385"/>
  <c r="G55" i="385"/>
  <c r="F55" i="385"/>
  <c r="D55" i="385"/>
  <c r="C55" i="385"/>
  <c r="Q54" i="385"/>
  <c r="L54" i="385"/>
  <c r="K54" i="385"/>
  <c r="G54" i="385"/>
  <c r="F54" i="385"/>
  <c r="D54" i="385"/>
  <c r="C54" i="385"/>
  <c r="Q53" i="385"/>
  <c r="L53" i="385"/>
  <c r="K53" i="385"/>
  <c r="G53" i="385"/>
  <c r="F53" i="385"/>
  <c r="D53" i="385"/>
  <c r="C53" i="385"/>
  <c r="Q52" i="385"/>
  <c r="P52" i="385"/>
  <c r="C52" i="385"/>
  <c r="Q51" i="385"/>
  <c r="P51" i="385"/>
  <c r="C51" i="385"/>
  <c r="Q50" i="385"/>
  <c r="P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L13" i="385"/>
  <c r="C13" i="385"/>
  <c r="Q12" i="385"/>
  <c r="P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4" i="89"/>
  <c r="S70" i="385" l="1"/>
  <c r="S68" i="385"/>
  <c r="S72" i="385"/>
  <c r="R69" i="385"/>
  <c r="R73" i="385"/>
  <c r="S75" i="385"/>
  <c r="R78" i="385"/>
  <c r="S74" i="385"/>
  <c r="R77" i="385"/>
  <c r="S73" i="385"/>
  <c r="R76" i="385"/>
  <c r="F18" i="385"/>
  <c r="P11" i="385"/>
  <c r="R11" i="385" s="1"/>
  <c r="P46" i="385"/>
  <c r="S46" i="385" s="1"/>
  <c r="L42" i="385"/>
  <c r="L30" i="385"/>
  <c r="K23" i="385"/>
  <c r="L9" i="385"/>
  <c r="L14" i="385"/>
  <c r="E13" i="415"/>
  <c r="E14" i="415"/>
  <c r="L26" i="385"/>
  <c r="L49" i="385"/>
  <c r="R50" i="385"/>
  <c r="R71" i="385"/>
  <c r="S69" i="385"/>
  <c r="R68" i="385"/>
  <c r="M55" i="385"/>
  <c r="E55" i="385" s="1"/>
  <c r="H53" i="385"/>
  <c r="M56" i="385"/>
  <c r="E56" i="385" s="1"/>
  <c r="E57" i="385"/>
  <c r="M54" i="385"/>
  <c r="E54" i="385" s="1"/>
  <c r="R70" i="385"/>
  <c r="S71" i="385"/>
  <c r="H54" i="385"/>
  <c r="H55" i="385"/>
  <c r="M53" i="385"/>
  <c r="E53" i="385" s="1"/>
  <c r="H57" i="385"/>
  <c r="R16" i="385"/>
  <c r="I158" i="385"/>
  <c r="G52" i="385"/>
  <c r="F13" i="385"/>
  <c r="R52" i="385"/>
  <c r="I67" i="385"/>
  <c r="I38" i="385"/>
  <c r="R17" i="385"/>
  <c r="G36" i="385"/>
  <c r="F11" i="385"/>
  <c r="D22" i="385"/>
  <c r="I11" i="385"/>
  <c r="P61" i="385"/>
  <c r="R61" i="385" s="1"/>
  <c r="I30" i="385"/>
  <c r="P25" i="385"/>
  <c r="S25" i="385" s="1"/>
  <c r="F31" i="385"/>
  <c r="F29" i="385"/>
  <c r="I29" i="385"/>
  <c r="P23" i="385"/>
  <c r="S23" i="385" s="1"/>
  <c r="F6" i="385"/>
  <c r="D13" i="385"/>
  <c r="R18" i="385"/>
  <c r="I25" i="385"/>
  <c r="P40" i="385"/>
  <c r="S40" i="385" s="1"/>
  <c r="D6" i="385"/>
  <c r="I186" i="385"/>
  <c r="I59" i="385"/>
  <c r="D49" i="385"/>
  <c r="I57" i="385"/>
  <c r="J57" i="385" s="1"/>
  <c r="I102" i="385"/>
  <c r="S19" i="385"/>
  <c r="D20" i="385"/>
  <c r="D41" i="385"/>
  <c r="G20" i="385"/>
  <c r="D27" i="385"/>
  <c r="F27" i="385"/>
  <c r="I18" i="385"/>
  <c r="P27" i="385"/>
  <c r="R27" i="385" s="1"/>
  <c r="P21" i="385"/>
  <c r="S21" i="385" s="1"/>
  <c r="S51" i="385"/>
  <c r="P42" i="385"/>
  <c r="R42" i="385" s="1"/>
  <c r="R15" i="385"/>
  <c r="I36" i="385"/>
  <c r="K9" i="385"/>
  <c r="K26" i="385"/>
  <c r="K47" i="385"/>
  <c r="K31" i="385"/>
  <c r="E10" i="415"/>
  <c r="K37" i="385"/>
  <c r="L5" i="385"/>
  <c r="L22" i="385"/>
  <c r="E44" i="415"/>
  <c r="K27" i="385"/>
  <c r="K32" i="385"/>
  <c r="K43" i="385"/>
  <c r="K49" i="385"/>
  <c r="K10" i="385"/>
  <c r="L18" i="385"/>
  <c r="K14" i="385"/>
  <c r="L37" i="385"/>
  <c r="E11" i="415"/>
  <c r="D52" i="415"/>
  <c r="E45" i="415"/>
  <c r="L38" i="385"/>
  <c r="K15" i="385"/>
  <c r="K19" i="385"/>
  <c r="K33" i="385"/>
  <c r="K44" i="385"/>
  <c r="K6" i="385"/>
  <c r="K11" i="385"/>
  <c r="K28" i="385"/>
  <c r="L33" i="385"/>
  <c r="L50" i="385"/>
  <c r="K5" i="385"/>
  <c r="L10" i="385"/>
  <c r="L6" i="385"/>
  <c r="K39" i="385"/>
  <c r="K34" i="385"/>
  <c r="L45" i="385"/>
  <c r="L34" i="385"/>
  <c r="K51" i="385"/>
  <c r="K7" i="385"/>
  <c r="K29" i="385"/>
  <c r="K18" i="385"/>
  <c r="K24" i="385"/>
  <c r="K45" i="385"/>
  <c r="K16" i="385"/>
  <c r="K12" i="385"/>
  <c r="K20" i="385"/>
  <c r="K25" i="385"/>
  <c r="L29" i="385"/>
  <c r="L46" i="385"/>
  <c r="L17" i="385"/>
  <c r="K21" i="385"/>
  <c r="K41" i="385"/>
  <c r="D25" i="415"/>
  <c r="K22" i="385"/>
  <c r="K8" i="385"/>
  <c r="K17" i="385"/>
  <c r="L25" i="385"/>
  <c r="K35" i="385"/>
  <c r="K13" i="385"/>
  <c r="L21" i="385"/>
  <c r="K30" i="385"/>
  <c r="L41" i="385"/>
  <c r="C32" i="415"/>
  <c r="E12" i="415"/>
  <c r="E15" i="415"/>
  <c r="E16" i="415"/>
  <c r="V82" i="444"/>
  <c r="W82" i="444" s="1"/>
  <c r="V153" i="444"/>
  <c r="W153" i="444" s="1"/>
  <c r="V150" i="444"/>
  <c r="W150" i="444" s="1"/>
  <c r="V93" i="444"/>
  <c r="W93" i="444" s="1"/>
  <c r="V81" i="444"/>
  <c r="W81" i="444" s="1"/>
  <c r="S14" i="385"/>
  <c r="S50" i="385"/>
  <c r="V140" i="444"/>
  <c r="W140" i="444" s="1"/>
  <c r="S52" i="385"/>
  <c r="V33" i="444"/>
  <c r="W33" i="444" s="1"/>
  <c r="V80" i="444"/>
  <c r="W80" i="444" s="1"/>
  <c r="V13" i="444"/>
  <c r="W13" i="444" s="1"/>
  <c r="V121" i="444"/>
  <c r="W121" i="444" s="1"/>
  <c r="V141" i="444"/>
  <c r="W141" i="444" s="1"/>
  <c r="V110" i="444"/>
  <c r="W110" i="444" s="1"/>
  <c r="V41" i="444"/>
  <c r="W41" i="444" s="1"/>
  <c r="V70" i="444"/>
  <c r="W70" i="444" s="1"/>
  <c r="V102" i="444"/>
  <c r="W102" i="444" s="1"/>
  <c r="V122" i="444"/>
  <c r="W122" i="444" s="1"/>
  <c r="V21" i="444"/>
  <c r="W21" i="444" s="1"/>
  <c r="V30" i="444"/>
  <c r="W30" i="444" s="1"/>
  <c r="V10" i="444"/>
  <c r="W10" i="444" s="1"/>
  <c r="V72" i="444"/>
  <c r="W72" i="444" s="1"/>
  <c r="V52" i="444"/>
  <c r="W52" i="444" s="1"/>
  <c r="S15" i="385"/>
  <c r="S18" i="385"/>
  <c r="V130" i="444"/>
  <c r="W130" i="444" s="1"/>
  <c r="V58" i="444"/>
  <c r="W58" i="444" s="1"/>
  <c r="V65" i="444"/>
  <c r="W65" i="444" s="1"/>
  <c r="V12" i="444"/>
  <c r="W12" i="444" s="1"/>
  <c r="V14" i="444"/>
  <c r="W14" i="444" s="1"/>
  <c r="V20" i="444"/>
  <c r="W20" i="444" s="1"/>
  <c r="V92" i="444"/>
  <c r="W92" i="444" s="1"/>
  <c r="V142" i="444"/>
  <c r="W142" i="444" s="1"/>
  <c r="V64" i="444"/>
  <c r="W64" i="444" s="1"/>
  <c r="R19" i="385"/>
  <c r="S16" i="385"/>
  <c r="V34" i="444"/>
  <c r="W34" i="444" s="1"/>
  <c r="V40" i="444"/>
  <c r="W40" i="444" s="1"/>
  <c r="V112" i="444"/>
  <c r="W112" i="444" s="1"/>
  <c r="S12" i="385"/>
  <c r="V73" i="444"/>
  <c r="W73" i="444" s="1"/>
  <c r="V54" i="444"/>
  <c r="W54" i="444" s="1"/>
  <c r="V132" i="444"/>
  <c r="W132" i="444" s="1"/>
  <c r="V74" i="444"/>
  <c r="W74" i="444" s="1"/>
  <c r="V42" i="444"/>
  <c r="W42" i="444" s="1"/>
  <c r="V94" i="444"/>
  <c r="W94" i="444" s="1"/>
  <c r="V100" i="444"/>
  <c r="W100" i="444" s="1"/>
  <c r="V152" i="444"/>
  <c r="W152" i="444" s="1"/>
  <c r="S13" i="385"/>
  <c r="V32" i="444"/>
  <c r="W32" i="444" s="1"/>
  <c r="V90" i="444"/>
  <c r="W90" i="444" s="1"/>
  <c r="V101" i="444"/>
  <c r="W101" i="444" s="1"/>
  <c r="V120" i="444"/>
  <c r="W120" i="444" s="1"/>
  <c r="R14" i="385"/>
  <c r="I27" i="385"/>
  <c r="G29" i="385"/>
  <c r="P36" i="385"/>
  <c r="P54" i="385"/>
  <c r="I60" i="385"/>
  <c r="V5" i="444"/>
  <c r="W5" i="444" s="1"/>
  <c r="I6" i="385"/>
  <c r="D8" i="385"/>
  <c r="P9" i="385"/>
  <c r="G13" i="385"/>
  <c r="F20" i="385"/>
  <c r="D33" i="385"/>
  <c r="P34" i="385"/>
  <c r="P38" i="385"/>
  <c r="D45" i="385"/>
  <c r="G49" i="385"/>
  <c r="D51" i="385"/>
  <c r="P64" i="385"/>
  <c r="V44" i="444"/>
  <c r="W44" i="444" s="1"/>
  <c r="I78" i="385"/>
  <c r="I174" i="385"/>
  <c r="C52" i="415"/>
  <c r="L31" i="385"/>
  <c r="L27" i="385"/>
  <c r="L23" i="385"/>
  <c r="L19" i="385"/>
  <c r="L15" i="385"/>
  <c r="L11" i="385"/>
  <c r="L7" i="385"/>
  <c r="L16" i="385"/>
  <c r="L12" i="385"/>
  <c r="L36" i="385"/>
  <c r="L32" i="385"/>
  <c r="L28" i="385"/>
  <c r="L24" i="385"/>
  <c r="L20" i="385"/>
  <c r="L8" i="385"/>
  <c r="K48" i="385"/>
  <c r="K52" i="385"/>
  <c r="K40" i="385"/>
  <c r="K36" i="385"/>
  <c r="K50" i="385"/>
  <c r="K46" i="385"/>
  <c r="K42" i="385"/>
  <c r="K38" i="385"/>
  <c r="V18" i="444"/>
  <c r="W18" i="444" s="1"/>
  <c r="V25" i="444"/>
  <c r="W25" i="444" s="1"/>
  <c r="V160" i="444"/>
  <c r="W160" i="444" s="1"/>
  <c r="D17" i="385"/>
  <c r="I22" i="385"/>
  <c r="I31" i="385"/>
  <c r="G33" i="385"/>
  <c r="D37" i="385"/>
  <c r="G41" i="385"/>
  <c r="D43" i="385"/>
  <c r="I47" i="385"/>
  <c r="R51" i="385"/>
  <c r="I56" i="385"/>
  <c r="J56" i="385" s="1"/>
  <c r="V38" i="444"/>
  <c r="W38" i="444" s="1"/>
  <c r="V45" i="444"/>
  <c r="W45" i="444" s="1"/>
  <c r="I106" i="385"/>
  <c r="I126" i="385"/>
  <c r="I154" i="385"/>
  <c r="I170" i="385"/>
  <c r="F22" i="385"/>
  <c r="P57" i="385"/>
  <c r="I8" i="385"/>
  <c r="F15" i="385"/>
  <c r="F24" i="385"/>
  <c r="I43" i="385"/>
  <c r="I45" i="385"/>
  <c r="P60" i="385"/>
  <c r="V84" i="444"/>
  <c r="W84" i="444" s="1"/>
  <c r="V161" i="444"/>
  <c r="W161" i="444" s="1"/>
  <c r="I13" i="385"/>
  <c r="I49" i="385"/>
  <c r="D10" i="385"/>
  <c r="S11" i="385"/>
  <c r="P20" i="385"/>
  <c r="D5" i="385"/>
  <c r="P6" i="385"/>
  <c r="F10" i="385"/>
  <c r="I15" i="385"/>
  <c r="F17" i="385"/>
  <c r="G24" i="385"/>
  <c r="D26" i="385"/>
  <c r="P29" i="385"/>
  <c r="P31" i="385"/>
  <c r="I33" i="385"/>
  <c r="D35" i="385"/>
  <c r="G37" i="385"/>
  <c r="D39" i="385"/>
  <c r="I41" i="385"/>
  <c r="P47" i="385"/>
  <c r="I51" i="385"/>
  <c r="I98" i="385"/>
  <c r="I122" i="385"/>
  <c r="I146" i="385"/>
  <c r="I137" i="385"/>
  <c r="I141" i="385"/>
  <c r="I149" i="385"/>
  <c r="I153" i="385"/>
  <c r="I157" i="385"/>
  <c r="I161" i="385"/>
  <c r="I169" i="385"/>
  <c r="I173" i="385"/>
  <c r="I181" i="385"/>
  <c r="I189" i="385"/>
  <c r="F51" i="385"/>
  <c r="F43" i="385"/>
  <c r="F39" i="385"/>
  <c r="F47" i="385"/>
  <c r="F41" i="385"/>
  <c r="F37" i="385"/>
  <c r="V104" i="444"/>
  <c r="W104" i="444" s="1"/>
  <c r="I165" i="385"/>
  <c r="I177" i="385"/>
  <c r="I185" i="385"/>
  <c r="F5" i="385"/>
  <c r="P8" i="385"/>
  <c r="I26" i="385"/>
  <c r="I35" i="385"/>
  <c r="I37" i="385"/>
  <c r="D52" i="385"/>
  <c r="P66" i="385"/>
  <c r="G50" i="385"/>
  <c r="V53" i="444"/>
  <c r="W53" i="444" s="1"/>
  <c r="V78" i="444"/>
  <c r="W78" i="444" s="1"/>
  <c r="V85" i="444"/>
  <c r="W85" i="444" s="1"/>
  <c r="V162" i="444"/>
  <c r="W162" i="444" s="1"/>
  <c r="D31" i="385"/>
  <c r="I82" i="385"/>
  <c r="I130" i="385"/>
  <c r="I190" i="385"/>
  <c r="D24" i="385"/>
  <c r="P43" i="385"/>
  <c r="I89" i="385"/>
  <c r="I121" i="385"/>
  <c r="D21" i="385"/>
  <c r="P39" i="385"/>
  <c r="P45" i="385"/>
  <c r="P56" i="385"/>
  <c r="B5" i="383"/>
  <c r="B4" i="383"/>
  <c r="I70" i="385"/>
  <c r="I110" i="385"/>
  <c r="I150" i="385"/>
  <c r="G45" i="385"/>
  <c r="I24" i="385"/>
  <c r="P53" i="385"/>
  <c r="I93" i="385"/>
  <c r="R13" i="385"/>
  <c r="P24" i="385"/>
  <c r="D30" i="385"/>
  <c r="D50" i="385"/>
  <c r="I55" i="385"/>
  <c r="J55" i="385" s="1"/>
  <c r="I65" i="385"/>
  <c r="V98" i="444"/>
  <c r="W98" i="444" s="1"/>
  <c r="V105" i="444"/>
  <c r="W105" i="444" s="1"/>
  <c r="V124" i="444"/>
  <c r="W124" i="444" s="1"/>
  <c r="F35" i="385"/>
  <c r="P49" i="385"/>
  <c r="I69" i="385"/>
  <c r="I109" i="385"/>
  <c r="I129" i="385"/>
  <c r="P22" i="385"/>
  <c r="G12" i="385"/>
  <c r="G28" i="385"/>
  <c r="P33" i="385"/>
  <c r="P35" i="385"/>
  <c r="P41" i="385"/>
  <c r="D48" i="385"/>
  <c r="F52" i="385"/>
  <c r="I5" i="385"/>
  <c r="D7" i="385"/>
  <c r="I12" i="385"/>
  <c r="D14" i="385"/>
  <c r="F19" i="385"/>
  <c r="F21" i="385"/>
  <c r="I28" i="385"/>
  <c r="F30" i="385"/>
  <c r="D32" i="385"/>
  <c r="D44" i="385"/>
  <c r="F50" i="385"/>
  <c r="I58" i="385"/>
  <c r="P59" i="385"/>
  <c r="V2" i="444"/>
  <c r="W2" i="444" s="1"/>
  <c r="V60" i="444"/>
  <c r="W60" i="444" s="1"/>
  <c r="I74" i="385"/>
  <c r="I142" i="385"/>
  <c r="I166" i="385"/>
  <c r="F8" i="385"/>
  <c r="P67" i="385"/>
  <c r="G6" i="385"/>
  <c r="G10" i="385"/>
  <c r="G8" i="385"/>
  <c r="I10" i="385"/>
  <c r="D28" i="385"/>
  <c r="P63" i="385"/>
  <c r="I85" i="385"/>
  <c r="I105" i="385"/>
  <c r="I117" i="385"/>
  <c r="I133" i="385"/>
  <c r="G5" i="385"/>
  <c r="D19" i="385"/>
  <c r="F28" i="385"/>
  <c r="F14" i="385"/>
  <c r="G21" i="385"/>
  <c r="I52" i="385"/>
  <c r="I68" i="385"/>
  <c r="I72" i="385"/>
  <c r="I80" i="385"/>
  <c r="I84" i="385"/>
  <c r="I88" i="385"/>
  <c r="I92" i="385"/>
  <c r="I96" i="385"/>
  <c r="I100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I14" i="385"/>
  <c r="D16" i="385"/>
  <c r="S17" i="385"/>
  <c r="D25" i="385"/>
  <c r="P26" i="385"/>
  <c r="P28" i="385"/>
  <c r="F32" i="385"/>
  <c r="D40" i="385"/>
  <c r="D42" i="385"/>
  <c r="F44" i="385"/>
  <c r="F46" i="385"/>
  <c r="G48" i="385"/>
  <c r="V22" i="444"/>
  <c r="W22" i="444" s="1"/>
  <c r="V118" i="444"/>
  <c r="W118" i="444" s="1"/>
  <c r="V125" i="444"/>
  <c r="W125" i="444" s="1"/>
  <c r="V144" i="444"/>
  <c r="W144" i="444" s="1"/>
  <c r="D12" i="385"/>
  <c r="F26" i="385"/>
  <c r="I39" i="385"/>
  <c r="I62" i="385"/>
  <c r="I73" i="385"/>
  <c r="I97" i="385"/>
  <c r="I113" i="385"/>
  <c r="I145" i="385"/>
  <c r="F12" i="385"/>
  <c r="I17" i="385"/>
  <c r="D9" i="385"/>
  <c r="D46" i="385"/>
  <c r="I50" i="385"/>
  <c r="P62" i="385"/>
  <c r="I76" i="385"/>
  <c r="F7" i="385"/>
  <c r="I7" i="385"/>
  <c r="F9" i="385"/>
  <c r="I21" i="385"/>
  <c r="D23" i="385"/>
  <c r="G32" i="385"/>
  <c r="D34" i="385"/>
  <c r="F42" i="385"/>
  <c r="G44" i="385"/>
  <c r="I46" i="385"/>
  <c r="I48" i="385"/>
  <c r="I61" i="385"/>
  <c r="V50" i="444"/>
  <c r="W50" i="444" s="1"/>
  <c r="V61" i="444"/>
  <c r="W61" i="444" s="1"/>
  <c r="V113" i="444"/>
  <c r="W113" i="444" s="1"/>
  <c r="V164" i="444"/>
  <c r="W164" i="444" s="1"/>
  <c r="I94" i="385"/>
  <c r="I134" i="385"/>
  <c r="F33" i="385"/>
  <c r="I81" i="385"/>
  <c r="I125" i="385"/>
  <c r="P10" i="385"/>
  <c r="I19" i="385"/>
  <c r="P37" i="385"/>
  <c r="F25" i="385"/>
  <c r="I32" i="385"/>
  <c r="D36" i="385"/>
  <c r="F40" i="385"/>
  <c r="I42" i="385"/>
  <c r="I44" i="385"/>
  <c r="P48" i="385"/>
  <c r="I54" i="385"/>
  <c r="J54" i="385" s="1"/>
  <c r="P55" i="385"/>
  <c r="P65" i="385"/>
  <c r="I63" i="385"/>
  <c r="I90" i="385"/>
  <c r="I114" i="385"/>
  <c r="I138" i="385"/>
  <c r="I162" i="385"/>
  <c r="I178" i="385"/>
  <c r="I20" i="385"/>
  <c r="I66" i="385"/>
  <c r="G17" i="385"/>
  <c r="I77" i="385"/>
  <c r="I101" i="385"/>
  <c r="F48" i="385"/>
  <c r="P5" i="385"/>
  <c r="G9" i="385"/>
  <c r="F16" i="385"/>
  <c r="F23" i="385"/>
  <c r="F34" i="385"/>
  <c r="D38" i="385"/>
  <c r="P7" i="385"/>
  <c r="R12" i="385"/>
  <c r="G16" i="385"/>
  <c r="I23" i="385"/>
  <c r="G25" i="385"/>
  <c r="I34" i="385"/>
  <c r="F38" i="385"/>
  <c r="G40" i="385"/>
  <c r="P58" i="385"/>
  <c r="I64" i="385"/>
  <c r="V138" i="444"/>
  <c r="W138" i="444" s="1"/>
  <c r="V145" i="444"/>
  <c r="W145" i="444" s="1"/>
  <c r="V24" i="444"/>
  <c r="W24" i="444" s="1"/>
  <c r="I53" i="385"/>
  <c r="J53" i="385" s="1"/>
  <c r="I86" i="385"/>
  <c r="I118" i="385"/>
  <c r="I182" i="385"/>
  <c r="D15" i="385"/>
  <c r="D47" i="385"/>
  <c r="I9" i="385"/>
  <c r="D11" i="385"/>
  <c r="I16" i="385"/>
  <c r="D18" i="385"/>
  <c r="D29" i="385"/>
  <c r="P30" i="385"/>
  <c r="P32" i="385"/>
  <c r="F36" i="385"/>
  <c r="I40" i="385"/>
  <c r="P44" i="385"/>
  <c r="I71" i="385"/>
  <c r="I75" i="385"/>
  <c r="I79" i="385"/>
  <c r="I83" i="385"/>
  <c r="I87" i="385"/>
  <c r="I91" i="385"/>
  <c r="I95" i="385"/>
  <c r="I99" i="385"/>
  <c r="I103" i="385"/>
  <c r="I107" i="385"/>
  <c r="I111" i="385"/>
  <c r="I115" i="385"/>
  <c r="I119" i="385"/>
  <c r="I123" i="385"/>
  <c r="I127" i="385"/>
  <c r="I131" i="385"/>
  <c r="I135" i="385"/>
  <c r="I139" i="385"/>
  <c r="I143" i="385"/>
  <c r="I147" i="385"/>
  <c r="I151" i="385"/>
  <c r="I155" i="385"/>
  <c r="I159" i="385"/>
  <c r="I163" i="385"/>
  <c r="I167" i="385"/>
  <c r="I171" i="385"/>
  <c r="I175" i="385"/>
  <c r="I179" i="385"/>
  <c r="I183" i="385"/>
  <c r="I187" i="385"/>
  <c r="I191" i="385"/>
  <c r="V4" i="444"/>
  <c r="W4" i="444" s="1"/>
  <c r="V62" i="444"/>
  <c r="W62" i="444" s="1"/>
  <c r="V133" i="444"/>
  <c r="W133" i="444" s="1"/>
  <c r="V165" i="444"/>
  <c r="W165" i="444" s="1"/>
  <c r="F45" i="385"/>
  <c r="F49" i="385"/>
  <c r="C6" i="415"/>
  <c r="D19" i="415"/>
  <c r="C26" i="415"/>
  <c r="D39" i="415"/>
  <c r="C46" i="415"/>
  <c r="D6" i="415"/>
  <c r="D26" i="415"/>
  <c r="C33" i="415"/>
  <c r="D46" i="415"/>
  <c r="C53" i="415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C20" i="415"/>
  <c r="D33" i="415"/>
  <c r="C40" i="415"/>
  <c r="D53" i="415"/>
  <c r="S6" i="444"/>
  <c r="V6" i="444" s="1"/>
  <c r="W6" i="444" s="1"/>
  <c r="S26" i="444"/>
  <c r="V26" i="444" s="1"/>
  <c r="W26" i="444" s="1"/>
  <c r="S46" i="444"/>
  <c r="V46" i="444" s="1"/>
  <c r="W46" i="444" s="1"/>
  <c r="S66" i="444"/>
  <c r="V66" i="444" s="1"/>
  <c r="W66" i="444" s="1"/>
  <c r="S86" i="444"/>
  <c r="V86" i="444" s="1"/>
  <c r="W86" i="444" s="1"/>
  <c r="S106" i="444"/>
  <c r="V106" i="444" s="1"/>
  <c r="W106" i="444" s="1"/>
  <c r="S126" i="444"/>
  <c r="V126" i="444" s="1"/>
  <c r="W126" i="444" s="1"/>
  <c r="S146" i="444"/>
  <c r="V146" i="444" s="1"/>
  <c r="W146" i="444" s="1"/>
  <c r="C7" i="415"/>
  <c r="D20" i="415"/>
  <c r="C27" i="415"/>
  <c r="D40" i="415"/>
  <c r="C47" i="415"/>
  <c r="S9" i="444"/>
  <c r="V9" i="444" s="1"/>
  <c r="W9" i="444" s="1"/>
  <c r="S29" i="444"/>
  <c r="V29" i="444" s="1"/>
  <c r="W29" i="444" s="1"/>
  <c r="S49" i="444"/>
  <c r="V49" i="444" s="1"/>
  <c r="W49" i="444" s="1"/>
  <c r="S69" i="444"/>
  <c r="V69" i="444" s="1"/>
  <c r="W69" i="444" s="1"/>
  <c r="S89" i="444"/>
  <c r="V89" i="444" s="1"/>
  <c r="W89" i="444" s="1"/>
  <c r="S109" i="444"/>
  <c r="V109" i="444" s="1"/>
  <c r="W109" i="444" s="1"/>
  <c r="S129" i="444"/>
  <c r="V129" i="444" s="1"/>
  <c r="W129" i="444" s="1"/>
  <c r="S149" i="444"/>
  <c r="V149" i="444" s="1"/>
  <c r="W149" i="444" s="1"/>
  <c r="D7" i="415"/>
  <c r="D27" i="415"/>
  <c r="C34" i="415"/>
  <c r="D47" i="415"/>
  <c r="C54" i="415"/>
  <c r="C21" i="415"/>
  <c r="D34" i="415"/>
  <c r="C41" i="415"/>
  <c r="D54" i="415"/>
  <c r="C8" i="415"/>
  <c r="D21" i="415"/>
  <c r="C28" i="415"/>
  <c r="D41" i="415"/>
  <c r="C48" i="415"/>
  <c r="S158" i="444"/>
  <c r="V158" i="444" s="1"/>
  <c r="W158" i="444" s="1"/>
  <c r="D8" i="415"/>
  <c r="D28" i="415"/>
  <c r="C35" i="415"/>
  <c r="D48" i="415"/>
  <c r="C22" i="415"/>
  <c r="D35" i="415"/>
  <c r="C9" i="415"/>
  <c r="D22" i="415"/>
  <c r="C29" i="415"/>
  <c r="C49" i="415"/>
  <c r="S7" i="444"/>
  <c r="V7" i="444" s="1"/>
  <c r="W7" i="444" s="1"/>
  <c r="S27" i="444"/>
  <c r="V27" i="444" s="1"/>
  <c r="W27" i="444" s="1"/>
  <c r="S47" i="444"/>
  <c r="V47" i="444" s="1"/>
  <c r="W47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D9" i="415"/>
  <c r="D29" i="415"/>
  <c r="C36" i="415"/>
  <c r="D49" i="415"/>
  <c r="G11" i="385"/>
  <c r="G15" i="385"/>
  <c r="G35" i="385"/>
  <c r="G39" i="385"/>
  <c r="L40" i="385"/>
  <c r="G43" i="385"/>
  <c r="L44" i="385"/>
  <c r="G47" i="385"/>
  <c r="L48" i="385"/>
  <c r="G51" i="385"/>
  <c r="L52" i="385"/>
  <c r="C23" i="415"/>
  <c r="D36" i="415"/>
  <c r="G7" i="385"/>
  <c r="G19" i="385"/>
  <c r="G23" i="385"/>
  <c r="G27" i="385"/>
  <c r="G31" i="385"/>
  <c r="D23" i="415"/>
  <c r="C30" i="415"/>
  <c r="C50" i="415"/>
  <c r="S16" i="444"/>
  <c r="V16" i="444" s="1"/>
  <c r="W16" i="444" s="1"/>
  <c r="S36" i="444"/>
  <c r="V36" i="444" s="1"/>
  <c r="W36" i="444" s="1"/>
  <c r="S56" i="444"/>
  <c r="V56" i="444" s="1"/>
  <c r="W56" i="444" s="1"/>
  <c r="S76" i="444"/>
  <c r="V76" i="444" s="1"/>
  <c r="W76" i="444" s="1"/>
  <c r="S96" i="444"/>
  <c r="V96" i="444" s="1"/>
  <c r="W96" i="444" s="1"/>
  <c r="S116" i="444"/>
  <c r="V116" i="444" s="1"/>
  <c r="W116" i="444" s="1"/>
  <c r="S136" i="444"/>
  <c r="V136" i="444" s="1"/>
  <c r="W136" i="444" s="1"/>
  <c r="S156" i="444"/>
  <c r="V156" i="444" s="1"/>
  <c r="W156" i="444" s="1"/>
  <c r="D30" i="415"/>
  <c r="C37" i="415"/>
  <c r="D50" i="415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C24" i="415"/>
  <c r="D37" i="415"/>
  <c r="D24" i="415"/>
  <c r="C31" i="415"/>
  <c r="C51" i="415"/>
  <c r="G14" i="385"/>
  <c r="G18" i="385"/>
  <c r="G22" i="385"/>
  <c r="G26" i="385"/>
  <c r="G30" i="385"/>
  <c r="G34" i="385"/>
  <c r="L35" i="385"/>
  <c r="G38" i="385"/>
  <c r="L39" i="385"/>
  <c r="G42" i="385"/>
  <c r="L43" i="385"/>
  <c r="G46" i="385"/>
  <c r="L47" i="385"/>
  <c r="L51" i="385"/>
  <c r="C18" i="415"/>
  <c r="D31" i="415"/>
  <c r="C38" i="415"/>
  <c r="D51" i="415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C5" i="415"/>
  <c r="E5" i="415" s="1"/>
  <c r="D18" i="415"/>
  <c r="C25" i="415"/>
  <c r="D38" i="415"/>
  <c r="C19" i="415"/>
  <c r="D32" i="415"/>
  <c r="E32" i="415" s="1"/>
  <c r="C39" i="415"/>
  <c r="R46" i="385" l="1"/>
  <c r="E40" i="415"/>
  <c r="E31" i="415"/>
  <c r="E38" i="415"/>
  <c r="E21" i="415"/>
  <c r="E53" i="415"/>
  <c r="E29" i="415"/>
  <c r="E33" i="415"/>
  <c r="E9" i="415"/>
  <c r="M18" i="385"/>
  <c r="E18" i="385" s="1"/>
  <c r="M29" i="385"/>
  <c r="E29" i="385" s="1"/>
  <c r="R25" i="385"/>
  <c r="R40" i="385"/>
  <c r="H29" i="385"/>
  <c r="S61" i="385"/>
  <c r="M11" i="385"/>
  <c r="E11" i="385" s="1"/>
  <c r="J29" i="385"/>
  <c r="R23" i="385"/>
  <c r="R21" i="385"/>
  <c r="M6" i="385"/>
  <c r="E6" i="385" s="1"/>
  <c r="S27" i="385"/>
  <c r="S42" i="385"/>
  <c r="E49" i="415"/>
  <c r="E34" i="415"/>
  <c r="M13" i="385"/>
  <c r="E13" i="385" s="1"/>
  <c r="E25" i="415"/>
  <c r="E41" i="415"/>
  <c r="E52" i="415"/>
  <c r="E54" i="415"/>
  <c r="E20" i="415"/>
  <c r="E50" i="415"/>
  <c r="M31" i="385"/>
  <c r="E31" i="385" s="1"/>
  <c r="E30" i="415"/>
  <c r="E51" i="415"/>
  <c r="E24" i="415"/>
  <c r="E36" i="415"/>
  <c r="E39" i="415"/>
  <c r="M27" i="385"/>
  <c r="E27" i="385" s="1"/>
  <c r="E18" i="415"/>
  <c r="R39" i="385"/>
  <c r="S39" i="385"/>
  <c r="S5" i="385"/>
  <c r="R5" i="385"/>
  <c r="R63" i="385"/>
  <c r="S63" i="385"/>
  <c r="M21" i="385"/>
  <c r="E21" i="385" s="1"/>
  <c r="J21" i="385"/>
  <c r="H21" i="385"/>
  <c r="H10" i="385"/>
  <c r="M10" i="385"/>
  <c r="E10" i="385" s="1"/>
  <c r="J10" i="385"/>
  <c r="J18" i="385"/>
  <c r="M19" i="385"/>
  <c r="E19" i="385" s="1"/>
  <c r="J19" i="385"/>
  <c r="H19" i="385"/>
  <c r="S37" i="385"/>
  <c r="R37" i="385"/>
  <c r="R43" i="385"/>
  <c r="S43" i="385"/>
  <c r="M5" i="385"/>
  <c r="E5" i="385" s="1"/>
  <c r="J5" i="385"/>
  <c r="H5" i="385"/>
  <c r="S20" i="385"/>
  <c r="R20" i="385"/>
  <c r="H11" i="385"/>
  <c r="S9" i="385"/>
  <c r="R9" i="385"/>
  <c r="E46" i="415"/>
  <c r="E22" i="415"/>
  <c r="J11" i="385"/>
  <c r="M20" i="385"/>
  <c r="E20" i="385" s="1"/>
  <c r="J20" i="385"/>
  <c r="H20" i="385"/>
  <c r="S44" i="385"/>
  <c r="R44" i="385"/>
  <c r="S10" i="385"/>
  <c r="R10" i="385"/>
  <c r="E35" i="415"/>
  <c r="R58" i="385"/>
  <c r="S58" i="385"/>
  <c r="M9" i="385"/>
  <c r="E9" i="385" s="1"/>
  <c r="H9" i="385"/>
  <c r="J9" i="385"/>
  <c r="R67" i="385"/>
  <c r="S67" i="385"/>
  <c r="M52" i="385"/>
  <c r="E52" i="385" s="1"/>
  <c r="J52" i="385"/>
  <c r="H52" i="385"/>
  <c r="S24" i="385"/>
  <c r="R24" i="385"/>
  <c r="H18" i="385"/>
  <c r="M36" i="385"/>
  <c r="E36" i="385" s="1"/>
  <c r="J36" i="385"/>
  <c r="H36" i="385"/>
  <c r="M8" i="385"/>
  <c r="E8" i="385" s="1"/>
  <c r="H8" i="385"/>
  <c r="J8" i="385"/>
  <c r="M49" i="385"/>
  <c r="E49" i="385" s="1"/>
  <c r="H49" i="385"/>
  <c r="J49" i="385"/>
  <c r="S32" i="385"/>
  <c r="R32" i="385"/>
  <c r="H38" i="385"/>
  <c r="J38" i="385"/>
  <c r="M38" i="385"/>
  <c r="E38" i="385" s="1"/>
  <c r="M33" i="385"/>
  <c r="E33" i="385" s="1"/>
  <c r="J33" i="385"/>
  <c r="H33" i="385"/>
  <c r="M7" i="385"/>
  <c r="E7" i="385" s="1"/>
  <c r="J7" i="385"/>
  <c r="H7" i="385"/>
  <c r="S41" i="385"/>
  <c r="R41" i="385"/>
  <c r="M37" i="385"/>
  <c r="E37" i="385" s="1"/>
  <c r="H37" i="385"/>
  <c r="J37" i="385"/>
  <c r="R47" i="385"/>
  <c r="S47" i="385"/>
  <c r="S54" i="385"/>
  <c r="R54" i="385"/>
  <c r="M25" i="385"/>
  <c r="E25" i="385" s="1"/>
  <c r="H25" i="385"/>
  <c r="J25" i="385"/>
  <c r="H46" i="385"/>
  <c r="M46" i="385"/>
  <c r="E46" i="385" s="1"/>
  <c r="J46" i="385"/>
  <c r="S35" i="385"/>
  <c r="R35" i="385"/>
  <c r="S53" i="385"/>
  <c r="R53" i="385"/>
  <c r="H27" i="385"/>
  <c r="M41" i="385"/>
  <c r="E41" i="385" s="1"/>
  <c r="J41" i="385"/>
  <c r="H41" i="385"/>
  <c r="M40" i="385"/>
  <c r="E40" i="385" s="1"/>
  <c r="J40" i="385"/>
  <c r="H40" i="385"/>
  <c r="S6" i="385"/>
  <c r="R6" i="385"/>
  <c r="M45" i="385"/>
  <c r="E45" i="385" s="1"/>
  <c r="J45" i="385"/>
  <c r="H45" i="385"/>
  <c r="E48" i="415"/>
  <c r="S62" i="385"/>
  <c r="R62" i="385"/>
  <c r="M44" i="385"/>
  <c r="E44" i="385" s="1"/>
  <c r="J44" i="385"/>
  <c r="H44" i="385"/>
  <c r="S33" i="385"/>
  <c r="R33" i="385"/>
  <c r="J27" i="385"/>
  <c r="M47" i="385"/>
  <c r="E47" i="385" s="1"/>
  <c r="J47" i="385"/>
  <c r="H47" i="385"/>
  <c r="S60" i="385"/>
  <c r="R60" i="385"/>
  <c r="H6" i="385"/>
  <c r="H13" i="385"/>
  <c r="E26" i="415"/>
  <c r="R30" i="385"/>
  <c r="S30" i="385"/>
  <c r="E19" i="415"/>
  <c r="J6" i="385"/>
  <c r="M39" i="385"/>
  <c r="E39" i="385" s="1"/>
  <c r="J39" i="385"/>
  <c r="H39" i="385"/>
  <c r="S36" i="385"/>
  <c r="R36" i="385"/>
  <c r="J13" i="385"/>
  <c r="E28" i="415"/>
  <c r="E47" i="415"/>
  <c r="H14" i="385"/>
  <c r="M14" i="385"/>
  <c r="E14" i="385" s="1"/>
  <c r="J14" i="385"/>
  <c r="M43" i="385"/>
  <c r="E43" i="385" s="1"/>
  <c r="J43" i="385"/>
  <c r="H43" i="385"/>
  <c r="S64" i="385"/>
  <c r="R64" i="385"/>
  <c r="S65" i="385"/>
  <c r="R65" i="385"/>
  <c r="M32" i="385"/>
  <c r="E32" i="385" s="1"/>
  <c r="J32" i="385"/>
  <c r="H32" i="385"/>
  <c r="M28" i="385"/>
  <c r="E28" i="385" s="1"/>
  <c r="J28" i="385"/>
  <c r="H28" i="385"/>
  <c r="R59" i="385"/>
  <c r="S59" i="385"/>
  <c r="S22" i="385"/>
  <c r="R22" i="385"/>
  <c r="M51" i="385"/>
  <c r="E51" i="385" s="1"/>
  <c r="J51" i="385"/>
  <c r="H51" i="385"/>
  <c r="M24" i="385"/>
  <c r="E24" i="385" s="1"/>
  <c r="J24" i="385"/>
  <c r="H24" i="385"/>
  <c r="M48" i="385"/>
  <c r="E48" i="385" s="1"/>
  <c r="J48" i="385"/>
  <c r="H48" i="385"/>
  <c r="S8" i="385"/>
  <c r="R8" i="385"/>
  <c r="E8" i="415"/>
  <c r="E27" i="415"/>
  <c r="S7" i="385"/>
  <c r="R7" i="385"/>
  <c r="R55" i="385"/>
  <c r="S55" i="385"/>
  <c r="S28" i="385"/>
  <c r="R28" i="385"/>
  <c r="S31" i="385"/>
  <c r="R31" i="385"/>
  <c r="M15" i="385"/>
  <c r="E15" i="385" s="1"/>
  <c r="J15" i="385"/>
  <c r="H15" i="385"/>
  <c r="H42" i="385"/>
  <c r="J42" i="385"/>
  <c r="M42" i="385"/>
  <c r="E42" i="385" s="1"/>
  <c r="H26" i="385"/>
  <c r="M26" i="385"/>
  <c r="E26" i="385" s="1"/>
  <c r="J26" i="385"/>
  <c r="M12" i="385"/>
  <c r="E12" i="385" s="1"/>
  <c r="H12" i="385"/>
  <c r="J12" i="385"/>
  <c r="S26" i="385"/>
  <c r="R26" i="385"/>
  <c r="H50" i="385"/>
  <c r="M50" i="385"/>
  <c r="E50" i="385" s="1"/>
  <c r="J50" i="385"/>
  <c r="S29" i="385"/>
  <c r="R29" i="385"/>
  <c r="H31" i="385"/>
  <c r="E6" i="415"/>
  <c r="E23" i="415"/>
  <c r="E37" i="415"/>
  <c r="E7" i="415"/>
  <c r="H34" i="385"/>
  <c r="J34" i="385"/>
  <c r="M34" i="385"/>
  <c r="E34" i="385" s="1"/>
  <c r="S48" i="385"/>
  <c r="R48" i="385"/>
  <c r="J31" i="385"/>
  <c r="M23" i="385"/>
  <c r="E23" i="385" s="1"/>
  <c r="J23" i="385"/>
  <c r="H23" i="385"/>
  <c r="S49" i="385"/>
  <c r="R49" i="385"/>
  <c r="S56" i="385"/>
  <c r="R56" i="385"/>
  <c r="S66" i="385"/>
  <c r="R66" i="385"/>
  <c r="S57" i="385"/>
  <c r="R57" i="385"/>
  <c r="R38" i="385"/>
  <c r="S38" i="385"/>
  <c r="M16" i="385"/>
  <c r="E16" i="385" s="1"/>
  <c r="H16" i="385"/>
  <c r="J16" i="385"/>
  <c r="H30" i="385"/>
  <c r="M30" i="385"/>
  <c r="E30" i="385" s="1"/>
  <c r="J30" i="385"/>
  <c r="M35" i="385"/>
  <c r="E35" i="385" s="1"/>
  <c r="J35" i="385"/>
  <c r="H35" i="385"/>
  <c r="S45" i="385"/>
  <c r="R45" i="385"/>
  <c r="M17" i="385"/>
  <c r="E17" i="385" s="1"/>
  <c r="J17" i="385"/>
  <c r="H17" i="385"/>
  <c r="H22" i="385"/>
  <c r="M22" i="385"/>
  <c r="E22" i="385" s="1"/>
  <c r="J22" i="385"/>
  <c r="R34" i="385"/>
  <c r="S34" i="385"/>
  <c r="W254" i="89" a="1"/>
  <c r="W254" i="89" l="1"/>
  <c r="L254" i="89" a="1"/>
  <c r="L254" i="89" l="1"/>
  <c r="K254" i="89" a="1"/>
  <c r="K254" i="89" l="1"/>
  <c r="AH254" i="89" s="1"/>
  <c r="I254" i="89"/>
  <c r="F254" i="89" a="1"/>
  <c r="M254" i="89" l="1"/>
  <c r="F254" i="89"/>
  <c r="N254" i="89" a="1"/>
  <c r="N254" i="89" l="1"/>
  <c r="P254" i="89" l="1"/>
  <c r="Q254" i="89" s="1"/>
  <c r="AI254" i="89"/>
  <c r="AE253" i="89"/>
  <c r="S254" i="89" a="1"/>
  <c r="S254" i="89" l="1"/>
  <c r="R254" i="89" a="1"/>
  <c r="R254" i="89" l="1"/>
  <c r="AC254" i="89"/>
  <c r="Y254" i="89"/>
  <c r="U254" i="89"/>
  <c r="J254" i="89"/>
  <c r="W253" i="89" a="1"/>
  <c r="W253" i="89" l="1"/>
  <c r="L253" i="89" a="1"/>
  <c r="L253" i="89" l="1"/>
  <c r="K253" i="89" a="1"/>
  <c r="K253" i="89" l="1"/>
  <c r="AH253" i="89" s="1"/>
  <c r="I253" i="89"/>
  <c r="F253" i="89" a="1"/>
  <c r="M253" i="89" l="1"/>
  <c r="F253" i="89"/>
  <c r="N253" i="89" a="1"/>
  <c r="N253" i="89" l="1"/>
  <c r="P253" i="89" l="1"/>
  <c r="Q253" i="89" s="1"/>
  <c r="AI253" i="89"/>
  <c r="AE252" i="89"/>
  <c r="AC253" i="89" l="1"/>
  <c r="Y253" i="89"/>
  <c r="U253" i="89"/>
  <c r="J253" i="89"/>
  <c r="W252" i="89" a="1"/>
  <c r="W252" i="89" l="1"/>
  <c r="L252" i="89" a="1"/>
  <c r="L252" i="89" l="1"/>
  <c r="K252" i="89" a="1"/>
  <c r="K252" i="89" l="1"/>
  <c r="AH252" i="89" s="1"/>
  <c r="I252" i="89"/>
  <c r="F252" i="89" a="1"/>
  <c r="M252" i="89" l="1"/>
  <c r="F252" i="89"/>
  <c r="N252" i="89" a="1"/>
  <c r="N252" i="89" l="1"/>
  <c r="P252" i="89" l="1"/>
  <c r="Q252" i="89" s="1"/>
  <c r="AI252" i="89"/>
  <c r="A252" i="89"/>
  <c r="AE251" i="89"/>
  <c r="S252" i="89" a="1"/>
  <c r="S252" i="89" l="1"/>
  <c r="R252" i="89" a="1"/>
  <c r="R252" i="89" l="1"/>
  <c r="AC252" i="89"/>
  <c r="Y252" i="89"/>
  <c r="U252" i="89"/>
  <c r="J252" i="89"/>
  <c r="W251" i="89" a="1"/>
  <c r="W251" i="89" l="1"/>
  <c r="L251" i="89" a="1"/>
  <c r="L251" i="89" l="1"/>
  <c r="K251" i="89" a="1"/>
  <c r="K251" i="89" l="1"/>
  <c r="AH251" i="89" s="1"/>
  <c r="I251" i="89"/>
  <c r="F251" i="89" a="1"/>
  <c r="M251" i="89" l="1"/>
  <c r="F251" i="89"/>
  <c r="N251" i="89" a="1"/>
  <c r="N251" i="89" l="1"/>
  <c r="P251" i="89" l="1"/>
  <c r="Q251" i="89" s="1"/>
  <c r="AI251" i="89"/>
  <c r="A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F250" i="89" a="1"/>
  <c r="M250" i="89" l="1"/>
  <c r="F250" i="89"/>
  <c r="N250" i="89" a="1"/>
  <c r="N250" i="89" l="1"/>
  <c r="P250" i="89" l="1"/>
  <c r="Q250" i="89" s="1"/>
  <c r="AI250" i="89"/>
  <c r="A250" i="89"/>
  <c r="AE249" i="89"/>
  <c r="AC250" i="89" l="1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M249" i="89"/>
  <c r="I249" i="89"/>
  <c r="F249" i="89" a="1"/>
  <c r="F249" i="89" l="1"/>
  <c r="N249" i="89" a="1"/>
  <c r="N249" i="89" l="1"/>
  <c r="P249" i="89" l="1"/>
  <c r="AI249" i="89"/>
  <c r="AI256" i="89" s="1"/>
  <c r="A249" i="89"/>
  <c r="I248" i="89"/>
  <c r="S249" i="89" a="1"/>
  <c r="S249" i="89" l="1"/>
  <c r="P256" i="89"/>
  <c r="Q249" i="89"/>
  <c r="R249" i="89" a="1"/>
  <c r="R249" i="89" l="1"/>
  <c r="AC249" i="89"/>
  <c r="Y249" i="89"/>
  <c r="U249" i="89"/>
  <c r="J249" i="89"/>
  <c r="Y258" i="89" l="1"/>
  <c r="Y259" i="89" s="1"/>
  <c r="W243" i="89" a="1"/>
  <c r="W243" i="89" l="1"/>
  <c r="L243" i="89" a="1"/>
  <c r="L243" i="89" l="1"/>
  <c r="K243" i="89" a="1"/>
  <c r="K243" i="89" l="1"/>
  <c r="M243" i="89"/>
  <c r="I243" i="89"/>
  <c r="H243" i="89"/>
  <c r="F243" i="89" a="1"/>
  <c r="F243" i="89" l="1"/>
  <c r="AE243" i="89"/>
  <c r="N243" i="89" a="1"/>
  <c r="N243" i="89" l="1"/>
  <c r="D243" i="89"/>
  <c r="P243" i="89" l="1"/>
  <c r="Q243" i="89" s="1"/>
  <c r="AE242" i="89"/>
  <c r="AC243" i="89" l="1"/>
  <c r="Y243" i="89"/>
  <c r="U243" i="89"/>
  <c r="J243" i="89"/>
  <c r="W242" i="89" a="1"/>
  <c r="W242" i="89" l="1"/>
  <c r="L242" i="89" a="1"/>
  <c r="L242" i="89" l="1"/>
  <c r="K242" i="89" a="1"/>
  <c r="K242" i="89" l="1"/>
  <c r="K245" i="89" s="1"/>
  <c r="F242" i="89" a="1"/>
  <c r="F242" i="89" l="1"/>
  <c r="I242" i="89"/>
  <c r="M242" i="89"/>
  <c r="N242" i="89" a="1"/>
  <c r="N242" i="89" l="1"/>
  <c r="I245" i="89"/>
  <c r="I244" i="89"/>
  <c r="P242" i="89"/>
  <c r="Q242" i="89" s="1"/>
  <c r="D242" i="89"/>
  <c r="AE234" i="89" l="1"/>
  <c r="AC242" i="89" l="1"/>
  <c r="Y242" i="89"/>
  <c r="U242" i="89"/>
  <c r="J242" i="89"/>
  <c r="M234" i="89" l="1"/>
  <c r="I234" i="89"/>
  <c r="AA234" i="89" a="1"/>
  <c r="N234" i="89" a="1"/>
  <c r="AA234" i="89" l="1"/>
  <c r="N234" i="89"/>
  <c r="Z234" i="89" a="1"/>
  <c r="Z234" i="89" l="1"/>
  <c r="P234" i="89"/>
  <c r="AE233" i="89"/>
  <c r="Q234" i="89" l="1"/>
  <c r="AC234" i="89"/>
  <c r="Y234" i="89"/>
  <c r="A234" i="89" s="1"/>
  <c r="U234" i="89"/>
  <c r="J234" i="89"/>
  <c r="D234" i="89" l="1"/>
  <c r="K239" i="89"/>
  <c r="I233" i="89"/>
  <c r="AA233" i="89" a="1"/>
  <c r="AA233" i="89" l="1"/>
  <c r="M233" i="89"/>
  <c r="I239" i="89"/>
  <c r="N233" i="89" a="1"/>
  <c r="N233" i="89" l="1"/>
  <c r="Z233" i="89" a="1"/>
  <c r="Z233" i="89" l="1"/>
  <c r="P233" i="89"/>
  <c r="S233" i="89" a="1"/>
  <c r="Q233" i="89" l="1"/>
  <c r="S233" i="89"/>
  <c r="R233" i="89" a="1"/>
  <c r="R233" i="89" l="1"/>
  <c r="AC233" i="89"/>
  <c r="Y233" i="89"/>
  <c r="A233" i="89" s="1"/>
  <c r="U233" i="89"/>
  <c r="J233" i="89"/>
  <c r="W225" i="89" a="1"/>
  <c r="D233" i="89" l="1"/>
  <c r="W225" i="89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N224" i="89" a="1"/>
  <c r="AA224" i="89" l="1"/>
  <c r="I229" i="89"/>
  <c r="N224" i="89"/>
  <c r="P225" i="89"/>
  <c r="Q225" i="89" s="1"/>
  <c r="AC225" i="89"/>
  <c r="Y225" i="89"/>
  <c r="Z224" i="89" a="1"/>
  <c r="Z224" i="89" l="1"/>
  <c r="P224" i="89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/>
  <c r="Z223" i="89" a="1"/>
  <c r="Z223" i="89" l="1"/>
  <c r="Q223" i="89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I226" i="89"/>
  <c r="M229" i="89" s="1"/>
  <c r="I228" i="89"/>
  <c r="I230" i="89" s="1"/>
  <c r="K228" i="89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H213" i="89"/>
  <c r="I213" i="89" l="1"/>
  <c r="AA213" i="89" a="1"/>
  <c r="N213" i="89" a="1"/>
  <c r="AA213" i="89" l="1"/>
  <c r="I218" i="89"/>
  <c r="N213" i="89"/>
  <c r="Z213" i="89" a="1"/>
  <c r="S213" i="89" a="1"/>
  <c r="Z213" i="89" l="1"/>
  <c r="P213" i="89"/>
  <c r="Q213" i="89" s="1"/>
  <c r="S213" i="89"/>
  <c r="R213" i="89" a="1"/>
  <c r="R213" i="89" l="1"/>
  <c r="AC213" i="89"/>
  <c r="Y213" i="89"/>
  <c r="U213" i="89"/>
  <c r="J213" i="89"/>
  <c r="M212" i="89" l="1"/>
  <c r="K215" i="89"/>
  <c r="I212" i="89"/>
  <c r="AA212" i="89" a="1"/>
  <c r="N212" i="89" a="1"/>
  <c r="AA212" i="89" l="1"/>
  <c r="N212" i="89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K216" i="89" l="1"/>
  <c r="H211" i="89"/>
  <c r="I211" i="89" l="1"/>
  <c r="M211" i="89"/>
  <c r="AA211" i="89" a="1"/>
  <c r="N211" i="89" a="1"/>
  <c r="AA211" i="89" l="1"/>
  <c r="K217" i="89"/>
  <c r="I215" i="89"/>
  <c r="M218" i="89" s="1"/>
  <c r="I217" i="89"/>
  <c r="I219" i="89" s="1"/>
  <c r="N211" i="89"/>
  <c r="W210" i="89"/>
  <c r="I210" i="89"/>
  <c r="Z211" i="89" a="1"/>
  <c r="S211" i="89" a="1"/>
  <c r="Z211" i="89" l="1"/>
  <c r="P211" i="89"/>
  <c r="P215" i="89" s="1"/>
  <c r="Q215" i="89" s="1"/>
  <c r="S211" i="89"/>
  <c r="R211" i="89" a="1"/>
  <c r="R211" i="89" l="1"/>
  <c r="Q211" i="89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AA205" i="89" a="1"/>
  <c r="N205" i="89" a="1"/>
  <c r="AA205" i="89" l="1"/>
  <c r="N205" i="89"/>
  <c r="P205" i="89"/>
  <c r="Q205" i="89" s="1"/>
  <c r="Z205" i="89" a="1"/>
  <c r="Z205" i="89" l="1"/>
  <c r="AE204" i="89"/>
  <c r="AC205" i="89" l="1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Z204" i="89" a="1"/>
  <c r="Z204" i="89" l="1"/>
  <c r="P204" i="89"/>
  <c r="Q204" i="89" s="1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H203" i="89"/>
  <c r="F203" i="89" a="1"/>
  <c r="I203" i="89" l="1"/>
  <c r="M203" i="89"/>
  <c r="F203" i="89"/>
  <c r="AE203" i="89"/>
  <c r="AA203" i="89" a="1"/>
  <c r="N203" i="89" a="1"/>
  <c r="AA203" i="89" l="1"/>
  <c r="I206" i="89"/>
  <c r="I208" i="89"/>
  <c r="N203" i="89"/>
  <c r="P203" i="89"/>
  <c r="Z203" i="89" a="1"/>
  <c r="Z203" i="89" l="1"/>
  <c r="P206" i="89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H197" i="89"/>
  <c r="I197" i="89" l="1"/>
  <c r="AE197" i="89"/>
  <c r="AA197" i="89" a="1"/>
  <c r="N197" i="89" a="1"/>
  <c r="AA197" i="89" l="1"/>
  <c r="N197" i="89"/>
  <c r="Z197" i="89" a="1"/>
  <c r="Z197" i="89" l="1"/>
  <c r="P197" i="89"/>
  <c r="Q197" i="89" s="1"/>
  <c r="AE196" i="89"/>
  <c r="S197" i="89" a="1"/>
  <c r="S197" i="89" l="1"/>
  <c r="R197" i="89" a="1"/>
  <c r="R197" i="89" l="1"/>
  <c r="AC197" i="89"/>
  <c r="Y197" i="89"/>
  <c r="U197" i="89"/>
  <c r="J197" i="89"/>
  <c r="M196" i="89" l="1"/>
  <c r="K198" i="89"/>
  <c r="I196" i="89"/>
  <c r="AA196" i="89" a="1"/>
  <c r="N196" i="89" a="1"/>
  <c r="AA196" i="89" l="1"/>
  <c r="N196" i="89"/>
  <c r="Z196" i="89" a="1"/>
  <c r="Z196" i="89" l="1"/>
  <c r="P196" i="89"/>
  <c r="Q196" i="89" s="1"/>
  <c r="AC196" i="89" l="1"/>
  <c r="Y196" i="89"/>
  <c r="U196" i="89"/>
  <c r="J196" i="89"/>
  <c r="K199" i="89" l="1"/>
  <c r="I195" i="89" l="1"/>
  <c r="M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K185" i="89" l="1"/>
  <c r="P189" i="89"/>
  <c r="Q189" i="89" s="1"/>
  <c r="Q186" i="89"/>
  <c r="Q185" i="89" s="1"/>
  <c r="AC186" i="89" l="1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H180" i="89"/>
  <c r="F180" i="89" a="1"/>
  <c r="I180" i="89" l="1"/>
  <c r="F180" i="89"/>
  <c r="AE180" i="89"/>
  <c r="AA180" i="89" a="1"/>
  <c r="N180" i="89" a="1"/>
  <c r="AA180" i="89" l="1"/>
  <c r="N180" i="89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Q179" i="89" l="1"/>
  <c r="AC179" i="89" l="1"/>
  <c r="Y179" i="89"/>
  <c r="U179" i="89"/>
  <c r="J179" i="89"/>
  <c r="K182" i="89" l="1"/>
  <c r="H178" i="89"/>
  <c r="I178" i="89" l="1"/>
  <c r="M178" i="89"/>
  <c r="AE178" i="89"/>
  <c r="AA178" i="89" a="1"/>
  <c r="N178" i="89" a="1"/>
  <c r="AA178" i="89" l="1"/>
  <c r="I183" i="89"/>
  <c r="I181" i="89"/>
  <c r="N178" i="89"/>
  <c r="D178" i="89"/>
  <c r="Z178" i="89" a="1"/>
  <c r="Z178" i="89" l="1"/>
  <c r="P178" i="89"/>
  <c r="J177" i="89"/>
  <c r="I177" i="89"/>
  <c r="K177" i="89" l="1"/>
  <c r="P181" i="89"/>
  <c r="Q181" i="89" s="1"/>
  <c r="Q178" i="89"/>
  <c r="Q177" i="89" s="1"/>
  <c r="AC178" i="89" l="1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I162" i="89" l="1"/>
  <c r="I163" i="89" s="1"/>
  <c r="P160" i="89"/>
  <c r="Q160" i="89" s="1"/>
  <c r="Q162" i="89" s="1"/>
  <c r="K164" i="89"/>
  <c r="K163" i="89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I154" i="89"/>
  <c r="H154" i="89"/>
  <c r="F154" i="89" a="1"/>
  <c r="F154" i="89" l="1"/>
  <c r="AG154" i="89"/>
  <c r="N154" i="89" a="1"/>
  <c r="N154" i="89" l="1"/>
  <c r="P154" i="89" l="1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L157" i="89"/>
  <c r="L166" i="89" s="1"/>
  <c r="K155" i="89"/>
  <c r="M153" i="89"/>
  <c r="I153" i="89"/>
  <c r="F153" i="89" a="1"/>
  <c r="F153" i="89" l="1"/>
  <c r="I155" i="89"/>
  <c r="I156" i="89" s="1"/>
  <c r="K156" i="89"/>
  <c r="K157" i="89"/>
  <c r="K166" i="89" s="1"/>
  <c r="N153" i="89" a="1"/>
  <c r="N153" i="89" l="1"/>
  <c r="P153" i="89" l="1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I145" i="89" s="1"/>
  <c r="M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AC144" i="89" l="1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F137" i="89" a="1"/>
  <c r="M137" i="89" l="1"/>
  <c r="F137" i="89"/>
  <c r="N137" i="89"/>
  <c r="P137" i="89" l="1"/>
  <c r="Q137" i="89" l="1"/>
  <c r="S137" i="89" a="1"/>
  <c r="S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N136" i="89"/>
  <c r="I139" i="89" l="1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AC136" i="89" l="1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5" i="89"/>
  <c r="K126" i="89"/>
  <c r="N122" i="89"/>
  <c r="P122" i="89" l="1"/>
  <c r="Q122" i="89" s="1"/>
  <c r="Q124" i="89" s="1"/>
  <c r="D121" i="89" l="1"/>
  <c r="I119" i="89"/>
  <c r="S122" i="89" a="1"/>
  <c r="S122" i="89" l="1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F115" i="89" a="1"/>
  <c r="M115" i="89" l="1"/>
  <c r="F115" i="89"/>
  <c r="I117" i="89"/>
  <c r="I118" i="89" s="1"/>
  <c r="N115" i="89"/>
  <c r="P115" i="89" l="1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F108" i="89" a="1"/>
  <c r="M108" i="89" l="1"/>
  <c r="F108" i="89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P102" i="89" l="1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4" i="89"/>
  <c r="K105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AC96" i="89" l="1"/>
  <c r="Y96" i="89"/>
  <c r="U96" i="89"/>
  <c r="J96" i="89"/>
  <c r="W95" i="89" a="1"/>
  <c r="W95" i="89" l="1"/>
  <c r="T97" i="89" l="1"/>
  <c r="L95" i="89" a="1"/>
  <c r="L95" i="89" l="1"/>
  <c r="K95" i="89" a="1"/>
  <c r="K95" i="89" l="1"/>
  <c r="M95" i="89" s="1"/>
  <c r="L99" i="89"/>
  <c r="L106" i="89" s="1"/>
  <c r="K97" i="89"/>
  <c r="I95" i="89"/>
  <c r="I97" i="89" l="1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AC95" i="89" l="1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I90" i="89" s="1"/>
  <c r="H90" i="89"/>
  <c r="F90" i="89" a="1"/>
  <c r="M90" i="89" l="1"/>
  <c r="F90" i="89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AC89" i="89" l="1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 s="1"/>
  <c r="H82" i="89"/>
  <c r="I82" i="89" l="1"/>
  <c r="AE82" i="89"/>
  <c r="P82" i="89" l="1"/>
  <c r="Q82" i="89" s="1"/>
  <c r="AE81" i="89"/>
  <c r="AB82" i="89" a="1"/>
  <c r="S82" i="89" a="1"/>
  <c r="AB82" i="89" l="1"/>
  <c r="S82" i="89"/>
  <c r="R82" i="89" a="1"/>
  <c r="R82" i="89" l="1"/>
  <c r="AC82" i="89"/>
  <c r="Y82" i="89"/>
  <c r="U82" i="89"/>
  <c r="J82" i="89"/>
  <c r="W81" i="89"/>
  <c r="T83" i="89" l="1"/>
  <c r="K81" i="89"/>
  <c r="L81" i="89"/>
  <c r="K84" i="89" l="1"/>
  <c r="K83" i="89"/>
  <c r="M81" i="89"/>
  <c r="I81" i="89"/>
  <c r="AA81" i="89" a="1"/>
  <c r="F81" i="89"/>
  <c r="AA81" i="89" l="1"/>
  <c r="I83" i="89"/>
  <c r="I84" i="89" s="1"/>
  <c r="N81" i="89" a="1"/>
  <c r="N81" i="89" l="1"/>
  <c r="AE76" i="89"/>
  <c r="Z81" i="89" a="1"/>
  <c r="Z81" i="89" l="1"/>
  <c r="P81" i="89"/>
  <c r="Q81" i="89" s="1"/>
  <c r="Q83" i="89" s="1"/>
  <c r="AC81" i="89"/>
  <c r="Y81" i="89"/>
  <c r="U81" i="89"/>
  <c r="J81" i="89"/>
  <c r="Y84" i="89" l="1"/>
  <c r="Y85" i="89" s="1"/>
  <c r="M76" i="89" l="1"/>
  <c r="I76" i="89"/>
  <c r="AA76" i="89" a="1"/>
  <c r="AA76" i="89" l="1"/>
  <c r="P76" i="89"/>
  <c r="Q76" i="89" s="1"/>
  <c r="AE75" i="89" l="1"/>
  <c r="AC76" i="89" l="1"/>
  <c r="Y76" i="89"/>
  <c r="U76" i="89"/>
  <c r="J76" i="89"/>
  <c r="W79" i="89" l="1"/>
  <c r="T77" i="89" l="1"/>
  <c r="K78" i="89" l="1"/>
  <c r="K77" i="89"/>
  <c r="M75" i="89"/>
  <c r="I75" i="89"/>
  <c r="AA75" i="89" a="1"/>
  <c r="AA75" i="89" l="1"/>
  <c r="I77" i="89"/>
  <c r="I78" i="89" s="1"/>
  <c r="K85" i="89"/>
  <c r="N75" i="89" a="1"/>
  <c r="N75" i="89" l="1"/>
  <c r="Z75" i="89" a="1"/>
  <c r="Z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M69" i="89" l="1"/>
  <c r="I69" i="89"/>
  <c r="AA69" i="89" a="1"/>
  <c r="AA69" i="89" l="1"/>
  <c r="AE69" i="89"/>
  <c r="N69" i="89" a="1"/>
  <c r="N69" i="89" l="1"/>
  <c r="Z69" i="89" a="1"/>
  <c r="Z69" i="89" l="1"/>
  <c r="P69" i="89"/>
  <c r="Q69" i="89" s="1"/>
  <c r="AE68" i="89" l="1"/>
  <c r="AC69" i="89" l="1"/>
  <c r="Y69" i="89"/>
  <c r="U69" i="89"/>
  <c r="J69" i="89"/>
  <c r="T70" i="89" l="1"/>
  <c r="K71" i="89" l="1"/>
  <c r="L72" i="89"/>
  <c r="K70" i="89"/>
  <c r="M68" i="89"/>
  <c r="I68" i="89"/>
  <c r="AA68" i="89" a="1"/>
  <c r="AA68" i="89" l="1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M63" i="89" l="1"/>
  <c r="I63" i="89"/>
  <c r="H63" i="89"/>
  <c r="AA63" i="89" a="1"/>
  <c r="AA63" i="89" l="1"/>
  <c r="AE63" i="89"/>
  <c r="N63" i="89" a="1"/>
  <c r="N63" i="89" l="1"/>
  <c r="Z63" i="89" a="1"/>
  <c r="Z63" i="89" l="1"/>
  <c r="P63" i="89"/>
  <c r="Q63" i="89" s="1"/>
  <c r="AE62" i="89" l="1"/>
  <c r="S63" i="89" a="1"/>
  <c r="S63" i="89" l="1"/>
  <c r="R63" i="89" a="1"/>
  <c r="R63" i="89" l="1"/>
  <c r="AC63" i="89"/>
  <c r="Y63" i="89"/>
  <c r="U63" i="89"/>
  <c r="J63" i="89"/>
  <c r="T64" i="89" l="1"/>
  <c r="K64" i="89" l="1"/>
  <c r="M62" i="89"/>
  <c r="I62" i="89"/>
  <c r="AA62" i="89" a="1"/>
  <c r="AA62" i="89" l="1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M56" i="89" l="1"/>
  <c r="H56" i="89"/>
  <c r="I56" i="89" l="1"/>
  <c r="AE56" i="89"/>
  <c r="AA56" i="89" a="1"/>
  <c r="N56" i="89" a="1"/>
  <c r="AA56" i="89" l="1"/>
  <c r="N56" i="89"/>
  <c r="P56" i="89"/>
  <c r="Q56" i="89" s="1"/>
  <c r="Z56" i="89" a="1"/>
  <c r="Z56" i="89" l="1"/>
  <c r="AE55" i="89"/>
  <c r="AC56" i="89" l="1"/>
  <c r="Y56" i="89"/>
  <c r="U56" i="89"/>
  <c r="J56" i="89"/>
  <c r="T57" i="89" l="1"/>
  <c r="K58" i="89" l="1"/>
  <c r="K57" i="89"/>
  <c r="I55" i="89"/>
  <c r="AA55" i="89" a="1"/>
  <c r="AA55" i="89" l="1"/>
  <c r="I57" i="89"/>
  <c r="G57" i="89" s="1"/>
  <c r="M55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AC55" i="89" l="1"/>
  <c r="Y55" i="89"/>
  <c r="Y58" i="89" s="1"/>
  <c r="Y59" i="89" s="1"/>
  <c r="U55" i="89"/>
  <c r="J55" i="89"/>
  <c r="J54" i="89" s="1"/>
  <c r="M50" i="89" l="1"/>
  <c r="H50" i="89"/>
  <c r="I50" i="89" l="1"/>
  <c r="AE50" i="89"/>
  <c r="AA50" i="89" a="1"/>
  <c r="N50" i="89" a="1"/>
  <c r="AA50" i="89" l="1"/>
  <c r="N50" i="89"/>
  <c r="P50" i="89"/>
  <c r="Q50" i="89" s="1"/>
  <c r="Z50" i="89" a="1"/>
  <c r="Z50" i="89" l="1"/>
  <c r="AE49" i="89"/>
  <c r="AC50" i="89" l="1"/>
  <c r="Y50" i="89"/>
  <c r="U50" i="89"/>
  <c r="J50" i="89"/>
  <c r="T51" i="89" l="1"/>
  <c r="I52" i="89" s="1"/>
  <c r="K52" i="89" l="1"/>
  <c r="K51" i="89"/>
  <c r="I49" i="89"/>
  <c r="AA49" i="89" a="1"/>
  <c r="AA49" i="89" l="1"/>
  <c r="M49" i="89"/>
  <c r="K60" i="89"/>
  <c r="K59" i="89"/>
  <c r="N49" i="89" a="1"/>
  <c r="N49" i="89" l="1"/>
  <c r="Z49" i="89" a="1"/>
  <c r="Z49" i="89" l="1"/>
  <c r="P49" i="89"/>
  <c r="Q49" i="89" s="1"/>
  <c r="Q51" i="89" s="1"/>
  <c r="I48" i="89"/>
  <c r="L46" i="89"/>
  <c r="K46" i="89"/>
  <c r="AE40" i="89"/>
  <c r="P47" i="89" l="1"/>
  <c r="AC49" i="89" l="1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Z40" i="89" a="1"/>
  <c r="Z40" i="89" l="1"/>
  <c r="P40" i="89"/>
  <c r="Q40" i="89" s="1"/>
  <c r="AE39" i="89"/>
  <c r="AC40" i="89" l="1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N39" i="89" a="1"/>
  <c r="N39" i="89" l="1"/>
  <c r="Z39" i="89" a="1"/>
  <c r="Z39" i="89" l="1"/>
  <c r="P39" i="89"/>
  <c r="P42" i="89" s="1"/>
  <c r="AE34" i="89"/>
  <c r="Q39" i="89" l="1"/>
  <c r="Q41" i="89" s="1"/>
  <c r="AC39" i="89"/>
  <c r="Y39" i="89"/>
  <c r="U39" i="89"/>
  <c r="J39" i="89"/>
  <c r="J38" i="89" s="1"/>
  <c r="A39" i="89"/>
  <c r="Y41" i="89" l="1"/>
  <c r="Y42" i="89" l="1"/>
  <c r="P43" i="89"/>
  <c r="M34" i="89" l="1"/>
  <c r="I34" i="89"/>
  <c r="AA34" i="89" a="1"/>
  <c r="N34" i="89" a="1"/>
  <c r="AA34" i="89" l="1"/>
  <c r="N34" i="89"/>
  <c r="Z34" i="89" a="1"/>
  <c r="Z34" i="89" l="1"/>
  <c r="P34" i="89"/>
  <c r="Q34" i="89" s="1"/>
  <c r="AE33" i="89"/>
  <c r="S34" i="89" a="1"/>
  <c r="S34" i="89" l="1"/>
  <c r="R34" i="89" a="1"/>
  <c r="R34" i="89" l="1"/>
  <c r="AC34" i="89"/>
  <c r="Y34" i="89"/>
  <c r="U34" i="89"/>
  <c r="J34" i="89"/>
  <c r="W37" i="89" l="1"/>
  <c r="T35" i="89" l="1"/>
  <c r="K36" i="89" l="1"/>
  <c r="K35" i="89"/>
  <c r="I33" i="89"/>
  <c r="AA33" i="89" a="1"/>
  <c r="AA33" i="89" l="1"/>
  <c r="M33" i="89"/>
  <c r="K37" i="89"/>
  <c r="I35" i="89"/>
  <c r="L44" i="89"/>
  <c r="K44" i="89"/>
  <c r="K43" i="89"/>
  <c r="N33" i="89" a="1"/>
  <c r="N33" i="89" l="1"/>
  <c r="I36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M27" i="89" l="1"/>
  <c r="I27" i="89"/>
  <c r="H27" i="89"/>
  <c r="AE27" i="89" l="1"/>
  <c r="N27" i="89" a="1"/>
  <c r="N27" i="89" l="1"/>
  <c r="P27" i="89" l="1"/>
  <c r="Q27" i="89" s="1"/>
  <c r="A27" i="89"/>
  <c r="AE26" i="89"/>
  <c r="AC27" i="89" l="1"/>
  <c r="Y27" i="89"/>
  <c r="U27" i="89"/>
  <c r="J27" i="89"/>
  <c r="T28" i="89" l="1"/>
  <c r="M26" i="89" l="1"/>
  <c r="L30" i="89"/>
  <c r="K28" i="89"/>
  <c r="I26" i="89" l="1"/>
  <c r="K29" i="89"/>
  <c r="K30" i="89"/>
  <c r="N26" i="89" a="1"/>
  <c r="I28" i="89" l="1"/>
  <c r="I29" i="89" s="1"/>
  <c r="K31" i="89"/>
  <c r="N26" i="89"/>
  <c r="P26" i="89" l="1"/>
  <c r="P29" i="89" l="1"/>
  <c r="Q26" i="89"/>
  <c r="Q28" i="89" s="1"/>
  <c r="A26" i="89"/>
  <c r="A29" i="89" s="1"/>
  <c r="I25" i="89"/>
  <c r="AL24" i="89"/>
  <c r="AK24" i="89"/>
  <c r="AJ20" i="89"/>
  <c r="AL21" i="89" s="1"/>
  <c r="AK21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I23" i="89"/>
  <c r="AE20" i="89"/>
  <c r="N20" i="89" a="1"/>
  <c r="N20" i="89" l="1"/>
  <c r="Z20" i="89" a="1"/>
  <c r="Z20" i="89" l="1"/>
  <c r="P20" i="89"/>
  <c r="Q20" i="89" s="1"/>
  <c r="AJ19" i="89"/>
  <c r="AE19" i="89"/>
  <c r="S20" i="89" a="1"/>
  <c r="S20" i="89" l="1"/>
  <c r="R20" i="89" a="1"/>
  <c r="R20" i="89" l="1"/>
  <c r="AC20" i="89"/>
  <c r="Y20" i="89"/>
  <c r="U20" i="89"/>
  <c r="J20" i="89"/>
  <c r="W19" i="89"/>
  <c r="T21" i="89" l="1"/>
  <c r="K19" i="89"/>
  <c r="L19" i="89"/>
  <c r="K22" i="89" l="1"/>
  <c r="K23" i="89"/>
  <c r="L23" i="89"/>
  <c r="K21" i="89"/>
  <c r="M19" i="89"/>
  <c r="I19" i="89"/>
  <c r="AA19" i="89" a="1"/>
  <c r="F19" i="89"/>
  <c r="S19" i="89" a="1"/>
  <c r="AA19" i="89" l="1"/>
  <c r="S19" i="89"/>
  <c r="I21" i="89"/>
  <c r="I22" i="89" s="1"/>
  <c r="G18" i="89"/>
  <c r="R19" i="89" a="1"/>
  <c r="N19" i="89" a="1"/>
  <c r="R19" i="89" l="1"/>
  <c r="J19" i="89"/>
  <c r="N19" i="89"/>
  <c r="AC19" i="89"/>
  <c r="Y19" i="89"/>
  <c r="U19" i="89"/>
  <c r="Z19" i="89" a="1"/>
  <c r="Z19" i="89" l="1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P14" i="89"/>
  <c r="Q14" i="89" s="1"/>
  <c r="Z14" i="89" a="1"/>
  <c r="Z14" i="89" l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I15" i="89"/>
  <c r="I16" i="89" s="1"/>
  <c r="F13" i="89"/>
  <c r="K17" i="89"/>
  <c r="K16" i="89"/>
  <c r="N13" i="89" a="1"/>
  <c r="N13" i="89" l="1"/>
  <c r="Z13" i="89" a="1"/>
  <c r="Z13" i="89" l="1"/>
  <c r="P13" i="89"/>
  <c r="P16" i="89" s="1"/>
  <c r="AI12" i="89"/>
  <c r="AH12" i="89"/>
  <c r="AI11" i="89"/>
  <c r="AH11" i="89"/>
  <c r="AJ11" i="89" s="1"/>
  <c r="Q13" i="89" l="1"/>
  <c r="Q15" i="89" s="1"/>
  <c r="Q17" i="89" s="1"/>
  <c r="AC13" i="89" l="1"/>
  <c r="Y13" i="89"/>
  <c r="U13" i="89"/>
  <c r="J13" i="89"/>
  <c r="J17" i="89" s="1"/>
  <c r="Y15" i="89" l="1"/>
  <c r="Y16" i="89" l="1"/>
  <c r="P17" i="89"/>
  <c r="M8" i="89" l="1"/>
  <c r="H8" i="89"/>
  <c r="I8" i="89" l="1"/>
  <c r="AE8" i="89"/>
  <c r="AF8" i="89"/>
  <c r="AA8" i="89" a="1"/>
  <c r="N8" i="89" a="1"/>
  <c r="AA8" i="89" l="1"/>
  <c r="N8" i="89"/>
  <c r="Z8" i="89" a="1"/>
  <c r="Z8" i="89" l="1"/>
  <c r="P8" i="89"/>
  <c r="Q8" i="89" s="1"/>
  <c r="AF7" i="89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K18" i="89" s="1"/>
  <c r="N7" i="89" a="1"/>
  <c r="N7" i="89" l="1"/>
  <c r="Z7" i="89" a="1"/>
  <c r="Z7" i="89" l="1"/>
  <c r="P7" i="89"/>
  <c r="P10" i="89" s="1"/>
  <c r="K5" i="89"/>
  <c r="H52" i="2"/>
  <c r="H51" i="2"/>
  <c r="H50" i="2"/>
  <c r="H49" i="2"/>
  <c r="J47" i="2"/>
  <c r="J46" i="2"/>
  <c r="J45" i="2"/>
  <c r="J44" i="2"/>
  <c r="J43" i="2"/>
  <c r="J42" i="2"/>
  <c r="J41" i="2"/>
  <c r="J40" i="2"/>
  <c r="I36" i="2"/>
  <c r="S7" i="89" a="1"/>
  <c r="Q7" i="89" l="1"/>
  <c r="Q9" i="89" s="1"/>
  <c r="Q11" i="89" s="1"/>
  <c r="J49" i="2"/>
  <c r="I49" i="2" s="1"/>
  <c r="J50" i="2"/>
  <c r="I50" i="2" s="1"/>
  <c r="J51" i="2"/>
  <c r="I51" i="2" s="1"/>
  <c r="J52" i="2"/>
  <c r="I52" i="2" s="1"/>
  <c r="S7" i="89"/>
  <c r="R7" i="89" a="1"/>
  <c r="R7" i="89" l="1"/>
  <c r="Q5" i="89"/>
  <c r="AC7" i="89"/>
  <c r="Y7" i="89"/>
  <c r="U7" i="89"/>
  <c r="J7" i="89"/>
  <c r="J11" i="89" s="1"/>
  <c r="Y9" i="89" l="1"/>
  <c r="Y10" i="89" l="1"/>
  <c r="P11" i="89"/>
  <c r="J36" i="2" l="1"/>
  <c r="K36" i="2"/>
  <c r="BA27" i="2" l="1"/>
  <c r="AF27" i="2" a="1"/>
  <c r="AF27" i="2" l="1"/>
  <c r="Q27" i="2" a="1"/>
  <c r="Q27" i="2" l="1"/>
  <c r="P27" i="2" a="1"/>
  <c r="P27" i="2" l="1"/>
  <c r="R27" i="2" s="1"/>
  <c r="BB27" i="2" l="1"/>
  <c r="BC27" i="2" s="1"/>
  <c r="G27" i="2" a="1"/>
  <c r="G27" i="2" l="1"/>
  <c r="O27" i="2"/>
  <c r="S27" i="2" a="1"/>
  <c r="S27" i="2" l="1"/>
  <c r="AO27" i="2" s="1"/>
  <c r="Z27" i="2"/>
  <c r="AV27" i="2" s="1" a="1"/>
  <c r="AV27" i="2" l="1"/>
  <c r="U27" i="2"/>
  <c r="AP27" i="2"/>
  <c r="AE27" i="2"/>
  <c r="AT27" i="2"/>
  <c r="AS27" i="2"/>
  <c r="AL27" i="2"/>
  <c r="AB27" i="2"/>
  <c r="M27" i="2"/>
  <c r="BA26" i="2"/>
  <c r="AM27" i="2" l="1"/>
  <c r="X27" i="2"/>
  <c r="Y27" i="2" s="1"/>
  <c r="AF26" i="2" a="1"/>
  <c r="AF26" i="2" l="1"/>
  <c r="Q26" i="2" a="1"/>
  <c r="Q26" i="2" l="1"/>
  <c r="P26" i="2" a="1"/>
  <c r="P26" i="2" l="1"/>
  <c r="R26" i="2" s="1"/>
  <c r="BB26" i="2" l="1"/>
  <c r="BC26" i="2" s="1"/>
  <c r="G26" i="2" a="1"/>
  <c r="G26" i="2" l="1"/>
  <c r="O26" i="2"/>
  <c r="S26" i="2" a="1"/>
  <c r="S26" i="2" l="1"/>
  <c r="AO26" i="2" s="1"/>
  <c r="Z26" i="2"/>
  <c r="AV26" i="2" s="1" a="1"/>
  <c r="AV26" i="2" l="1"/>
  <c r="U26" i="2"/>
  <c r="AP26" i="2"/>
  <c r="AE26" i="2"/>
  <c r="AT26" i="2"/>
  <c r="AS26" i="2"/>
  <c r="AL26" i="2"/>
  <c r="AB26" i="2"/>
  <c r="M26" i="2"/>
  <c r="AM26" i="2" l="1"/>
  <c r="X26" i="2"/>
  <c r="Y26" i="2" s="1"/>
  <c r="BA25" i="2" l="1"/>
  <c r="R25" i="2" l="1"/>
  <c r="BB25" i="2" l="1"/>
  <c r="BC25" i="2" s="1"/>
  <c r="O25" i="2" l="1"/>
  <c r="S25" i="2" a="1"/>
  <c r="S25" i="2" l="1"/>
  <c r="AO25" i="2"/>
  <c r="AP25" i="2"/>
  <c r="U25" i="2"/>
  <c r="Z25" i="2"/>
  <c r="AV25" i="2" s="1" a="1"/>
  <c r="AV25" i="2" l="1"/>
  <c r="AE25" i="2"/>
  <c r="AT25" i="2"/>
  <c r="AS25" i="2"/>
  <c r="AL25" i="2"/>
  <c r="AB25" i="2"/>
  <c r="M25" i="2"/>
  <c r="BA24" i="2"/>
  <c r="AM25" i="2" l="1"/>
  <c r="X25" i="2"/>
  <c r="Y25" i="2" s="1"/>
  <c r="R24" i="2" l="1"/>
  <c r="BB24" i="2" l="1"/>
  <c r="BC24" i="2" s="1"/>
  <c r="O24" i="2" l="1"/>
  <c r="S24" i="2" a="1"/>
  <c r="S24" i="2" l="1"/>
  <c r="AO24" i="2" s="1"/>
  <c r="Z24" i="2"/>
  <c r="AV24" i="2" s="1" a="1"/>
  <c r="AV24" i="2" l="1"/>
  <c r="U24" i="2"/>
  <c r="AP24" i="2"/>
  <c r="AE24" i="2"/>
  <c r="AT24" i="2"/>
  <c r="AS24" i="2"/>
  <c r="AL24" i="2"/>
  <c r="AB24" i="2"/>
  <c r="M24" i="2"/>
  <c r="BA23" i="2"/>
  <c r="AM24" i="2" l="1"/>
  <c r="X24" i="2"/>
  <c r="Y24" i="2" s="1"/>
  <c r="R23" i="2" l="1"/>
  <c r="BB23" i="2" l="1"/>
  <c r="BC23" i="2" s="1"/>
  <c r="O23" i="2" l="1"/>
  <c r="S23" i="2" a="1"/>
  <c r="S23" i="2" l="1"/>
  <c r="AO23" i="2" s="1"/>
  <c r="AP23" i="2"/>
  <c r="Z23" i="2"/>
  <c r="AV23" i="2" s="1" a="1"/>
  <c r="AV23" i="2" l="1"/>
  <c r="U23" i="2"/>
  <c r="AE23" i="2"/>
  <c r="AT23" i="2"/>
  <c r="AS23" i="2"/>
  <c r="AL23" i="2"/>
  <c r="AB23" i="2"/>
  <c r="M23" i="2"/>
  <c r="BA20" i="2"/>
  <c r="AM23" i="2" l="1"/>
  <c r="X23" i="2"/>
  <c r="Y23" i="2" s="1"/>
  <c r="R20" i="2" l="1"/>
  <c r="BB20" i="2" l="1"/>
  <c r="BC20" i="2" s="1"/>
  <c r="O20" i="2" l="1"/>
  <c r="S20" i="2" a="1"/>
  <c r="S20" i="2" l="1"/>
  <c r="AO20" i="2" s="1"/>
  <c r="AP20" i="2"/>
  <c r="U20" i="2"/>
  <c r="AE20" i="2" l="1"/>
  <c r="AT20" i="2"/>
  <c r="AS20" i="2"/>
  <c r="AL20" i="2"/>
  <c r="AB20" i="2"/>
  <c r="M20" i="2"/>
  <c r="BA19" i="2"/>
  <c r="AM20" i="2" l="1"/>
  <c r="X20" i="2"/>
  <c r="Y20" i="2" s="1"/>
  <c r="R19" i="2" l="1"/>
  <c r="BB19" i="2" l="1"/>
  <c r="BC19" i="2" s="1"/>
  <c r="O19" i="2" l="1"/>
  <c r="S19" i="2" a="1"/>
  <c r="S19" i="2" l="1"/>
  <c r="U19" i="2" s="1"/>
  <c r="Z19" i="2"/>
  <c r="AV19" i="2" s="1" a="1"/>
  <c r="AV19" i="2" l="1"/>
  <c r="AP19" i="2"/>
  <c r="AO19" i="2"/>
  <c r="AE19" i="2"/>
  <c r="AT19" i="2"/>
  <c r="AS19" i="2"/>
  <c r="AL19" i="2"/>
  <c r="AB19" i="2"/>
  <c r="M19" i="2"/>
  <c r="BA18" i="2"/>
  <c r="AM19" i="2" l="1"/>
  <c r="X19" i="2"/>
  <c r="Y19" i="2" s="1"/>
  <c r="R18" i="2" l="1"/>
  <c r="BB18" i="2" l="1"/>
  <c r="BC18" i="2" s="1"/>
  <c r="O18" i="2" l="1"/>
  <c r="S18" i="2" a="1"/>
  <c r="S18" i="2" l="1"/>
  <c r="AO18" i="2" s="1"/>
  <c r="Z18" i="2"/>
  <c r="AV18" i="2" s="1" a="1"/>
  <c r="AV18" i="2" l="1"/>
  <c r="AP18" i="2"/>
  <c r="U18" i="2"/>
  <c r="AE18" i="2"/>
  <c r="AT18" i="2"/>
  <c r="AS18" i="2"/>
  <c r="AL18" i="2"/>
  <c r="AB18" i="2"/>
  <c r="M18" i="2"/>
  <c r="BA17" i="2"/>
  <c r="AM18" i="2" l="1"/>
  <c r="X18" i="2"/>
  <c r="Y18" i="2" s="1"/>
  <c r="R17" i="2" l="1"/>
  <c r="BB17" i="2" l="1"/>
  <c r="BC17" i="2" s="1"/>
  <c r="O17" i="2" l="1"/>
  <c r="S17" i="2" a="1"/>
  <c r="S17" i="2" l="1"/>
  <c r="U17" i="2" s="1"/>
  <c r="AP17" i="2"/>
  <c r="AO17" i="2" l="1"/>
  <c r="AE17" i="2"/>
  <c r="AT17" i="2"/>
  <c r="AS17" i="2"/>
  <c r="AL17" i="2"/>
  <c r="AB17" i="2"/>
  <c r="M17" i="2"/>
  <c r="BA16" i="2"/>
  <c r="AM17" i="2" l="1"/>
  <c r="X17" i="2"/>
  <c r="Y17" i="2" s="1"/>
  <c r="R16" i="2" l="1"/>
  <c r="BB16" i="2" l="1"/>
  <c r="BC16" i="2" s="1"/>
  <c r="O16" i="2" l="1"/>
  <c r="S16" i="2" a="1"/>
  <c r="S16" i="2" l="1"/>
  <c r="AO16" i="2" s="1"/>
  <c r="Z16" i="2"/>
  <c r="AV16" i="2" s="1" a="1"/>
  <c r="AV16" i="2" l="1"/>
  <c r="U16" i="2"/>
  <c r="AP16" i="2"/>
  <c r="AE16" i="2"/>
  <c r="AT16" i="2"/>
  <c r="AS16" i="2"/>
  <c r="AL16" i="2"/>
  <c r="AB16" i="2"/>
  <c r="M16" i="2"/>
  <c r="BA15" i="2"/>
  <c r="AM16" i="2" l="1"/>
  <c r="X16" i="2"/>
  <c r="Y16" i="2" s="1"/>
  <c r="R15" i="2" l="1"/>
  <c r="BB15" i="2" l="1"/>
  <c r="BC15" i="2" s="1"/>
  <c r="O15" i="2" l="1"/>
  <c r="S15" i="2" a="1"/>
  <c r="S15" i="2" l="1"/>
  <c r="AO15" i="2" s="1"/>
  <c r="Z15" i="2"/>
  <c r="AV15" i="2" s="1" a="1"/>
  <c r="AV15" i="2" l="1"/>
  <c r="AP15" i="2"/>
  <c r="U15" i="2"/>
  <c r="AE15" i="2"/>
  <c r="AT15" i="2"/>
  <c r="AS15" i="2"/>
  <c r="AL15" i="2"/>
  <c r="AB15" i="2"/>
  <c r="M15" i="2"/>
  <c r="AM15" i="2" l="1"/>
  <c r="X15" i="2"/>
  <c r="Y15" i="2" s="1"/>
  <c r="BA14" i="2" l="1"/>
  <c r="R14" i="2" l="1"/>
  <c r="BB14" i="2" l="1"/>
  <c r="BC14" i="2" s="1"/>
  <c r="O14" i="2" l="1"/>
  <c r="S14" i="2" a="1"/>
  <c r="S14" i="2" l="1"/>
  <c r="AP14" i="2" s="1"/>
  <c r="Z14" i="2"/>
  <c r="AV14" i="2" s="1" a="1"/>
  <c r="AV14" i="2" l="1"/>
  <c r="AO14" i="2"/>
  <c r="U14" i="2"/>
  <c r="AE14" i="2"/>
  <c r="AT14" i="2"/>
  <c r="AS14" i="2"/>
  <c r="AL14" i="2"/>
  <c r="AB14" i="2"/>
  <c r="M14" i="2"/>
  <c r="BA13" i="2"/>
  <c r="AM14" i="2" l="1"/>
  <c r="X14" i="2"/>
  <c r="Y14" i="2" s="1"/>
  <c r="AF13" i="2" a="1"/>
  <c r="AF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S13" i="2" a="1"/>
  <c r="S13" i="2" l="1"/>
  <c r="AO13" i="2" s="1"/>
  <c r="Z13" i="2"/>
  <c r="AV13" i="2" s="1" a="1"/>
  <c r="AV13" i="2" l="1"/>
  <c r="U13" i="2"/>
  <c r="AP13" i="2"/>
  <c r="AE13" i="2"/>
  <c r="AT13" i="2"/>
  <c r="AS13" i="2"/>
  <c r="AL13" i="2"/>
  <c r="AB13" i="2"/>
  <c r="M13" i="2"/>
  <c r="BA12" i="2"/>
  <c r="AM13" i="2" l="1"/>
  <c r="X13" i="2"/>
  <c r="Y13" i="2" s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O12" i="2"/>
  <c r="S12" i="2" a="1"/>
  <c r="S12" i="2" l="1"/>
  <c r="AO12" i="2" s="1"/>
  <c r="AP12" i="2"/>
  <c r="U12" i="2"/>
  <c r="Z12" i="2"/>
  <c r="AV12" i="2" s="1" a="1"/>
  <c r="AV12" i="2" l="1"/>
  <c r="AE12" i="2"/>
  <c r="AT12" i="2"/>
  <c r="AS12" i="2"/>
  <c r="AL12" i="2"/>
  <c r="AB12" i="2"/>
  <c r="M12" i="2"/>
  <c r="AM12" i="2" l="1"/>
  <c r="X12" i="2"/>
  <c r="Y12" i="2" s="1"/>
  <c r="BA4" i="2" l="1"/>
  <c r="AF4" i="2" a="1"/>
  <c r="AF4" i="2" l="1"/>
  <c r="Q4" i="2" a="1"/>
  <c r="Q4" i="2" l="1"/>
  <c r="P4" i="2" a="1"/>
  <c r="P4" i="2" l="1"/>
  <c r="R4" i="2" s="1"/>
  <c r="J4" i="2" l="1"/>
  <c r="BB4" i="2" s="1"/>
  <c r="BC4" i="2" s="1"/>
  <c r="G4" i="2" a="1"/>
  <c r="G4" i="2" l="1"/>
  <c r="K4" i="2"/>
  <c r="O4" i="2" s="1"/>
  <c r="S4" i="2" a="1"/>
  <c r="S4" i="2" l="1"/>
  <c r="AO4" i="2" s="1"/>
  <c r="U4" i="2" l="1"/>
  <c r="AP4" i="2"/>
  <c r="AE4" i="2"/>
  <c r="AT4" i="2"/>
  <c r="AS4" i="2"/>
  <c r="AL4" i="2"/>
  <c r="AB4" i="2"/>
  <c r="M4" i="2"/>
  <c r="AM4" i="2" l="1"/>
  <c r="X4" i="2"/>
  <c r="Y4" i="2" s="1"/>
  <c r="BA11" i="2" l="1"/>
  <c r="AF11" i="2" a="1"/>
  <c r="AF11" i="2" l="1"/>
  <c r="Q11" i="2" a="1"/>
  <c r="Q11" i="2" l="1"/>
  <c r="P11" i="2" a="1"/>
  <c r="P11" i="2" l="1"/>
  <c r="R11" i="2" s="1"/>
  <c r="BB11" i="2" l="1"/>
  <c r="BC11" i="2" s="1"/>
  <c r="G11" i="2" a="1"/>
  <c r="G11" i="2" l="1"/>
  <c r="O11" i="2"/>
  <c r="S11" i="2" a="1"/>
  <c r="S11" i="2" l="1"/>
  <c r="AO11" i="2" s="1"/>
  <c r="AP11" i="2"/>
  <c r="U11" i="2"/>
  <c r="AE11" i="2" l="1"/>
  <c r="AT11" i="2"/>
  <c r="AS11" i="2"/>
  <c r="AL11" i="2"/>
  <c r="AB11" i="2"/>
  <c r="M11" i="2"/>
  <c r="BA6" i="2"/>
  <c r="AM11" i="2" l="1"/>
  <c r="X11" i="2"/>
  <c r="Y11" i="2" s="1"/>
  <c r="AF6" i="2" a="1"/>
  <c r="AF6" i="2" l="1"/>
  <c r="Q6" i="2" a="1"/>
  <c r="Q6" i="2" l="1"/>
  <c r="P6" i="2" a="1"/>
  <c r="P6" i="2" l="1"/>
  <c r="R6" i="2" s="1"/>
  <c r="BB6" i="2" l="1"/>
  <c r="BC6" i="2" s="1"/>
  <c r="G6" i="2" a="1"/>
  <c r="G6" i="2" l="1"/>
  <c r="O6" i="2"/>
  <c r="S6" i="2" a="1"/>
  <c r="S6" i="2" l="1"/>
  <c r="AP6" i="2" s="1"/>
  <c r="AO6" i="2" l="1"/>
  <c r="U6" i="2"/>
  <c r="Z6" i="2"/>
  <c r="AV6" i="2" s="1" a="1"/>
  <c r="AV6" i="2" l="1"/>
  <c r="AE6" i="2"/>
  <c r="AT6" i="2"/>
  <c r="AS6" i="2"/>
  <c r="AL6" i="2"/>
  <c r="AB6" i="2"/>
  <c r="M6" i="2"/>
  <c r="BA5" i="2"/>
  <c r="AM6" i="2" l="1"/>
  <c r="X6" i="2"/>
  <c r="Y6" i="2" s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AP5" i="2" s="1"/>
  <c r="AO5" i="2" l="1"/>
  <c r="U5" i="2"/>
  <c r="Z5" i="2"/>
  <c r="AV5" i="2" s="1" a="1"/>
  <c r="AV5" i="2" l="1"/>
  <c r="AE5" i="2"/>
  <c r="AT5" i="2"/>
  <c r="AS5" i="2"/>
  <c r="AL5" i="2"/>
  <c r="AB5" i="2"/>
  <c r="M5" i="2"/>
  <c r="U2" i="2"/>
  <c r="R2" i="2"/>
  <c r="Q2" i="2" a="1"/>
  <c r="Q2" i="2" l="1"/>
  <c r="S2" i="2"/>
  <c r="AM5" i="2"/>
  <c r="X5" i="2"/>
  <c r="Y5" i="2" s="1"/>
  <c r="P2" i="2" a="1"/>
  <c r="P2" i="2" l="1"/>
  <c r="I2" i="2" l="1"/>
  <c r="X1" i="2"/>
  <c r="R1" i="2"/>
  <c r="O1" i="2"/>
  <c r="H1" i="2"/>
  <c r="Q21" i="1" l="1"/>
  <c r="N21" i="1" l="1"/>
  <c r="J21" i="1"/>
  <c r="T21" i="1" l="1"/>
  <c r="Q35" i="1" l="1"/>
  <c r="N35" i="1" l="1"/>
  <c r="J35" i="1"/>
  <c r="T35" i="1" l="1"/>
  <c r="S34" i="1"/>
  <c r="Q34" i="1"/>
  <c r="N34" i="1" l="1"/>
  <c r="J34" i="1"/>
  <c r="T34" i="1" l="1"/>
  <c r="Q33" i="1"/>
  <c r="N33" i="1" l="1"/>
  <c r="J33" i="1"/>
  <c r="M1" i="1" s="1"/>
  <c r="T33" i="1" l="1"/>
  <c r="Q31" i="1"/>
  <c r="N31" i="1" l="1"/>
  <c r="J31" i="1"/>
  <c r="T31" i="1" l="1"/>
  <c r="S37" i="1"/>
  <c r="Q37" i="1"/>
  <c r="N37" i="1" l="1"/>
  <c r="J37" i="1"/>
  <c r="T37" i="1" l="1"/>
  <c r="Q30" i="1"/>
  <c r="N30" i="1" l="1"/>
  <c r="J30" i="1"/>
  <c r="T30" i="1" l="1"/>
  <c r="S29" i="1"/>
  <c r="Q29" i="1"/>
  <c r="N29" i="1" l="1"/>
  <c r="J29" i="1"/>
  <c r="T29" i="1" l="1"/>
  <c r="S27" i="1"/>
  <c r="Q27" i="1"/>
  <c r="N27" i="1" l="1"/>
  <c r="J27" i="1"/>
  <c r="T27" i="1" l="1"/>
  <c r="S26" i="1"/>
  <c r="Q26" i="1"/>
  <c r="N26" i="1" l="1"/>
  <c r="J26" i="1"/>
  <c r="T26" i="1" l="1"/>
  <c r="Q25" i="1"/>
  <c r="N25" i="1" l="1"/>
  <c r="J25" i="1"/>
  <c r="T25" i="1" l="1"/>
  <c r="Q24" i="1"/>
  <c r="N24" i="1" l="1"/>
  <c r="J24" i="1"/>
  <c r="T24" i="1" l="1"/>
  <c r="S23" i="1"/>
  <c r="Q23" i="1"/>
  <c r="N23" i="1" l="1"/>
  <c r="J23" i="1"/>
  <c r="T23" i="1" l="1"/>
  <c r="S22" i="1"/>
  <c r="Q22" i="1"/>
  <c r="N22" i="1" l="1"/>
  <c r="J22" i="1"/>
  <c r="T22" i="1" l="1"/>
  <c r="S20" i="1"/>
  <c r="Q20" i="1"/>
  <c r="N20" i="1" l="1"/>
  <c r="J20" i="1"/>
  <c r="T20" i="1" l="1"/>
  <c r="S18" i="1"/>
  <c r="Q18" i="1"/>
  <c r="N18" i="1" l="1"/>
  <c r="J18" i="1"/>
  <c r="T18" i="1" l="1"/>
  <c r="S15" i="1" l="1"/>
  <c r="Q15" i="1"/>
  <c r="N15" i="1" l="1"/>
  <c r="J15" i="1"/>
  <c r="T15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BD10" i="2" l="1"/>
  <c r="AK10" i="2"/>
  <c r="V10" i="2"/>
  <c r="AI10" i="2"/>
  <c r="W10" i="2"/>
  <c r="AH16" i="1"/>
  <c r="P19" i="1"/>
  <c r="P32" i="1"/>
  <c r="P28" i="1"/>
  <c r="AH32" i="1"/>
  <c r="AH28" i="1"/>
  <c r="AH19" i="1"/>
  <c r="P39" i="1"/>
  <c r="Y39" i="1"/>
  <c r="AH39" i="1"/>
  <c r="P38" i="1"/>
  <c r="AH38" i="1"/>
  <c r="BD9" i="2"/>
  <c r="BD7" i="2"/>
  <c r="BD8" i="2"/>
  <c r="V8" i="2"/>
  <c r="V9" i="2"/>
  <c r="AI9" i="2"/>
  <c r="AK8" i="2"/>
  <c r="AI7" i="2"/>
  <c r="AI8" i="2"/>
  <c r="AK9" i="2"/>
  <c r="AK7" i="2"/>
  <c r="V7" i="2"/>
  <c r="W9" i="2"/>
  <c r="W8" i="2"/>
  <c r="W7" i="2"/>
  <c r="P41" i="1"/>
  <c r="P40" i="1"/>
  <c r="AH40" i="1"/>
  <c r="AH41" i="1"/>
  <c r="BD30" i="2"/>
  <c r="BD29" i="2"/>
  <c r="BD28" i="2"/>
  <c r="AI30" i="2"/>
  <c r="AK30" i="2"/>
  <c r="V29" i="2"/>
  <c r="AI29" i="2"/>
  <c r="AK29" i="2"/>
  <c r="V30" i="2"/>
  <c r="AK28" i="2"/>
  <c r="V28" i="2"/>
  <c r="AI28" i="2"/>
  <c r="W28" i="2"/>
  <c r="W30" i="2"/>
  <c r="W29" i="2"/>
  <c r="V31" i="2"/>
  <c r="W31" i="2"/>
  <c r="AK31" i="2"/>
  <c r="AI31" i="2"/>
  <c r="BD31" i="2"/>
  <c r="V32" i="2"/>
  <c r="W32" i="2"/>
  <c r="AK32" i="2"/>
  <c r="AI32" i="2"/>
  <c r="BD32" i="2"/>
  <c r="V33" i="2"/>
  <c r="W33" i="2"/>
  <c r="AK33" i="2"/>
  <c r="AI33" i="2"/>
  <c r="BD33" i="2"/>
  <c r="BD21" i="2"/>
  <c r="BD22" i="2"/>
  <c r="P36" i="1"/>
  <c r="V21" i="2"/>
  <c r="AK21" i="2"/>
  <c r="AI21" i="2"/>
  <c r="V22" i="2"/>
  <c r="AK22" i="2"/>
  <c r="AI22" i="2"/>
  <c r="W21" i="2"/>
  <c r="W22" i="2"/>
  <c r="AH36" i="1"/>
  <c r="BD27" i="2"/>
  <c r="AK27" i="2"/>
  <c r="V27" i="2"/>
  <c r="AI27" i="2"/>
  <c r="W27" i="2"/>
  <c r="BD26" i="2"/>
  <c r="AK26" i="2"/>
  <c r="V26" i="2"/>
  <c r="AI26" i="2"/>
  <c r="W26" i="2"/>
  <c r="BD25" i="2"/>
  <c r="AK25" i="2"/>
  <c r="V25" i="2"/>
  <c r="AI25" i="2"/>
  <c r="W25" i="2"/>
  <c r="BD24" i="2"/>
  <c r="AK24" i="2"/>
  <c r="V24" i="2"/>
  <c r="AI24" i="2"/>
  <c r="W24" i="2"/>
  <c r="BD23" i="2"/>
  <c r="AK23" i="2"/>
  <c r="V23" i="2"/>
  <c r="AI23" i="2"/>
  <c r="W23" i="2"/>
  <c r="BD20" i="2"/>
  <c r="AK20" i="2"/>
  <c r="AI20" i="2"/>
  <c r="V20" i="2"/>
  <c r="W20" i="2"/>
  <c r="BD19" i="2"/>
  <c r="V19" i="2"/>
  <c r="AI19" i="2"/>
  <c r="AK19" i="2"/>
  <c r="W19" i="2"/>
  <c r="BD18" i="2"/>
  <c r="AK18" i="2"/>
  <c r="V18" i="2"/>
  <c r="W18" i="2"/>
  <c r="BD17" i="2"/>
  <c r="V17" i="2"/>
  <c r="AK17" i="2"/>
  <c r="AI17" i="2"/>
  <c r="W17" i="2"/>
  <c r="BD16" i="2"/>
  <c r="V16" i="2"/>
  <c r="AK16" i="2"/>
  <c r="AI16" i="2"/>
  <c r="W16" i="2"/>
  <c r="BD15" i="2"/>
  <c r="V15" i="2"/>
  <c r="AK15" i="2"/>
  <c r="AI15" i="2"/>
  <c r="W15" i="2"/>
  <c r="BD14" i="2"/>
  <c r="AK14" i="2"/>
  <c r="V14" i="2"/>
  <c r="AI14" i="2"/>
  <c r="W14" i="2"/>
  <c r="BD13" i="2"/>
  <c r="V13" i="2"/>
  <c r="AK13" i="2"/>
  <c r="AI13" i="2"/>
  <c r="W13" i="2"/>
  <c r="BD12" i="2"/>
  <c r="AK12" i="2"/>
  <c r="V12" i="2"/>
  <c r="AI12" i="2"/>
  <c r="W12" i="2"/>
  <c r="BD4" i="2"/>
  <c r="V4" i="2"/>
  <c r="AI4" i="2"/>
  <c r="AK4" i="2"/>
  <c r="W4" i="2"/>
  <c r="BD11" i="2"/>
  <c r="V11" i="2"/>
  <c r="AK11" i="2"/>
  <c r="AI11" i="2"/>
  <c r="W11" i="2"/>
  <c r="BD6" i="2"/>
  <c r="AK6" i="2"/>
  <c r="V6" i="2"/>
  <c r="AI6" i="2"/>
  <c r="W6" i="2"/>
  <c r="BD5" i="2"/>
  <c r="AK5" i="2"/>
  <c r="AI5" i="2"/>
  <c r="V5" i="2"/>
  <c r="W5" i="2"/>
  <c r="P21" i="1"/>
  <c r="AH21" i="1"/>
  <c r="P35" i="1"/>
  <c r="AH35" i="1"/>
  <c r="P34" i="1"/>
  <c r="AH34" i="1"/>
  <c r="P33" i="1"/>
  <c r="AH33" i="1"/>
  <c r="P31" i="1"/>
  <c r="AH31" i="1"/>
  <c r="P37" i="1"/>
  <c r="AH37" i="1"/>
  <c r="P30" i="1"/>
  <c r="AH30" i="1"/>
  <c r="P29" i="1"/>
  <c r="AH29" i="1"/>
  <c r="P27" i="1"/>
  <c r="AH27" i="1"/>
  <c r="P26" i="1"/>
  <c r="AH26" i="1"/>
  <c r="P25" i="1"/>
  <c r="AH25" i="1"/>
  <c r="P24" i="1"/>
  <c r="AH24" i="1"/>
  <c r="P23" i="1"/>
  <c r="AH23" i="1"/>
  <c r="P22" i="1"/>
  <c r="AH22" i="1"/>
  <c r="P20" i="1"/>
  <c r="AH20" i="1"/>
  <c r="P18" i="1"/>
  <c r="AH18" i="1"/>
  <c r="P15" i="1"/>
  <c r="AH15" i="1"/>
  <c r="P14" i="1"/>
  <c r="AH14" i="1"/>
  <c r="P13" i="1"/>
  <c r="AH13" i="1"/>
  <c r="P12" i="1"/>
  <c r="AH12" i="1"/>
  <c r="AH10" i="1" s="1"/>
  <c r="AD8" i="1"/>
  <c r="V17" i="1" l="1"/>
  <c r="S16" i="1"/>
  <c r="V16" i="1" s="1"/>
  <c r="AD39" i="1"/>
  <c r="V39" i="1"/>
  <c r="V28" i="1"/>
  <c r="AD28" i="1"/>
  <c r="AD32" i="1"/>
  <c r="V32" i="1"/>
  <c r="V19" i="1"/>
  <c r="AD19" i="1"/>
  <c r="AD38" i="1"/>
  <c r="V38" i="1"/>
  <c r="AD40" i="1"/>
  <c r="V40" i="1"/>
  <c r="AD41" i="1"/>
  <c r="V41" i="1"/>
  <c r="S36" i="1"/>
  <c r="V36" i="1" s="1"/>
  <c r="AD36" i="1"/>
  <c r="S14" i="1"/>
  <c r="V14" i="1" s="1"/>
  <c r="S30" i="1"/>
  <c r="V30" i="1" s="1"/>
  <c r="S35" i="1"/>
  <c r="V35" i="1" s="1"/>
  <c r="S31" i="1"/>
  <c r="V31" i="1" s="1"/>
  <c r="S21" i="1"/>
  <c r="V21" i="1" s="1"/>
  <c r="S24" i="1"/>
  <c r="V24" i="1" s="1"/>
  <c r="V1" i="2"/>
  <c r="S25" i="1"/>
  <c r="V25" i="1" s="1"/>
  <c r="W1" i="2"/>
  <c r="S33" i="1"/>
  <c r="J7" i="1"/>
  <c r="AD20" i="1"/>
  <c r="V20" i="1"/>
  <c r="AD31" i="1"/>
  <c r="AD18" i="1"/>
  <c r="V18" i="1"/>
  <c r="AD22" i="1"/>
  <c r="V22" i="1"/>
  <c r="AD33" i="1"/>
  <c r="AD34" i="1"/>
  <c r="V34" i="1"/>
  <c r="AI1" i="2"/>
  <c r="AD29" i="1"/>
  <c r="V29" i="1"/>
  <c r="AD35" i="1"/>
  <c r="AD30" i="1"/>
  <c r="AD14" i="1"/>
  <c r="AD24" i="1"/>
  <c r="AD23" i="1"/>
  <c r="V23" i="1"/>
  <c r="AD15" i="1"/>
  <c r="V15" i="1"/>
  <c r="AD21" i="1"/>
  <c r="AD12" i="1"/>
  <c r="V12" i="1"/>
  <c r="P10" i="1"/>
  <c r="P7" i="1"/>
  <c r="AD13" i="1"/>
  <c r="V13" i="1"/>
  <c r="AD25" i="1"/>
  <c r="AD26" i="1"/>
  <c r="V26" i="1"/>
  <c r="AD37" i="1"/>
  <c r="V37" i="1"/>
  <c r="AD27" i="1"/>
  <c r="V27" i="1"/>
  <c r="AJ30" i="2" l="1"/>
  <c r="AJ10" i="2"/>
  <c r="AJ7" i="2"/>
  <c r="AJ8" i="2"/>
  <c r="AJ9" i="2"/>
  <c r="AJ29" i="2"/>
  <c r="AJ28" i="2"/>
  <c r="AJ31" i="2"/>
  <c r="AJ32" i="2"/>
  <c r="AJ33" i="2"/>
  <c r="AJ22" i="2"/>
  <c r="AJ21" i="2"/>
  <c r="AJ11" i="2"/>
  <c r="S7" i="1"/>
  <c r="AJ20" i="2"/>
  <c r="V33" i="1"/>
  <c r="T1" i="1" s="1"/>
  <c r="S10" i="1"/>
  <c r="AD10" i="1"/>
  <c r="AJ23" i="2"/>
  <c r="AJ25" i="2"/>
  <c r="AJ27" i="2"/>
  <c r="AJ18" i="2"/>
  <c r="AJ16" i="2"/>
  <c r="AJ6" i="2"/>
  <c r="AJ19" i="2"/>
  <c r="AJ5" i="2"/>
  <c r="AJ24" i="2"/>
  <c r="AJ12" i="2"/>
  <c r="AJ13" i="2"/>
  <c r="AJ14" i="2"/>
  <c r="AJ17" i="2"/>
  <c r="AJ15" i="2"/>
  <c r="AJ4" i="2"/>
  <c r="AJ26" i="2"/>
  <c r="D7" i="1" l="1"/>
  <c r="AE6" i="1"/>
  <c r="V6" i="1"/>
  <c r="S6" i="1"/>
  <c r="P6" i="1"/>
  <c r="J6" i="1" l="1"/>
  <c r="D6" i="1" l="1"/>
  <c r="AE5" i="1"/>
  <c r="V5" i="1"/>
  <c r="V7" i="1" s="1"/>
  <c r="S5" i="1"/>
  <c r="P5" i="1"/>
  <c r="X235" i="89" l="1"/>
  <c r="AD235" i="89"/>
  <c r="X254" i="89"/>
  <c r="AD254" i="89"/>
  <c r="X253" i="89"/>
  <c r="AD253" i="89"/>
  <c r="X252" i="89"/>
  <c r="AD252" i="89"/>
  <c r="X251" i="89"/>
  <c r="AD251" i="89"/>
  <c r="X250" i="89"/>
  <c r="AD250" i="89"/>
  <c r="X249" i="89"/>
  <c r="X256" i="89" s="1"/>
  <c r="AD249" i="89"/>
  <c r="X243" i="89"/>
  <c r="AD243" i="89"/>
  <c r="X242" i="89"/>
  <c r="AD242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X169" i="89"/>
  <c r="AD169" i="89"/>
  <c r="X160" i="89"/>
  <c r="X162" i="89" s="1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AD129" i="89"/>
  <c r="AD131" i="89" s="1"/>
  <c r="X129" i="89"/>
  <c r="X131" i="89" s="1"/>
  <c r="X123" i="89"/>
  <c r="AD123" i="89"/>
  <c r="X122" i="89"/>
  <c r="AD122" i="89"/>
  <c r="AD124" i="89" s="1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AD50" i="89"/>
  <c r="X50" i="89"/>
  <c r="X49" i="89"/>
  <c r="AD49" i="89"/>
  <c r="AD51" i="89" s="1"/>
  <c r="AD40" i="89"/>
  <c r="X40" i="89"/>
  <c r="X39" i="89"/>
  <c r="AD39" i="89"/>
  <c r="AD41" i="89" s="1"/>
  <c r="AD34" i="89"/>
  <c r="X34" i="89"/>
  <c r="AD33" i="89"/>
  <c r="AD35" i="89" s="1"/>
  <c r="X33" i="89"/>
  <c r="X27" i="89"/>
  <c r="AD27" i="89"/>
  <c r="X26" i="89"/>
  <c r="AD26" i="89"/>
  <c r="AD28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AD7" i="89"/>
  <c r="AD9" i="89" s="1"/>
  <c r="X7" i="89"/>
  <c r="AE7" i="1"/>
  <c r="V10" i="1"/>
  <c r="B1" i="2" s="1"/>
  <c r="AH10" i="2" l="1"/>
  <c r="AG10" i="2"/>
  <c r="R16" i="1"/>
  <c r="U16" i="1"/>
  <c r="O32" i="1"/>
  <c r="O19" i="1"/>
  <c r="O28" i="1"/>
  <c r="U32" i="1"/>
  <c r="U28" i="1"/>
  <c r="U19" i="1"/>
  <c r="R40" i="1"/>
  <c r="R41" i="1"/>
  <c r="AH8" i="2"/>
  <c r="AH9" i="2"/>
  <c r="AG9" i="2"/>
  <c r="AG8" i="2"/>
  <c r="AH7" i="2"/>
  <c r="AG7" i="2"/>
  <c r="O41" i="1"/>
  <c r="O40" i="1"/>
  <c r="U40" i="1"/>
  <c r="U41" i="1"/>
  <c r="AG30" i="2"/>
  <c r="AG29" i="2"/>
  <c r="AH28" i="2"/>
  <c r="AH29" i="2"/>
  <c r="AG28" i="2"/>
  <c r="AH30" i="2"/>
  <c r="AH31" i="2"/>
  <c r="AG31" i="2"/>
  <c r="AG32" i="2"/>
  <c r="AH32" i="2"/>
  <c r="AH33" i="2"/>
  <c r="AG33" i="2"/>
  <c r="X103" i="89"/>
  <c r="O36" i="1"/>
  <c r="AG21" i="2"/>
  <c r="AH22" i="2"/>
  <c r="AH21" i="2"/>
  <c r="AG22" i="2"/>
  <c r="R36" i="1"/>
  <c r="U36" i="1"/>
  <c r="X91" i="89"/>
  <c r="X124" i="89"/>
  <c r="X110" i="89"/>
  <c r="X77" i="89"/>
  <c r="X57" i="89"/>
  <c r="X70" i="89"/>
  <c r="X9" i="89"/>
  <c r="X21" i="89"/>
  <c r="X35" i="89"/>
  <c r="X146" i="89"/>
  <c r="X206" i="89"/>
  <c r="X208" i="89" s="1"/>
  <c r="X15" i="89"/>
  <c r="X41" i="89"/>
  <c r="X83" i="89"/>
  <c r="J5" i="1"/>
  <c r="X215" i="89"/>
  <c r="X181" i="89"/>
  <c r="X51" i="89"/>
  <c r="X117" i="89"/>
  <c r="X155" i="89"/>
  <c r="X189" i="89"/>
  <c r="AG27" i="2"/>
  <c r="AH27" i="2"/>
  <c r="AG26" i="2"/>
  <c r="AH26" i="2"/>
  <c r="AG25" i="2"/>
  <c r="AH25" i="2"/>
  <c r="AG24" i="2"/>
  <c r="AH24" i="2"/>
  <c r="AG23" i="2"/>
  <c r="AH23" i="2"/>
  <c r="AG20" i="2"/>
  <c r="AH20" i="2"/>
  <c r="AG19" i="2"/>
  <c r="AH19" i="2"/>
  <c r="AG17" i="2"/>
  <c r="AH17" i="2"/>
  <c r="AG16" i="2"/>
  <c r="AH16" i="2"/>
  <c r="AG15" i="2"/>
  <c r="AH15" i="2"/>
  <c r="AG14" i="2"/>
  <c r="AH14" i="2"/>
  <c r="AG13" i="2"/>
  <c r="AH13" i="2"/>
  <c r="AG12" i="2"/>
  <c r="AH12" i="2"/>
  <c r="AG4" i="2"/>
  <c r="AH4" i="2"/>
  <c r="AG11" i="2"/>
  <c r="AH11" i="2"/>
  <c r="AG6" i="2"/>
  <c r="AH6" i="2"/>
  <c r="AG5" i="2"/>
  <c r="AH5" i="2"/>
  <c r="R21" i="1"/>
  <c r="O21" i="1"/>
  <c r="U21" i="1"/>
  <c r="R35" i="1"/>
  <c r="O35" i="1"/>
  <c r="R34" i="1"/>
  <c r="U35" i="1"/>
  <c r="O34" i="1"/>
  <c r="R33" i="1"/>
  <c r="U34" i="1"/>
  <c r="O33" i="1"/>
  <c r="R31" i="1"/>
  <c r="U33" i="1"/>
  <c r="O31" i="1"/>
  <c r="R37" i="1"/>
  <c r="U31" i="1"/>
  <c r="O37" i="1"/>
  <c r="R30" i="1"/>
  <c r="U37" i="1"/>
  <c r="O30" i="1"/>
  <c r="R29" i="1"/>
  <c r="U30" i="1"/>
  <c r="O29" i="1"/>
  <c r="R27" i="1"/>
  <c r="U29" i="1"/>
  <c r="O27" i="1"/>
  <c r="R26" i="1"/>
  <c r="U27" i="1"/>
  <c r="O26" i="1"/>
  <c r="R25" i="1"/>
  <c r="U26" i="1"/>
  <c r="O25" i="1"/>
  <c r="R24" i="1"/>
  <c r="U25" i="1"/>
  <c r="O24" i="1"/>
  <c r="R23" i="1"/>
  <c r="U24" i="1"/>
  <c r="O23" i="1"/>
  <c r="R22" i="1"/>
  <c r="U23" i="1"/>
  <c r="O22" i="1"/>
  <c r="R20" i="1"/>
  <c r="U22" i="1"/>
  <c r="O20" i="1"/>
  <c r="R18" i="1"/>
  <c r="U20" i="1"/>
  <c r="O18" i="1"/>
  <c r="U18" i="1"/>
  <c r="R15" i="1"/>
  <c r="O15" i="1"/>
  <c r="R14" i="1"/>
  <c r="U15" i="1"/>
  <c r="O14" i="1"/>
  <c r="U14" i="1"/>
  <c r="R13" i="1"/>
  <c r="O13" i="1"/>
  <c r="U13" i="1"/>
  <c r="R12" i="1"/>
  <c r="W10" i="1"/>
  <c r="W17" i="1" s="1"/>
  <c r="O12" i="1"/>
  <c r="U12" i="1"/>
  <c r="X226" i="89"/>
  <c r="X198" i="89"/>
  <c r="X200" i="89" s="1"/>
  <c r="X139" i="89"/>
  <c r="X28" i="89"/>
  <c r="X64" i="89"/>
  <c r="X97" i="89"/>
  <c r="X172" i="89"/>
  <c r="X12" i="89" s="1"/>
  <c r="W16" i="1" l="1"/>
  <c r="AA16" i="1"/>
  <c r="Z16" i="1"/>
  <c r="Y16" i="1"/>
  <c r="AA19" i="1"/>
  <c r="Z19" i="1"/>
  <c r="Y19" i="1"/>
  <c r="AA28" i="1"/>
  <c r="Z28" i="1"/>
  <c r="Y28" i="1"/>
  <c r="AA32" i="1"/>
  <c r="Z32" i="1"/>
  <c r="Y32" i="1"/>
  <c r="W39" i="1"/>
  <c r="W19" i="1"/>
  <c r="W32" i="1"/>
  <c r="W28" i="1"/>
  <c r="AA38" i="1"/>
  <c r="Y38" i="1"/>
  <c r="Z38" i="1"/>
  <c r="W38" i="1"/>
  <c r="Y41" i="1"/>
  <c r="AA41" i="1"/>
  <c r="Z41" i="1"/>
  <c r="Z40" i="1"/>
  <c r="AA40" i="1"/>
  <c r="Y40" i="1"/>
  <c r="W41" i="1"/>
  <c r="W40" i="1"/>
  <c r="R1" i="1"/>
  <c r="W36" i="1"/>
  <c r="AA36" i="1"/>
  <c r="Z36" i="1"/>
  <c r="Y36" i="1"/>
  <c r="AA25" i="1"/>
  <c r="Z25" i="1"/>
  <c r="Y25" i="1"/>
  <c r="AA31" i="1"/>
  <c r="Z31" i="1"/>
  <c r="Y31" i="1"/>
  <c r="AA34" i="1"/>
  <c r="Z34" i="1"/>
  <c r="Y34" i="1"/>
  <c r="O6" i="1"/>
  <c r="O5" i="1"/>
  <c r="Y18" i="1"/>
  <c r="AA18" i="1"/>
  <c r="Z18" i="1"/>
  <c r="Z33" i="1"/>
  <c r="AA33" i="1"/>
  <c r="Y33" i="1"/>
  <c r="W21" i="1"/>
  <c r="W35" i="1"/>
  <c r="W34" i="1"/>
  <c r="W33" i="1"/>
  <c r="W31" i="1"/>
  <c r="W37" i="1"/>
  <c r="W30" i="1"/>
  <c r="W29" i="1"/>
  <c r="W27" i="1"/>
  <c r="W26" i="1"/>
  <c r="W25" i="1"/>
  <c r="W24" i="1"/>
  <c r="W23" i="1"/>
  <c r="W22" i="1"/>
  <c r="W20" i="1"/>
  <c r="W18" i="1"/>
  <c r="W15" i="1"/>
  <c r="W14" i="1"/>
  <c r="W13" i="1"/>
  <c r="W12" i="1"/>
  <c r="AA27" i="1"/>
  <c r="Y27" i="1"/>
  <c r="Z27" i="1"/>
  <c r="AA14" i="1"/>
  <c r="Z14" i="1"/>
  <c r="Y14" i="1"/>
  <c r="Z22" i="1"/>
  <c r="Y22" i="1"/>
  <c r="AA22" i="1"/>
  <c r="AA37" i="1"/>
  <c r="Z37" i="1"/>
  <c r="Y37" i="1"/>
  <c r="AA12" i="1"/>
  <c r="Y12" i="1"/>
  <c r="Z12" i="1"/>
  <c r="AA30" i="1"/>
  <c r="Y30" i="1"/>
  <c r="Z30" i="1"/>
  <c r="AA26" i="1"/>
  <c r="Z26" i="1"/>
  <c r="Y26" i="1"/>
  <c r="Z15" i="1"/>
  <c r="Y15" i="1"/>
  <c r="AA15" i="1"/>
  <c r="U6" i="1"/>
  <c r="AA21" i="1"/>
  <c r="Z21" i="1"/>
  <c r="Y21" i="1"/>
  <c r="AA24" i="1"/>
  <c r="Z24" i="1"/>
  <c r="Y24" i="1"/>
  <c r="R6" i="1"/>
  <c r="R5" i="1"/>
  <c r="Z35" i="1"/>
  <c r="AA35" i="1"/>
  <c r="Y35" i="1"/>
  <c r="Z13" i="1"/>
  <c r="AA13" i="1"/>
  <c r="Y13" i="1"/>
  <c r="Y20" i="1"/>
  <c r="Z20" i="1"/>
  <c r="AA20" i="1"/>
  <c r="U5" i="1"/>
  <c r="AA29" i="1"/>
  <c r="Y29" i="1"/>
  <c r="Z29" i="1"/>
  <c r="AA23" i="1"/>
  <c r="Y23" i="1"/>
  <c r="Z23" i="1"/>
  <c r="AA6" i="1" l="1"/>
  <c r="AB6" i="1" s="1"/>
  <c r="AA5" i="1"/>
  <c r="Z10" i="1"/>
  <c r="D5" i="1"/>
  <c r="W6" i="1"/>
  <c r="R8" i="1"/>
  <c r="R7" i="1"/>
  <c r="O8" i="1"/>
  <c r="O7" i="1"/>
  <c r="U8" i="1"/>
  <c r="U7" i="1"/>
  <c r="W5" i="1"/>
  <c r="AA8" i="1" l="1"/>
  <c r="AB5" i="1"/>
  <c r="AA7" i="1"/>
  <c r="AA10" i="1" s="1"/>
  <c r="U10" i="1"/>
  <c r="W7" i="1"/>
  <c r="J4" i="1" l="1"/>
  <c r="D4" i="1" l="1"/>
  <c r="X6" i="1" l="1"/>
  <c r="Y6" i="1" s="1"/>
  <c r="Z6" i="1"/>
  <c r="Z5" i="1"/>
  <c r="X5" i="1"/>
  <c r="Y5" i="1" s="1"/>
  <c r="AD3" i="1"/>
  <c r="U3" i="1"/>
  <c r="Z7" i="1" l="1"/>
  <c r="Y7" i="1"/>
  <c r="J3" i="1"/>
  <c r="D3" i="1" l="1"/>
  <c r="W2" i="1" l="1"/>
  <c r="J2" i="1" l="1"/>
  <c r="D2" i="1" l="1"/>
  <c r="J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M9" i="529"/>
  <c r="K9" i="529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V55" i="338" a="1"/>
  <c r="L55" i="338" a="1"/>
  <c r="U55" i="338" a="1"/>
  <c r="U55" i="338" l="1"/>
  <c r="L55" i="338"/>
  <c r="V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V54" i="338" a="1"/>
  <c r="U54" i="338" a="1"/>
  <c r="L54" i="338" a="1"/>
  <c r="L54" i="338" l="1"/>
  <c r="U54" i="338"/>
  <c r="V54" i="338"/>
  <c r="AD54" i="338"/>
  <c r="Z54" i="338"/>
  <c r="AB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V53" i="338" a="1"/>
  <c r="U53" i="338" a="1"/>
  <c r="L53" i="338" a="1"/>
  <c r="L53" i="338" l="1"/>
  <c r="U53" i="338"/>
  <c r="V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U52" i="338" a="1"/>
  <c r="V52" i="338" a="1"/>
  <c r="L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L51" i="338" l="1"/>
  <c r="N51" i="338" s="1"/>
  <c r="V51" i="338"/>
  <c r="U51" i="338"/>
  <c r="AD51" i="338"/>
  <c r="AB51" i="338"/>
  <c r="Z51" i="338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U50" i="338" a="1"/>
  <c r="V50" i="338" a="1"/>
  <c r="L50" i="338" a="1"/>
  <c r="L50" i="338" l="1"/>
  <c r="V50" i="338"/>
  <c r="U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L49" i="338" l="1"/>
  <c r="U49" i="338"/>
  <c r="V49" i="338"/>
  <c r="Z49" i="338"/>
  <c r="AD49" i="338"/>
  <c r="AB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U48" i="338" a="1"/>
  <c r="V48" i="338" a="1"/>
  <c r="L48" i="338" a="1"/>
  <c r="L48" i="338" l="1"/>
  <c r="V48" i="338"/>
  <c r="U48" i="338"/>
  <c r="AD48" i="338"/>
  <c r="Z48" i="338"/>
  <c r="AB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V47" i="338" a="1"/>
  <c r="U47" i="338" a="1"/>
  <c r="L47" i="338" a="1"/>
  <c r="L47" i="338" l="1"/>
  <c r="U47" i="338"/>
  <c r="V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L46" i="338" l="1"/>
  <c r="V46" i="338"/>
  <c r="U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U45" i="338" a="1"/>
  <c r="V45" i="338" a="1"/>
  <c r="L45" i="338" a="1"/>
  <c r="L45" i="338" l="1"/>
  <c r="V45" i="338"/>
  <c r="U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U44" i="338" a="1"/>
  <c r="V44" i="338" a="1"/>
  <c r="L44" i="338" a="1"/>
  <c r="L44" i="338" l="1"/>
  <c r="V44" i="338"/>
  <c r="U44" i="338"/>
  <c r="AD44" i="338"/>
  <c r="Z44" i="338"/>
  <c r="AB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U42" i="338" a="1"/>
  <c r="V42" i="338" a="1"/>
  <c r="L42" i="338" a="1"/>
  <c r="V42" i="338" l="1"/>
  <c r="U42" i="338"/>
  <c r="L42" i="338"/>
  <c r="AD42" i="338"/>
  <c r="Z42" i="338"/>
  <c r="AB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V41" i="338" a="1"/>
  <c r="U41" i="338" a="1"/>
  <c r="L41" i="338" a="1"/>
  <c r="L41" i="338" l="1"/>
  <c r="U41" i="338"/>
  <c r="V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AB40" i="338"/>
  <c r="Z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U38" i="338" a="1"/>
  <c r="V38" i="338" a="1"/>
  <c r="L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L37" i="338" l="1"/>
  <c r="U37" i="338"/>
  <c r="V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V36" i="338" a="1"/>
  <c r="U36" i="338" a="1"/>
  <c r="L36" i="338" a="1"/>
  <c r="L36" i="338" l="1"/>
  <c r="U36" i="338"/>
  <c r="V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U35" i="338" a="1"/>
  <c r="V35" i="338" a="1"/>
  <c r="L35" i="338" a="1"/>
  <c r="L35" i="338" l="1"/>
  <c r="V35" i="338"/>
  <c r="U35" i="338"/>
  <c r="AD35" i="338"/>
  <c r="Z35" i="338"/>
  <c r="AB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V34" i="338" a="1"/>
  <c r="U34" i="338" a="1"/>
  <c r="L34" i="338" a="1"/>
  <c r="L34" i="338" l="1"/>
  <c r="U34" i="338"/>
  <c r="V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L33" i="338" l="1"/>
  <c r="V33" i="338"/>
  <c r="U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V32" i="338" a="1"/>
  <c r="U32" i="338" a="1"/>
  <c r="L32" i="338" a="1"/>
  <c r="U32" i="338" l="1"/>
  <c r="V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V31" i="338" a="1"/>
  <c r="U31" i="338" a="1"/>
  <c r="L31" i="338" a="1"/>
  <c r="L31" i="338" l="1"/>
  <c r="U31" i="338"/>
  <c r="V31" i="338"/>
  <c r="AD31" i="338"/>
  <c r="Z31" i="338"/>
  <c r="AB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Z29" i="338"/>
  <c r="AB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V17" i="338" a="1"/>
  <c r="U17" i="338" a="1"/>
  <c r="L17" i="338" a="1"/>
  <c r="L17" i="338" l="1"/>
  <c r="U17" i="338"/>
  <c r="V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U16" i="338" a="1"/>
  <c r="V16" i="338" a="1"/>
  <c r="L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V14" i="338" a="1"/>
  <c r="U14" i="338" a="1"/>
  <c r="L14" i="338" a="1"/>
  <c r="L14" i="338" l="1"/>
  <c r="U14" i="338"/>
  <c r="V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V13" i="338" a="1"/>
  <c r="U13" i="338" a="1"/>
  <c r="L13" i="338" a="1"/>
  <c r="L13" i="338" l="1"/>
  <c r="U13" i="338"/>
  <c r="V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U11" i="338" a="1"/>
  <c r="V11" i="338" a="1"/>
  <c r="L11" i="338" a="1"/>
  <c r="L11" i="338" l="1"/>
  <c r="V11" i="338"/>
  <c r="U11" i="338"/>
  <c r="AD11" i="338"/>
  <c r="Z11" i="338"/>
  <c r="AB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V10" i="338" a="1"/>
  <c r="U10" i="338" a="1"/>
  <c r="L10" i="338" a="1"/>
  <c r="L10" i="338" l="1"/>
  <c r="U10" i="338"/>
  <c r="V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V9" i="338" a="1"/>
  <c r="U9" i="338" a="1"/>
  <c r="L9" i="338" a="1"/>
  <c r="L9" i="338" l="1"/>
  <c r="N9" i="338" s="1"/>
  <c r="U9" i="338"/>
  <c r="V9" i="338"/>
  <c r="AD9" i="338"/>
  <c r="AB9" i="338"/>
  <c r="Z9" i="338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47" i="338" a="1"/>
  <c r="AP50" i="338" a="1"/>
  <c r="AP36" i="338" a="1"/>
  <c r="AU46" i="338" a="1"/>
  <c r="AU41" i="338" a="1"/>
  <c r="AU51" i="338" a="1"/>
  <c r="AU42" i="338" a="1"/>
  <c r="AP49" i="338" a="1"/>
  <c r="AP44" i="338" a="1"/>
  <c r="AU12" i="338" a="1"/>
  <c r="AU50" i="338" a="1"/>
  <c r="AU10" i="338" a="1"/>
  <c r="AP47" i="338" a="1"/>
  <c r="AU53" i="338" a="1"/>
  <c r="AU34" i="338" a="1"/>
  <c r="AP46" i="338" a="1"/>
  <c r="AU32" i="338" a="1"/>
  <c r="AU36" i="338" a="1"/>
  <c r="AU31" i="338" a="1"/>
  <c r="AU33" i="338" a="1"/>
  <c r="AU8" i="338" a="1"/>
  <c r="AP48" i="338" a="1"/>
  <c r="AP51" i="338" a="1"/>
  <c r="AP45" i="338" a="1"/>
  <c r="AU35" i="338" a="1"/>
  <c r="AU37" i="338" a="1"/>
  <c r="AU11" i="338" a="1"/>
  <c r="AP32" i="338" a="1"/>
  <c r="AP12" i="338" a="1"/>
  <c r="AP31" i="338" a="1"/>
  <c r="AP14" i="338" a="1"/>
  <c r="AP8" i="338" a="1"/>
  <c r="AU54" i="338" a="1"/>
  <c r="AP35" i="338" a="1"/>
  <c r="AP52" i="338" a="1"/>
  <c r="AP53" i="338" a="1"/>
  <c r="AP54" i="338" a="1"/>
  <c r="AP9" i="338" a="1"/>
  <c r="AU45" i="338" a="1"/>
  <c r="AP37" i="338" a="1"/>
  <c r="AP40" i="338" a="1"/>
  <c r="AP18" i="338" a="1"/>
  <c r="AP33" i="338" a="1"/>
  <c r="AU48" i="338" a="1"/>
  <c r="AP16" i="338" a="1"/>
  <c r="AP39" i="338" a="1"/>
  <c r="AU13" i="338" a="1"/>
  <c r="AP10" i="338" a="1"/>
  <c r="AP11" i="338" a="1"/>
  <c r="AP17" i="338" a="1"/>
  <c r="AP38" i="338" a="1"/>
  <c r="AP15" i="338" a="1"/>
  <c r="AU40" i="338" a="1"/>
  <c r="AU49" i="338" a="1"/>
  <c r="AP41" i="338" a="1"/>
  <c r="AP34" i="338" a="1"/>
  <c r="AU17" i="338" a="1"/>
  <c r="AU39" i="338" a="1"/>
  <c r="AP42" i="338" a="1"/>
  <c r="AU16" i="338" a="1"/>
  <c r="AU29" i="338" a="1"/>
  <c r="AU38" i="338" a="1"/>
  <c r="AP30" i="338" a="1"/>
  <c r="AU44" i="338" a="1"/>
  <c r="AU30" i="338" a="1"/>
  <c r="AP13" i="338" a="1"/>
  <c r="AU15" i="338" a="1"/>
  <c r="AU9" i="338" a="1"/>
  <c r="AP29" i="338" a="1"/>
  <c r="AU18" i="338" a="1"/>
  <c r="AU52" i="338" a="1"/>
  <c r="H8" i="338" l="1"/>
  <c r="AU52" i="338"/>
  <c r="AU18" i="338"/>
  <c r="AP29" i="338"/>
  <c r="AU9" i="338"/>
  <c r="AU15" i="338"/>
  <c r="AP13" i="338"/>
  <c r="AU30" i="338"/>
  <c r="AU44" i="338"/>
  <c r="AP30" i="338"/>
  <c r="AU38" i="338"/>
  <c r="AU29" i="338"/>
  <c r="AU16" i="338"/>
  <c r="AP42" i="338"/>
  <c r="AU39" i="338"/>
  <c r="AU17" i="338"/>
  <c r="AP34" i="338"/>
  <c r="AP41" i="338"/>
  <c r="AU49" i="338"/>
  <c r="AU40" i="338"/>
  <c r="AP15" i="338"/>
  <c r="AP38" i="338"/>
  <c r="AP17" i="338"/>
  <c r="AP11" i="338"/>
  <c r="AP10" i="338"/>
  <c r="AU13" i="338"/>
  <c r="AP39" i="338"/>
  <c r="AP16" i="338"/>
  <c r="AU48" i="338"/>
  <c r="AP33" i="338"/>
  <c r="AP18" i="338"/>
  <c r="AP40" i="338"/>
  <c r="AP37" i="338"/>
  <c r="AU45" i="338"/>
  <c r="AP9" i="338"/>
  <c r="AP54" i="338"/>
  <c r="AP53" i="338"/>
  <c r="AP52" i="338"/>
  <c r="AP35" i="338"/>
  <c r="AU54" i="338"/>
  <c r="AP8" i="338"/>
  <c r="AP14" i="338"/>
  <c r="AP31" i="338"/>
  <c r="AP12" i="338"/>
  <c r="AP32" i="338"/>
  <c r="AU11" i="338"/>
  <c r="AU37" i="338"/>
  <c r="AU35" i="338"/>
  <c r="AP45" i="338"/>
  <c r="AP51" i="338"/>
  <c r="AP48" i="338"/>
  <c r="AU8" i="338"/>
  <c r="AU33" i="338"/>
  <c r="AU31" i="338"/>
  <c r="AU36" i="338"/>
  <c r="AU32" i="338"/>
  <c r="AP46" i="338"/>
  <c r="AU34" i="338"/>
  <c r="AU53" i="338"/>
  <c r="AP47" i="338"/>
  <c r="AU10" i="338"/>
  <c r="AU50" i="338"/>
  <c r="AU12" i="338"/>
  <c r="AP44" i="338"/>
  <c r="AP49" i="338"/>
  <c r="AU42" i="338"/>
  <c r="AU51" i="338"/>
  <c r="AU41" i="338"/>
  <c r="AU46" i="338"/>
  <c r="AP36" i="338"/>
  <c r="AP50" i="338"/>
  <c r="AU47" i="338"/>
  <c r="AN3" i="338"/>
  <c r="E4" i="338"/>
  <c r="E1" i="338" s="1"/>
  <c r="V20" i="252"/>
  <c r="U20" i="252"/>
  <c r="O8" i="338"/>
  <c r="Q2" i="338"/>
  <c r="Q4" i="338" s="1"/>
  <c r="AM3" i="338"/>
  <c r="K8" i="338"/>
  <c r="Q39" i="338" a="1"/>
  <c r="Q15" i="338" a="1"/>
  <c r="Q17" i="338" a="1"/>
  <c r="Q44" i="338" a="1"/>
  <c r="Q52" i="338" a="1"/>
  <c r="Q38" i="338" a="1"/>
  <c r="Q16" i="338" a="1"/>
  <c r="Q41" i="338" a="1"/>
  <c r="Q51" i="338" a="1"/>
  <c r="Q47" i="338" a="1"/>
  <c r="Q31" i="338" a="1"/>
  <c r="Q33" i="338" a="1"/>
  <c r="Q40" i="338" a="1"/>
  <c r="Q29" i="338" a="1"/>
  <c r="Q12" i="338" a="1"/>
  <c r="Q9" i="338" a="1"/>
  <c r="Q13" i="338" a="1"/>
  <c r="Q54" i="338" a="1"/>
  <c r="Q46" i="338" a="1"/>
  <c r="Q32" i="338" a="1"/>
  <c r="Q8" i="338" a="1"/>
  <c r="Q50" i="338" a="1"/>
  <c r="Q36" i="338" a="1"/>
  <c r="Q37" i="338" a="1"/>
  <c r="Q35" i="338" a="1"/>
  <c r="Q34" i="338" a="1"/>
  <c r="Q30" i="338" a="1"/>
  <c r="Q10" i="338" a="1"/>
  <c r="Q53" i="338" a="1"/>
  <c r="Q42" i="338" a="1"/>
  <c r="Q11" i="338" a="1"/>
  <c r="Q14" i="338" a="1"/>
  <c r="Q45" i="338" a="1"/>
  <c r="Q18" i="338" a="1"/>
  <c r="Q48" i="338" a="1"/>
  <c r="Q49" i="338" a="1"/>
  <c r="Q55" i="338" a="1"/>
  <c r="U8" i="338" a="1"/>
  <c r="V8" i="338" a="1"/>
  <c r="L8" i="338" a="1"/>
  <c r="L8" i="338" l="1"/>
  <c r="V8" i="338"/>
  <c r="U8" i="338"/>
  <c r="Q49" i="338"/>
  <c r="Q48" i="338"/>
  <c r="Q18" i="338"/>
  <c r="Q45" i="338"/>
  <c r="Q14" i="338"/>
  <c r="Q11" i="338"/>
  <c r="Q42" i="338"/>
  <c r="Q53" i="338"/>
  <c r="Q10" i="338"/>
  <c r="Q30" i="338"/>
  <c r="Q34" i="338"/>
  <c r="Q35" i="338"/>
  <c r="Q37" i="338"/>
  <c r="Q36" i="338"/>
  <c r="Q50" i="338"/>
  <c r="Q8" i="338"/>
  <c r="Q32" i="338"/>
  <c r="Q46" i="338"/>
  <c r="Q54" i="338"/>
  <c r="Q13" i="338"/>
  <c r="Q9" i="338"/>
  <c r="Q12" i="338"/>
  <c r="Q29" i="338"/>
  <c r="Q40" i="338"/>
  <c r="Q33" i="338"/>
  <c r="Q31" i="338"/>
  <c r="Q47" i="338"/>
  <c r="Q51" i="338"/>
  <c r="Q41" i="338"/>
  <c r="Q16" i="338"/>
  <c r="Q38" i="338"/>
  <c r="Q52" i="338"/>
  <c r="Q44" i="338"/>
  <c r="Q17" i="338"/>
  <c r="Q15" i="338"/>
  <c r="Q39" i="338"/>
  <c r="Q55" i="338"/>
  <c r="E2" i="338"/>
  <c r="AO29" i="338"/>
  <c r="AT35" i="338"/>
  <c r="AT50" i="338"/>
  <c r="AO37" i="338"/>
  <c r="AT17" i="338"/>
  <c r="AT18" i="338"/>
  <c r="AO51" i="338"/>
  <c r="AT15" i="338"/>
  <c r="AO16" i="338"/>
  <c r="AT16" i="338"/>
  <c r="AO17" i="338"/>
  <c r="AO49" i="338"/>
  <c r="AT38" i="338"/>
  <c r="AT8" i="338"/>
  <c r="AO50" i="338"/>
  <c r="AO9" i="338"/>
  <c r="AT39" i="338"/>
  <c r="AT9" i="338"/>
  <c r="AO40" i="338"/>
  <c r="AO10" i="338"/>
  <c r="AT30" i="338"/>
  <c r="AT40" i="338"/>
  <c r="AT51" i="338"/>
  <c r="AO36" i="338"/>
  <c r="AO48" i="338"/>
  <c r="AT37" i="338"/>
  <c r="AO18" i="338"/>
  <c r="AT49" i="338"/>
  <c r="AO39" i="338"/>
  <c r="AT29" i="338"/>
  <c r="AO30" i="338"/>
  <c r="AT10" i="338"/>
  <c r="AO31" i="338"/>
  <c r="AO41" i="338"/>
  <c r="AO52" i="338"/>
  <c r="AO47" i="338"/>
  <c r="AO38" i="338"/>
  <c r="AO11" i="338"/>
  <c r="AT31" i="338"/>
  <c r="AT41" i="338"/>
  <c r="AT52" i="338"/>
  <c r="AT47" i="338"/>
  <c r="AT11" i="338"/>
  <c r="AO32" i="338"/>
  <c r="AO42" i="338"/>
  <c r="AO53" i="338"/>
  <c r="AT48" i="338"/>
  <c r="AO12" i="338"/>
  <c r="AT32" i="338"/>
  <c r="AT42" i="338"/>
  <c r="AT53" i="338"/>
  <c r="AD8" i="338"/>
  <c r="AB8" i="338"/>
  <c r="Z8" i="338"/>
  <c r="AT12" i="338"/>
  <c r="AO33" i="338"/>
  <c r="AO44" i="338"/>
  <c r="AO54" i="338"/>
  <c r="AT46" i="338"/>
  <c r="AO8" i="338"/>
  <c r="AO13" i="338"/>
  <c r="AT33" i="338"/>
  <c r="AT44" i="338"/>
  <c r="AT54" i="338"/>
  <c r="AT13" i="338"/>
  <c r="AO34" i="338"/>
  <c r="AO45" i="338"/>
  <c r="AO14" i="338"/>
  <c r="AT34" i="338"/>
  <c r="AT45" i="338"/>
  <c r="AT36" i="338"/>
  <c r="AO15" i="338"/>
  <c r="AO35" i="338"/>
  <c r="AO46" i="338"/>
  <c r="AN52" i="338"/>
  <c r="AS39" i="338"/>
  <c r="AR12" i="338"/>
  <c r="AN37" i="338"/>
  <c r="AM36" i="338"/>
  <c r="AR30" i="338"/>
  <c r="AN32" i="338"/>
  <c r="AR39" i="338"/>
  <c r="AS12" i="338"/>
  <c r="AM37" i="338"/>
  <c r="AN36" i="338"/>
  <c r="AS30" i="338"/>
  <c r="AM32" i="338"/>
  <c r="AR16" i="338"/>
  <c r="AR51" i="338"/>
  <c r="AN46" i="338"/>
  <c r="AS45" i="338"/>
  <c r="AR10" i="338"/>
  <c r="AS47" i="338"/>
  <c r="AM33" i="338"/>
  <c r="AS9" i="338"/>
  <c r="AR47" i="338"/>
  <c r="AM52" i="338"/>
  <c r="AR45" i="338"/>
  <c r="AM15" i="338"/>
  <c r="AM35" i="338"/>
  <c r="AR34" i="338"/>
  <c r="AN41" i="338"/>
  <c r="AS31" i="338"/>
  <c r="AN31" i="338"/>
  <c r="AS16" i="338"/>
  <c r="AN51" i="338"/>
  <c r="AS51" i="338"/>
  <c r="AM10" i="338"/>
  <c r="AM41" i="338"/>
  <c r="AM31" i="338"/>
  <c r="AM51" i="338"/>
  <c r="AN10" i="338"/>
  <c r="AR9" i="338"/>
  <c r="AN42" i="338"/>
  <c r="AR31" i="338"/>
  <c r="AS37" i="338"/>
  <c r="AS10" i="338"/>
  <c r="AR37" i="338"/>
  <c r="AR42" i="338"/>
  <c r="AN48" i="338"/>
  <c r="AM46" i="338"/>
  <c r="AN33" i="338"/>
  <c r="AR8" i="338"/>
  <c r="AN30" i="338"/>
  <c r="AM39" i="338"/>
  <c r="AN17" i="338"/>
  <c r="AS41" i="338"/>
  <c r="AN29" i="338"/>
  <c r="AN49" i="338"/>
  <c r="AR38" i="338"/>
  <c r="AS13" i="338"/>
  <c r="AN16" i="338"/>
  <c r="AM16" i="338"/>
  <c r="AN53" i="338"/>
  <c r="AM53" i="338"/>
  <c r="AM42" i="338"/>
  <c r="AN15" i="338"/>
  <c r="AS8" i="338"/>
  <c r="AM30" i="338"/>
  <c r="AN39" i="338"/>
  <c r="AM17" i="338"/>
  <c r="AR44" i="338"/>
  <c r="AM40" i="338"/>
  <c r="AN13" i="338"/>
  <c r="AS50" i="338"/>
  <c r="AM34" i="338"/>
  <c r="AS44" i="338"/>
  <c r="AS54" i="338"/>
  <c r="AN40" i="338"/>
  <c r="AR46" i="338"/>
  <c r="AM13" i="338"/>
  <c r="AS18" i="338"/>
  <c r="AN34" i="338"/>
  <c r="AR54" i="338"/>
  <c r="AS46" i="338"/>
  <c r="AR18" i="338"/>
  <c r="AM8" i="338"/>
  <c r="AS29" i="338"/>
  <c r="AR50" i="338"/>
  <c r="AR17" i="338"/>
  <c r="AM29" i="338"/>
  <c r="AM49" i="338"/>
  <c r="AR40" i="338"/>
  <c r="AM12" i="338"/>
  <c r="AM9" i="338"/>
  <c r="AR32" i="338"/>
  <c r="AN8" i="338"/>
  <c r="AS40" i="338"/>
  <c r="AR29" i="338"/>
  <c r="AN45" i="338"/>
  <c r="AS42" i="338"/>
  <c r="AN38" i="338"/>
  <c r="AR41" i="338"/>
  <c r="AS32" i="338"/>
  <c r="AM45" i="338"/>
  <c r="AN35" i="338"/>
  <c r="AS38" i="338"/>
  <c r="AR33" i="338"/>
  <c r="AN54" i="338"/>
  <c r="AM44" i="338"/>
  <c r="AR53" i="338"/>
  <c r="AN50" i="338"/>
  <c r="AR48" i="338"/>
  <c r="AS11" i="338"/>
  <c r="AM14" i="338"/>
  <c r="AM54" i="338"/>
  <c r="AN44" i="338"/>
  <c r="AS53" i="338"/>
  <c r="AM50" i="338"/>
  <c r="AS48" i="338"/>
  <c r="AR11" i="338"/>
  <c r="AN14" i="338"/>
  <c r="AS17" i="338"/>
  <c r="AN12" i="338"/>
  <c r="AM48" i="338"/>
  <c r="AR13" i="338"/>
  <c r="AM38" i="338"/>
  <c r="AM47" i="338"/>
  <c r="AS36" i="338"/>
  <c r="AM11" i="338"/>
  <c r="AR49" i="338"/>
  <c r="AN18" i="338"/>
  <c r="AS35" i="338"/>
  <c r="AS15" i="338"/>
  <c r="AS52" i="338"/>
  <c r="AS34" i="338"/>
  <c r="AN47" i="338"/>
  <c r="AR36" i="338"/>
  <c r="AN11" i="338"/>
  <c r="AS49" i="338"/>
  <c r="AM18" i="338"/>
  <c r="AR35" i="338"/>
  <c r="AR15" i="338"/>
  <c r="AR52" i="338"/>
  <c r="AN9" i="338"/>
  <c r="AS33" i="338"/>
  <c r="N8" i="338" l="1"/>
  <c r="R20" i="252"/>
  <c r="Q20" i="252"/>
  <c r="H20" i="252" a="1"/>
  <c r="H20" i="252" l="1"/>
  <c r="K20" i="252" l="1"/>
  <c r="I20" i="252"/>
  <c r="U19" i="252" l="1"/>
  <c r="V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B15" i="252" s="1"/>
  <c r="C15" i="252" l="1"/>
  <c r="A15" i="252" s="1"/>
  <c r="V14" i="252"/>
  <c r="U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B12" i="252" s="1"/>
  <c r="C12" i="252" l="1"/>
  <c r="A12" i="252" s="1"/>
  <c r="V11" i="252"/>
  <c r="U11" i="252"/>
  <c r="K12" i="252"/>
  <c r="I12" i="252"/>
  <c r="Q11" i="252" l="1"/>
  <c r="R11" i="252"/>
  <c r="H11" i="252" a="1"/>
  <c r="H11" i="252" l="1"/>
  <c r="K11" i="252" l="1"/>
  <c r="I11" i="252"/>
  <c r="V10" i="252" l="1"/>
  <c r="U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V8" i="252"/>
  <c r="U8" i="252"/>
  <c r="K9" i="252"/>
  <c r="I9" i="252"/>
  <c r="Q8" i="252" l="1"/>
  <c r="R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B6" i="252" l="1"/>
  <c r="A6" i="252" s="1"/>
  <c r="F42" i="530"/>
  <c r="F41" i="530"/>
  <c r="I42" i="530"/>
  <c r="I41" i="530"/>
  <c r="K16" i="530"/>
  <c r="L16" i="530"/>
  <c r="J42" i="530"/>
  <c r="J41" i="530"/>
  <c r="G41" i="530"/>
  <c r="G42" i="530"/>
  <c r="H42" i="530"/>
  <c r="H41" i="530"/>
  <c r="K6" i="252"/>
  <c r="I6" i="252"/>
  <c r="S1" i="1"/>
  <c r="L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<sst xmlns="http://schemas.openxmlformats.org/spreadsheetml/2006/main" count="16629" uniqueCount="2406">
  <si>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</si>
  <si>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</si>
  <si>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</si>
  <si>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</si>
  <si>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</si>
  <si>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</si>
  <si>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</si>
  <si>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</si>
  <si>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</si>
  <si>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</si>
  <si>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</si>
  <si>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</si>
  <si>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</si>
  <si>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</si>
  <si>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</si>
  <si>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</si>
  <si>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</si>
  <si>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</si>
  <si>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</si>
  <si>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</si>
  <si>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</si>
  <si>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</si>
  <si>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</si>
  <si>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</si>
  <si>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</si>
  <si>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</si>
  <si>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</si>
  <si>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</si>
  <si>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</si>
  <si>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</si>
  <si>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</si>
  <si>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</si>
  <si>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</si>
  <si>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</si>
  <si>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</si>
  <si>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</si>
  <si>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</si>
  <si>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</si>
  <si>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</si>
  <si>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</si>
  <si>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</si>
  <si>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</si>
  <si>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</si>
  <si>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</si>
  <si>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</si>
  <si>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</si>
  <si>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</si>
  <si>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</si>
  <si>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</si>
  <si>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</si>
  <si>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</si>
  <si>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</si>
  <si>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</si>
  <si>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</si>
  <si>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</si>
  <si>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</si>
  <si>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</si>
  <si>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</si>
  <si>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</si>
  <si>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</si>
  <si>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</si>
  <si>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</si>
  <si>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</si>
  <si>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</si>
  <si>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</si>
  <si>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</si>
  <si>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</si>
  <si>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</si>
  <si>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</si>
  <si>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</si>
  <si>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</si>
  <si>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</si>
  <si>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</si>
  <si>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</si>
  <si>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</si>
  <si>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</si>
  <si>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</si>
  <si>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</si>
  <si>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</si>
  <si>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</si>
  <si>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</si>
  <si>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</si>
  <si>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</si>
  <si>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</si>
  <si>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</si>
  <si>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</si>
  <si>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</si>
  <si>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</si>
  <si>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</si>
  <si>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</si>
  <si>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</si>
  <si>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</si>
  <si>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</si>
  <si>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</si>
  <si>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</si>
  <si>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</si>
  <si>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</si>
  <si>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</si>
  <si>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</si>
  <si>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</si>
  <si>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</si>
  <si>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</si>
  <si>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</si>
  <si>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</si>
  <si>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</si>
  <si>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</si>
  <si>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</si>
  <si>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</si>
  <si>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</si>
  <si>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</si>
  <si>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</si>
  <si>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</si>
  <si>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</si>
  <si>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</si>
  <si>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</si>
  <si>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</si>
  <si>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</si>
  <si>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</si>
  <si>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</si>
  <si>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</si>
  <si>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</si>
  <si>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</si>
  <si>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</si>
  <si>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</si>
  <si>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</si>
  <si>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</si>
  <si>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</si>
  <si>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</si>
  <si>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</si>
  <si>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</si>
  <si>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</si>
  <si>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</si>
  <si>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</si>
  <si>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</si>
  <si>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</si>
  <si>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</si>
  <si>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</si>
  <si>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</si>
  <si>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</si>
  <si>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</si>
  <si>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</si>
  <si>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</si>
  <si>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</si>
  <si>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</si>
  <si>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</si>
  <si>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</si>
  <si>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</si>
  <si>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</si>
  <si>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</si>
  <si>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</si>
  <si>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</si>
  <si>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</si>
  <si>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</si>
  <si>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</si>
  <si>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</si>
  <si>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</si>
  <si>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</si>
  <si>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</si>
  <si>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</si>
  <si>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</si>
  <si>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</si>
  <si>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</si>
  <si>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</si>
  <si>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</si>
  <si>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</si>
  <si>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</si>
  <si>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</si>
  <si>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</si>
  <si>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</si>
  <si>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</si>
  <si>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</si>
  <si>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</si>
  <si>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</si>
  <si>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</si>
  <si>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</si>
  <si>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</si>
  <si>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</si>
  <si>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</si>
  <si>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</si>
  <si>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</si>
  <si>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</si>
  <si>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</si>
  <si>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</si>
  <si>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</si>
  <si>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</si>
  <si>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</si>
  <si>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</si>
  <si>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</si>
  <si>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</si>
  <si>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</si>
  <si>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</si>
  <si>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</si>
  <si>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</si>
  <si>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</si>
  <si>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</si>
  <si>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</si>
  <si>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</si>
  <si>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</si>
  <si>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</si>
  <si>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</si>
  <si>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</si>
  <si>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</si>
  <si>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</si>
  <si>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</si>
  <si>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</si>
  <si>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</si>
  <si>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</si>
  <si>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</si>
  <si>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</si>
  <si>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</si>
  <si>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</si>
  <si>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</si>
  <si>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</si>
  <si>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</si>
  <si>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</si>
  <si>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</si>
  <si>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</si>
  <si>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</si>
  <si>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</si>
  <si>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</si>
  <si>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</si>
  <si>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</si>
  <si>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</si>
  <si>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</si>
  <si>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</si>
  <si>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</si>
  <si>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</si>
  <si>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</si>
  <si>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</si>
  <si>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</si>
  <si>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</si>
  <si>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</si>
  <si>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</si>
  <si>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</si>
  <si>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</si>
  <si>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</si>
  <si>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</si>
  <si>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</si>
  <si>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</si>
  <si>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</si>
  <si>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</si>
  <si>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</si>
  <si>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</si>
  <si>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</si>
  <si>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</si>
  <si>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</si>
  <si>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</si>
  <si>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</si>
  <si>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</si>
  <si>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</si>
  <si>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</si>
  <si>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</si>
  <si>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</si>
  <si>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</si>
  <si>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</si>
  <si>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</si>
  <si>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</si>
  <si>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</si>
  <si>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</si>
  <si>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</si>
  <si>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</si>
  <si>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</si>
  <si>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</si>
  <si>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</si>
  <si>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</si>
  <si>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</si>
  <si>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</si>
  <si>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</si>
  <si>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</si>
  <si>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</si>
  <si>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</si>
  <si>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</si>
  <si>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</si>
  <si>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</si>
  <si>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</si>
  <si>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</si>
  <si>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</si>
  <si>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</si>
  <si>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</si>
  <si>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</si>
  <si>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</si>
  <si>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</si>
  <si>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</si>
  <si>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</si>
  <si>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</si>
  <si>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</si>
  <si>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</si>
  <si>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</si>
  <si>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</si>
  <si>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</si>
  <si>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</si>
  <si>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</si>
  <si>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</si>
  <si>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</si>
  <si>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</si>
  <si>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</si>
  <si>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</si>
  <si>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</si>
  <si>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</si>
  <si>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</si>
  <si>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</si>
  <si>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</si>
  <si>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</si>
  <si>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</si>
  <si>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</si>
  <si>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</si>
  <si>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</si>
  <si>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</si>
  <si>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</si>
  <si>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</si>
  <si>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</si>
  <si>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</si>
  <si>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</si>
  <si>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</si>
  <si>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</si>
  <si>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</si>
  <si>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</si>
  <si>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</si>
  <si>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</si>
  <si>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</si>
  <si>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</si>
  <si>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</si>
  <si>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</si>
  <si>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</si>
  <si>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</si>
  <si>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</si>
  <si>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</si>
  <si>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</si>
  <si>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</si>
  <si>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</si>
  <si>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</si>
  <si>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</si>
  <si>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</si>
  <si>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</si>
  <si>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</si>
  <si>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</si>
  <si>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</si>
  <si>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</si>
  <si>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</si>
  <si>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</si>
  <si>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</si>
  <si>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</si>
  <si>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</si>
  <si>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</si>
  <si>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</si>
  <si>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</si>
  <si>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</si>
  <si>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</si>
  <si>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</si>
  <si>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</si>
  <si>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</si>
  <si>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</si>
  <si>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</si>
  <si>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</si>
  <si>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</si>
  <si>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</si>
  <si>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</si>
  <si>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</si>
  <si>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</si>
  <si>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</si>
  <si>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</si>
  <si>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</si>
  <si>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</si>
  <si>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</si>
  <si>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</si>
  <si>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</si>
  <si>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</si>
  <si>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</si>
  <si>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</si>
  <si>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</si>
  <si>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</si>
  <si>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</si>
  <si>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</si>
  <si>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</si>
  <si>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</si>
  <si>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</si>
  <si>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</si>
  <si>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</si>
  <si>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</si>
  <si>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</si>
  <si>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</si>
  <si>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</si>
  <si>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</si>
  <si>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</si>
  <si>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</si>
  <si>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</si>
  <si>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</si>
  <si>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</si>
  <si>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</si>
  <si>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</si>
  <si>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</si>
  <si>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</si>
  <si>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</si>
  <si>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</si>
  <si>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</si>
  <si>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</si>
  <si>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</si>
  <si>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</si>
  <si>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</si>
  <si>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</si>
  <si>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</si>
  <si>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</si>
  <si>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</si>
  <si>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</si>
  <si>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</si>
  <si>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</si>
  <si>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</si>
  <si>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</si>
  <si>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</si>
  <si>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</si>
  <si>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</si>
  <si>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</si>
  <si>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</si>
  <si>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</si>
  <si>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</si>
  <si>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</si>
  <si>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</si>
  <si>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</si>
  <si>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</si>
  <si>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</si>
  <si>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</si>
  <si>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</si>
  <si>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</si>
  <si>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</si>
  <si>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</si>
  <si>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</si>
  <si>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</si>
  <si>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</si>
  <si>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</si>
  <si>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</si>
  <si>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</si>
  <si>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</si>
  <si>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</si>
  <si>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</si>
  <si>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</si>
  <si>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</si>
  <si>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</si>
  <si>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</si>
  <si>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</si>
  <si>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</si>
  <si>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</si>
  <si>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</si>
  <si>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</si>
  <si>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</si>
  <si>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</si>
  <si>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</si>
  <si>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</si>
  <si>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</si>
  <si>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</si>
  <si>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</si>
  <si>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</si>
  <si>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</si>
  <si>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</si>
  <si>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</si>
  <si>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</si>
  <si>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</si>
  <si>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</si>
  <si>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</si>
  <si>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</si>
  <si>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</si>
  <si>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</si>
  <si>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</si>
  <si>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</si>
  <si>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</si>
  <si>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</si>
  <si>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</si>
  <si>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</si>
  <si>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</si>
  <si>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</si>
  <si>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</si>
  <si>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</si>
  <si>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</si>
  <si>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</si>
  <si>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</si>
  <si>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</si>
  <si>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</si>
  <si>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</si>
  <si>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</si>
  <si>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</si>
  <si>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</si>
  <si>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</si>
  <si>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</si>
  <si>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</si>
  <si>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</si>
  <si>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</si>
  <si>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</si>
  <si>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</si>
  <si>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</si>
  <si>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</si>
  <si>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</si>
  <si>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</si>
  <si>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</si>
  <si>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</si>
  <si>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</si>
  <si>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</si>
  <si>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</si>
  <si>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</si>
  <si>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</si>
  <si>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</si>
  <si>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</si>
  <si>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</si>
  <si>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</si>
  <si>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</si>
  <si>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</si>
  <si>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</si>
  <si>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</si>
  <si>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</si>
  <si>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</si>
  <si>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</si>
  <si>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</si>
  <si>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</si>
  <si>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</si>
  <si>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</si>
  <si>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</si>
  <si>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</si>
  <si>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</si>
  <si>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</si>
  <si>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</si>
  <si>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</si>
  <si>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</si>
  <si>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</si>
  <si>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</si>
  <si>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</si>
  <si>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</si>
  <si>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</si>
  <si>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</si>
  <si>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</si>
  <si>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</si>
  <si>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</si>
  <si>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</si>
  <si>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</si>
  <si>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</si>
  <si>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</si>
  <si>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</si>
  <si>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</si>
  <si>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</si>
  <si>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</si>
  <si>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</si>
  <si>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</si>
  <si>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</si>
  <si>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</si>
  <si>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</si>
  <si>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</si>
  <si>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</si>
  <si>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</si>
  <si>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</si>
  <si>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</si>
  <si>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</si>
  <si>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</si>
  <si>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</si>
  <si>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</si>
  <si>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</si>
  <si>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</si>
  <si>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</si>
  <si>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</si>
  <si>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</si>
  <si>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</si>
  <si>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</si>
  <si>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</si>
  <si>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</si>
  <si>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</si>
  <si>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</si>
  <si>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</si>
  <si>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</si>
  <si>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</si>
  <si>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</si>
  <si>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</si>
  <si>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</si>
  <si>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</si>
  <si>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</si>
  <si>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</si>
  <si>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</si>
  <si>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</si>
  <si>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</si>
  <si>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</si>
  <si>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</si>
  <si>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</si>
  <si>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</si>
  <si>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</si>
  <si>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</si>
  <si>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</si>
  <si>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</si>
  <si>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</si>
  <si>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</si>
  <si>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</si>
  <si>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</si>
  <si>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</si>
  <si>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</si>
  <si>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</si>
  <si>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</si>
  <si>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</si>
  <si>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</si>
  <si>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</si>
  <si>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</si>
  <si>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</si>
  <si>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</si>
  <si>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</si>
  <si>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</si>
  <si>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</si>
  <si>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</si>
  <si>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</si>
  <si>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</si>
  <si>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</si>
  <si>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</si>
  <si>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</si>
  <si>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</si>
  <si>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</si>
  <si>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</si>
  <si>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</si>
  <si>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</si>
  <si>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</si>
  <si>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</si>
  <si>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</si>
  <si>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</si>
  <si>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</si>
  <si>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</si>
  <si>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</si>
  <si>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</si>
  <si>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</si>
  <si>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</si>
  <si>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</si>
  <si>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</si>
  <si>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</si>
  <si>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</si>
  <si>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</si>
  <si>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</si>
  <si>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</si>
  <si>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</si>
  <si>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</si>
  <si>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</si>
  <si>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</si>
  <si>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</si>
  <si>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</si>
  <si>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</si>
  <si>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</si>
  <si>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</si>
  <si>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</si>
  <si>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</si>
  <si>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</si>
  <si>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</si>
  <si>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</si>
  <si>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</si>
  <si>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</si>
  <si>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</si>
  <si>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</si>
  <si>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</si>
  <si>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</si>
  <si>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</si>
  <si>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</si>
  <si>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</si>
  <si>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</si>
  <si>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</si>
  <si>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</si>
  <si>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</si>
  <si>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</si>
  <si>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</si>
  <si>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</si>
  <si>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</si>
  <si>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</si>
  <si>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</si>
  <si>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</si>
  <si>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</si>
  <si>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</si>
  <si>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</si>
  <si>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</si>
  <si>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</si>
  <si>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</si>
  <si>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</si>
  <si>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</si>
  <si>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</si>
  <si>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</si>
  <si>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</si>
  <si>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</si>
  <si>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</si>
  <si>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</si>
  <si>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</si>
  <si>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</si>
  <si>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</si>
  <si>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</si>
  <si>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</si>
  <si>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</si>
  <si>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</si>
  <si>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</si>
  <si>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</si>
  <si>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</si>
  <si>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</si>
  <si>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</si>
  <si>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</si>
  <si>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</si>
  <si>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</si>
  <si>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</si>
  <si>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</si>
  <si>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</si>
  <si>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</si>
  <si>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</si>
  <si>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</si>
  <si>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</si>
  <si>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</si>
  <si>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</si>
  <si>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</si>
  <si>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</si>
  <si>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</si>
  <si>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</si>
  <si>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</si>
  <si>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</si>
  <si>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</si>
  <si>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</si>
  <si>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</si>
  <si>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</si>
  <si>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</si>
  <si>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</si>
  <si>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</si>
  <si>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</si>
  <si>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</si>
  <si>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</si>
  <si>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</si>
  <si>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</si>
  <si>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</si>
  <si>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</si>
  <si>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</si>
  <si>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</si>
  <si>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</si>
  <si>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</si>
  <si>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</si>
  <si>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</si>
  <si>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</si>
  <si>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</si>
  <si>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</si>
  <si>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</si>
  <si>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</si>
  <si>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</si>
  <si>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</si>
  <si>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</si>
  <si>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</si>
  <si>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</si>
  <si>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</si>
  <si>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</si>
  <si>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</si>
  <si>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</si>
  <si>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</si>
  <si>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</si>
  <si>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</si>
  <si>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</si>
  <si>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</si>
  <si>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</si>
  <si>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</si>
  <si>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</si>
  <si>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</si>
  <si>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</si>
  <si>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</si>
  <si>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</si>
  <si>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</si>
  <si>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</si>
  <si>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</si>
  <si>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</si>
  <si>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</si>
  <si>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</si>
  <si>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</si>
  <si>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</si>
  <si>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</si>
  <si>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</si>
  <si>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</si>
  <si>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</si>
  <si>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</si>
  <si>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</si>
  <si>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</si>
  <si>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</si>
  <si>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</si>
  <si>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</si>
  <si>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</si>
  <si>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</si>
  <si>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</si>
  <si>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</si>
  <si>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</si>
  <si>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</si>
  <si>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</si>
  <si>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</si>
  <si>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</si>
  <si>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</si>
  <si>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</si>
  <si>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</si>
  <si>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</si>
  <si>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</si>
  <si>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</si>
  <si>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</si>
  <si>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</si>
  <si>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</si>
  <si>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</si>
  <si>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</si>
  <si>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</si>
  <si>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</si>
  <si>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</si>
  <si>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</si>
  <si>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</si>
  <si>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</si>
  <si>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</si>
  <si>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</si>
  <si>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</si>
  <si>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</si>
  <si>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</si>
  <si>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</si>
  <si>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</si>
  <si>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</si>
  <si>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</si>
  <si>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</si>
  <si>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</si>
  <si>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</si>
  <si>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</si>
  <si>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</si>
  <si>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</si>
  <si>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</si>
  <si>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</si>
  <si>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</si>
  <si>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</si>
  <si>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</si>
  <si>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</si>
  <si>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</si>
  <si>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</si>
  <si>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</si>
  <si>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</si>
  <si>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</si>
  <si>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</si>
  <si>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</si>
  <si>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</si>
  <si>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</si>
  <si>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</si>
  <si>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</si>
  <si>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</si>
  <si>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</si>
  <si>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</si>
  <si>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</si>
  <si>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</si>
  <si>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</si>
  <si>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</si>
  <si>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</si>
  <si>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</si>
  <si>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</si>
  <si>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</si>
  <si>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</si>
  <si>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</si>
  <si>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</si>
  <si>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</si>
  <si>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</si>
  <si>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</si>
  <si>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</si>
  <si>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</si>
  <si>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</si>
  <si>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</si>
  <si>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</si>
  <si>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</si>
  <si>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</si>
  <si>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</si>
  <si>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</si>
  <si>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</si>
  <si>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</si>
  <si>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</si>
  <si>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</si>
  <si>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</si>
  <si>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</si>
  <si>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</si>
  <si>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</si>
  <si>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</si>
  <si>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</si>
  <si>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</si>
  <si>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</si>
  <si>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</si>
  <si>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</si>
  <si>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</si>
  <si>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</si>
  <si>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</si>
  <si>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</si>
  <si>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</si>
  <si>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</si>
  <si>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</si>
  <si>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</si>
  <si>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</si>
  <si>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</si>
  <si>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</si>
  <si>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</si>
  <si>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</si>
  <si>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</si>
  <si>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</si>
  <si>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</si>
  <si>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</si>
  <si>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</si>
  <si>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</si>
  <si>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</si>
  <si>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</si>
  <si>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</si>
  <si>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</si>
  <si>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</si>
  <si>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</si>
  <si>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</si>
  <si>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</si>
  <si>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</si>
  <si>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</si>
  <si>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</si>
  <si>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</si>
  <si>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</si>
  <si>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</si>
  <si>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</si>
  <si>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</si>
  <si>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</si>
  <si>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</si>
  <si>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</si>
  <si>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</si>
  <si>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</si>
  <si>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</si>
  <si>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</si>
  <si>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</si>
  <si>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</si>
  <si>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</si>
  <si>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</si>
  <si>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</si>
  <si>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</si>
  <si>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</si>
  <si>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</si>
  <si>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</si>
  <si>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</si>
  <si>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</si>
  <si>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</si>
  <si>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</si>
  <si>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</si>
  <si>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</si>
  <si>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</si>
  <si>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</si>
  <si>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</si>
  <si>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</si>
  <si>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</si>
  <si>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</si>
  <si>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</si>
  <si>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</si>
  <si>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</si>
  <si>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</si>
  <si>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</si>
  <si>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</si>
  <si>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</si>
  <si>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</si>
  <si>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</si>
  <si>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</si>
  <si>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</si>
  <si>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</si>
  <si>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</si>
  <si>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</si>
  <si>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</si>
  <si>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</si>
  <si>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</si>
  <si>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</si>
  <si>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</si>
  <si>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</si>
  <si>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</si>
  <si>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</si>
  <si>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</si>
  <si>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</si>
  <si>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</si>
  <si>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</si>
  <si>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</si>
  <si>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</si>
  <si>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</si>
  <si>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</si>
  <si>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</si>
  <si>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</si>
  <si>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</si>
  <si>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</si>
  <si>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</si>
  <si>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</si>
  <si>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</si>
  <si>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</si>
  <si>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</si>
  <si>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</si>
  <si>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</si>
  <si>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</si>
  <si>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</si>
  <si>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</si>
  <si>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</si>
  <si>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</si>
  <si>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</si>
  <si>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</si>
  <si>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</si>
  <si>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</si>
  <si>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</si>
  <si>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</si>
  <si>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</si>
  <si>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</si>
  <si>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</si>
  <si>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</si>
  <si>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</si>
  <si>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</si>
  <si>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</si>
  <si>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</si>
  <si>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</si>
  <si>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</si>
  <si>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</si>
  <si>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</si>
  <si>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</si>
  <si>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</si>
  <si>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</si>
  <si>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</si>
  <si>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</si>
  <si>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</si>
  <si>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</si>
  <si>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</si>
  <si>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</si>
  <si>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</si>
  <si>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</si>
  <si>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</si>
  <si>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</si>
  <si>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</si>
  <si>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</si>
  <si>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</si>
  <si>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</si>
  <si>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</si>
  <si>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</si>
  <si>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</si>
  <si>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</si>
  <si>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</si>
  <si>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</si>
  <si>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</si>
  <si>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</si>
  <si>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</si>
  <si>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</si>
  <si>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</si>
  <si>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</si>
  <si>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</si>
  <si>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</si>
  <si>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</si>
  <si>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</si>
  <si>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</si>
  <si>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</si>
  <si>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</si>
  <si>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</si>
  <si>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</si>
  <si>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</si>
  <si>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</si>
  <si>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</si>
  <si>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</si>
  <si>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</si>
  <si>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</si>
  <si>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</si>
  <si>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</si>
  <si>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</si>
  <si>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</si>
  <si>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</si>
  <si>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</si>
  <si>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</si>
  <si>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</si>
  <si>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</si>
  <si>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</si>
  <si>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</si>
  <si>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</si>
  <si>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</si>
  <si>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</si>
  <si>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</si>
  <si>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</si>
  <si>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</si>
  <si>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</si>
  <si>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</si>
  <si>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</si>
  <si>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</si>
  <si>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</si>
  <si>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</si>
  <si>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</si>
  <si>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</si>
  <si>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</si>
  <si>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</si>
  <si>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</si>
  <si>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</si>
  <si>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</si>
  <si>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</si>
  <si>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</si>
  <si>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</si>
  <si>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</si>
  <si>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</si>
  <si>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</si>
  <si>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</si>
  <si>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</si>
  <si>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</si>
  <si>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</si>
  <si>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</si>
  <si>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</si>
  <si>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</si>
  <si>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</si>
  <si>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</si>
  <si>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</si>
  <si>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</si>
  <si>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</si>
  <si>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</si>
  <si>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</si>
  <si>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</si>
  <si>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</si>
  <si>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</si>
  <si>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</si>
  <si>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</si>
  <si>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</si>
  <si>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</si>
  <si>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</si>
  <si>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</si>
  <si>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</si>
  <si>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</si>
  <si>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</si>
  <si>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</si>
  <si>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</si>
  <si>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</si>
  <si>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</si>
  <si>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</si>
  <si>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</si>
  <si>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</si>
  <si>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</si>
  <si>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</si>
  <si>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</si>
  <si>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</si>
  <si>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</si>
  <si>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</si>
  <si>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</si>
  <si>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</si>
  <si>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</si>
  <si>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</si>
  <si>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</si>
  <si>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</si>
  <si>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</si>
  <si>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</si>
  <si>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</si>
  <si>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</si>
  <si>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</si>
  <si>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</si>
  <si>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</si>
  <si>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</si>
  <si>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</si>
  <si>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</si>
  <si>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</si>
  <si>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</si>
  <si>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</si>
  <si>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</si>
  <si>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</si>
  <si>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</si>
  <si>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</si>
  <si>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</si>
  <si>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</si>
  <si>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</si>
  <si>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</si>
  <si>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</si>
  <si>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</si>
  <si>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</si>
  <si>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</si>
  <si>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</si>
  <si>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</si>
  <si>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</si>
  <si>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</si>
  <si>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</si>
  <si>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</si>
  <si>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</si>
  <si>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</si>
  <si>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</si>
  <si>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</si>
  <si>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</si>
  <si>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</si>
  <si>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</si>
  <si>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</si>
  <si>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</si>
  <si>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</si>
  <si>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</si>
  <si>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</si>
  <si>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</si>
  <si>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</si>
  <si>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</si>
  <si>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</si>
  <si>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</si>
  <si>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</si>
  <si>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</si>
  <si>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</si>
  <si>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</si>
  <si>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</si>
  <si>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</si>
  <si>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</si>
  <si>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</si>
  <si>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</si>
  <si>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</si>
  <si>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</si>
  <si>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</si>
  <si>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</si>
  <si>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</si>
  <si>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</si>
  <si>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</si>
  <si>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</si>
  <si>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</si>
  <si>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</si>
  <si>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</si>
  <si>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</si>
  <si>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</si>
  <si>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</si>
  <si>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</si>
  <si>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</si>
  <si>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</si>
  <si>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</si>
  <si>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</si>
  <si>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</si>
  <si>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</si>
  <si>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</si>
  <si>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</si>
  <si>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</si>
  <si>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</si>
  <si>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</si>
  <si>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</si>
  <si>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</si>
  <si>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</si>
  <si>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</si>
  <si>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</si>
  <si>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</si>
  <si>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</si>
  <si>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</si>
  <si>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</si>
  <si>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</si>
  <si>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</si>
  <si>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</si>
  <si>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</si>
  <si>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</si>
  <si>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</si>
  <si>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</si>
  <si>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</si>
  <si>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</si>
  <si>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</si>
  <si>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</si>
  <si>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</si>
  <si>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</si>
  <si>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</si>
  <si>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</si>
  <si>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</si>
  <si>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</si>
  <si>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</si>
  <si>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</si>
  <si>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</si>
  <si>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</si>
  <si>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</si>
  <si>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</si>
  <si>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</si>
  <si>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</si>
  <si>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</si>
  <si>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</si>
  <si>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</si>
  <si>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</si>
  <si>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</si>
  <si>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</si>
  <si>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</si>
  <si>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</si>
  <si>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</si>
  <si>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</si>
  <si>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</si>
  <si>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</si>
  <si>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</si>
  <si>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</si>
  <si>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</si>
  <si>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</si>
  <si>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</si>
  <si>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</si>
  <si>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</si>
  <si>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</si>
  <si>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</si>
  <si>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</si>
  <si>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</si>
  <si>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</si>
  <si>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</si>
  <si>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</si>
  <si>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</si>
  <si>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</si>
  <si>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</si>
  <si>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</si>
  <si>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</si>
  <si>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</si>
  <si>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</si>
  <si>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</si>
  <si>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</si>
  <si>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</si>
  <si>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</si>
  <si>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</si>
  <si>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</si>
  <si>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</si>
  <si>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</si>
  <si>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</si>
  <si>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</si>
  <si>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</si>
  <si>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</si>
  <si>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</si>
  <si>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</si>
  <si>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</si>
  <si>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</si>
  <si>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</si>
  <si>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</si>
  <si>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</si>
  <si>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</si>
  <si>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</si>
  <si>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</si>
  <si>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</si>
  <si>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</si>
  <si>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</si>
  <si>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</si>
  <si>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</si>
  <si>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</si>
  <si>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</si>
  <si>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</si>
  <si>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</si>
  <si>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</si>
  <si>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</si>
  <si>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</si>
  <si>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</si>
  <si>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</si>
  <si>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</si>
  <si>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</si>
  <si>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</si>
  <si>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</si>
  <si>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</si>
  <si>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</si>
  <si>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</si>
  <si>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</si>
  <si>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</si>
  <si>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</si>
  <si>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</si>
  <si>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</si>
  <si>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</si>
  <si>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</si>
  <si>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</si>
  <si>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</si>
  <si>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</si>
  <si>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</si>
  <si>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</si>
  <si>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</si>
  <si>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</si>
  <si>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</si>
  <si>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</si>
  <si>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</si>
  <si>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</si>
  <si>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</si>
  <si>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</si>
  <si>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</si>
  <si>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</si>
  <si>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</si>
  <si>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</si>
  <si>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</si>
  <si>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</si>
  <si>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</si>
  <si>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</si>
  <si>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</si>
  <si>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</si>
  <si>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</si>
  <si>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</si>
  <si>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</si>
  <si>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</si>
  <si>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</si>
  <si>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</si>
  <si>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</si>
  <si>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</si>
  <si>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</si>
  <si>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</si>
  <si>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</si>
  <si>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</si>
  <si>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</si>
  <si>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</si>
  <si>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</si>
  <si>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</si>
  <si>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</si>
  <si>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</si>
  <si>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</si>
  <si>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</si>
  <si>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</si>
  <si>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</si>
  <si>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</si>
  <si>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</si>
  <si>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</si>
  <si>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</si>
  <si>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</si>
  <si>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</si>
  <si>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</si>
  <si>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</si>
  <si>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</si>
  <si>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</si>
  <si>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</si>
  <si>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</si>
  <si>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</si>
  <si>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</si>
  <si>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</si>
  <si>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</si>
  <si>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</si>
  <si>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</si>
  <si>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</si>
  <si>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</si>
  <si>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</si>
  <si>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</si>
  <si>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</si>
  <si>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</si>
  <si>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</si>
  <si>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</si>
  <si>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</si>
  <si>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</si>
  <si>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</si>
  <si>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</si>
  <si>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</si>
  <si>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</si>
  <si>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</si>
  <si>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</si>
  <si>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</si>
  <si>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</si>
  <si>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</si>
  <si>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</si>
  <si>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</si>
  <si>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</si>
  <si>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</si>
  <si>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</si>
  <si>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</si>
  <si>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</si>
  <si>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</si>
  <si>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</si>
  <si>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</si>
  <si>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</si>
  <si>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</si>
  <si>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</si>
  <si>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</si>
  <si>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</si>
  <si>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</si>
  <si>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</si>
  <si>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</si>
  <si>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</si>
  <si>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</si>
  <si>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</si>
  <si>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</si>
  <si>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</si>
  <si>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</si>
  <si>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</si>
  <si>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</si>
  <si>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</si>
  <si>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</si>
  <si>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</si>
  <si>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</si>
  <si>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</si>
  <si>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</si>
  <si>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</si>
  <si>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</si>
  <si>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</si>
  <si>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</si>
  <si>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</si>
  <si>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</si>
  <si>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</si>
  <si>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</si>
  <si>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</si>
  <si>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</si>
  <si>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</si>
  <si>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</si>
  <si>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</si>
  <si>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</si>
  <si>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</si>
  <si>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</si>
  <si>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</si>
  <si>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</si>
  <si>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</si>
  <si>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</si>
  <si>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</si>
  <si>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</si>
  <si>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</si>
  <si>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</si>
  <si>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</si>
  <si>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</si>
  <si>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</si>
  <si>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</si>
  <si>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</si>
  <si>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</si>
  <si>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</si>
  <si>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</si>
  <si>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</si>
  <si>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</si>
  <si>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</si>
  <si>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</si>
  <si>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</si>
  <si>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</si>
  <si>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</si>
  <si>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</si>
  <si>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</si>
  <si>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</si>
  <si>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</si>
  <si>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</si>
  <si>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</si>
  <si>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</si>
  <si>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</si>
  <si>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</si>
  <si>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</si>
  <si>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</si>
  <si>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</si>
  <si>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</si>
  <si>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</si>
  <si>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</si>
  <si>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</si>
  <si>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</si>
  <si>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</si>
  <si>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</si>
  <si>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</si>
  <si>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</si>
  <si>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</si>
  <si>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</si>
  <si>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</si>
  <si>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</si>
  <si>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</si>
  <si>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</si>
  <si>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</si>
  <si>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</si>
  <si>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</si>
  <si>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</si>
  <si>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</si>
  <si>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</si>
  <si>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</si>
  <si>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</si>
  <si>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</si>
  <si>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</si>
  <si>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</si>
  <si>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</si>
  <si>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</si>
  <si>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</si>
  <si>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</si>
  <si>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</si>
  <si>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</si>
  <si>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</si>
  <si>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</si>
  <si>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</si>
  <si>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</si>
  <si>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</si>
  <si>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</si>
  <si>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</si>
  <si>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</si>
  <si>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</si>
  <si>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</si>
  <si>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</si>
  <si>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</si>
  <si>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</si>
  <si>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</si>
  <si>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</si>
  <si>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</si>
  <si>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</si>
  <si>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</si>
  <si>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</si>
  <si>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</si>
  <si>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</si>
  <si>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</si>
  <si>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</si>
  <si>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</si>
  <si>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</si>
  <si>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</si>
  <si>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</si>
  <si>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</si>
  <si>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</si>
  <si>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</si>
  <si>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</si>
  <si>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</si>
  <si>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</si>
  <si>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</si>
  <si>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</si>
  <si>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</si>
  <si>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</si>
  <si>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</si>
  <si>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</si>
  <si>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</si>
  <si>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</si>
  <si>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</si>
  <si>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</si>
  <si>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</si>
  <si>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</si>
  <si>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</si>
  <si>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</si>
  <si>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</si>
  <si>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</si>
  <si>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</si>
  <si>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</si>
  <si>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</si>
  <si>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</si>
  <si>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</si>
  <si>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</si>
  <si>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</si>
  <si>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</si>
  <si>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</si>
  <si>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</si>
  <si>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</si>
  <si>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</si>
  <si>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</si>
  <si>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</si>
  <si>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</si>
  <si>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</si>
  <si>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</si>
  <si>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</si>
  <si>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</si>
  <si>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</si>
  <si>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</si>
  <si>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</si>
  <si>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</si>
  <si>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</si>
  <si>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</si>
  <si>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</si>
  <si>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</si>
  <si>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</si>
  <si>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</si>
  <si>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</si>
  <si>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</si>
  <si>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</si>
  <si>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</si>
  <si>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</si>
  <si>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</si>
  <si>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</si>
  <si>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</si>
  <si>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</si>
  <si>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</si>
  <si>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</si>
  <si>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</si>
  <si>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</si>
  <si>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</si>
  <si>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</si>
  <si>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</si>
  <si>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</si>
  <si>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</si>
  <si>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</si>
  <si>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</si>
  <si>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</si>
  <si>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</si>
  <si>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</si>
  <si>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</si>
  <si>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</si>
  <si>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</si>
  <si>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</si>
  <si>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</si>
  <si>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</si>
  <si>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</si>
  <si>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</si>
  <si>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</si>
  <si>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</si>
  <si>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</si>
  <si>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</si>
  <si>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</si>
  <si>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</si>
  <si>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</si>
  <si>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</si>
  <si>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</si>
  <si>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</si>
  <si>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</si>
  <si>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</si>
  <si>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</si>
  <si>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</si>
  <si>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</si>
  <si>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</si>
  <si>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</si>
  <si>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</si>
  <si>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</si>
  <si>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</si>
  <si>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</si>
  <si>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</si>
  <si>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</si>
  <si>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</si>
  <si>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</si>
  <si>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</si>
  <si>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</si>
  <si>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</si>
  <si>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</si>
  <si>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</si>
  <si>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</si>
  <si>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</si>
  <si>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</si>
  <si>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</si>
  <si>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</si>
  <si>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</si>
  <si>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</si>
  <si>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</si>
  <si>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</si>
  <si>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</si>
  <si>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</si>
  <si>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</si>
  <si>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</si>
  <si>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</si>
  <si>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</si>
  <si>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</si>
  <si>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</si>
  <si>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</si>
  <si>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</si>
  <si>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</si>
  <si>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</si>
  <si>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</si>
  <si>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</si>
  <si>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</si>
  <si>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</si>
  <si>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</si>
  <si>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</si>
  <si>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</si>
  <si>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</si>
  <si>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</si>
  <si>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</si>
  <si>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</si>
  <si>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</si>
  <si>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</si>
  <si>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</si>
  <si>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</si>
  <si>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</si>
  <si>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</si>
  <si>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</si>
  <si>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</si>
  <si>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</si>
  <si>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</si>
  <si>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</si>
  <si>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</si>
  <si>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</si>
  <si>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</si>
  <si>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</si>
  <si>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</si>
  <si>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</si>
  <si>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</si>
  <si>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</si>
  <si>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</si>
  <si>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</si>
  <si>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</si>
  <si>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</si>
  <si>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</si>
  <si>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</si>
  <si>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</si>
  <si>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</si>
  <si>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</si>
  <si>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</si>
  <si>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</si>
  <si>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</si>
  <si>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</si>
  <si>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</si>
  <si>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</si>
  <si>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</si>
  <si>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</si>
  <si>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</si>
  <si>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</si>
  <si>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</si>
  <si>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</si>
  <si>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</si>
  <si>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</si>
  <si>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</si>
  <si>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</si>
  <si>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</si>
  <si>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</si>
  <si>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</si>
  <si>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</si>
  <si>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</si>
  <si>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</si>
  <si>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</si>
  <si>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</si>
  <si>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</si>
  <si>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</si>
  <si>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</si>
  <si>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</si>
  <si>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</si>
  <si>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</si>
  <si>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</si>
  <si>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</si>
  <si>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</si>
  <si>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</si>
  <si>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</si>
  <si>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</si>
  <si>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</si>
  <si>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</si>
  <si>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</si>
  <si>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</si>
  <si>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</si>
  <si>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</si>
  <si>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</si>
  <si>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</si>
  <si>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</si>
  <si>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</si>
  <si>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</si>
  <si>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</si>
  <si>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</si>
  <si>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</si>
  <si>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</si>
  <si>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</si>
  <si>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</si>
  <si>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</si>
  <si>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</si>
  <si>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</si>
  <si>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</si>
  <si>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</si>
  <si>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</si>
  <si>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</si>
  <si>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</si>
  <si>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</si>
  <si>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</si>
  <si>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</si>
  <si>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</si>
  <si>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</si>
  <si>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</si>
  <si>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</si>
  <si>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</si>
  <si>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</si>
  <si>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</si>
  <si>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</si>
  <si>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</si>
  <si>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</si>
  <si>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</si>
  <si>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</si>
  <si>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</si>
  <si>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</si>
  <si>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</si>
  <si>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</si>
  <si>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</si>
  <si>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</si>
  <si>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</si>
  <si>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</si>
  <si>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</si>
  <si>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</si>
  <si>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</si>
  <si>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</si>
  <si>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</si>
  <si>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</si>
  <si>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</si>
  <si>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</si>
  <si>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</si>
  <si>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</si>
  <si>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</si>
  <si>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</si>
  <si>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</si>
  <si>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</si>
  <si>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</si>
  <si>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</si>
  <si>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</si>
  <si>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</si>
  <si>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</si>
  <si>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</si>
  <si>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</si>
  <si>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</si>
  <si>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</si>
  <si>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</si>
  <si>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</si>
  <si>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</si>
  <si>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</si>
  <si>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</si>
  <si>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</si>
  <si>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</si>
  <si>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</si>
  <si>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</si>
  <si>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</si>
  <si>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</si>
  <si>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</si>
  <si>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</si>
  <si>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</si>
  <si>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</si>
  <si>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</si>
  <si>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</si>
  <si>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</si>
  <si>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</si>
  <si>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</si>
  <si>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</si>
  <si>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</si>
  <si>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</si>
  <si>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</si>
  <si>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</si>
  <si>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</si>
  <si>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</si>
  <si>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</si>
  <si>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</si>
  <si>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</si>
  <si>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</si>
  <si>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</si>
  <si>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</si>
  <si>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</si>
  <si>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</si>
  <si>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</si>
  <si>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</si>
  <si>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</si>
  <si>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</si>
  <si>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</si>
  <si>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</si>
  <si>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</si>
  <si>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</si>
  <si>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</si>
  <si>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</si>
  <si>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</si>
  <si>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</si>
  <si>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</si>
  <si>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</si>
  <si>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</si>
  <si>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</si>
  <si>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</si>
  <si>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</si>
  <si>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</si>
  <si>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</si>
  <si>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</si>
  <si>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</si>
  <si>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</si>
  <si>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</si>
  <si>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</si>
  <si>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</si>
  <si>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</si>
  <si>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</si>
  <si>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</si>
  <si>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</si>
  <si>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</si>
  <si>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</si>
  <si>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</si>
  <si>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</si>
  <si>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</si>
  <si>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</si>
  <si>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</si>
  <si>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</si>
  <si>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</si>
  <si>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</si>
  <si>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</si>
  <si>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</si>
  <si>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</si>
  <si>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</si>
  <si>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</si>
  <si>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</si>
  <si>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</si>
  <si>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</si>
  <si>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</si>
  <si>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</si>
  <si>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</si>
  <si>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</si>
  <si>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</si>
  <si>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</si>
  <si>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</si>
  <si>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</si>
  <si>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</si>
  <si>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</si>
  <si>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</si>
  <si>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</si>
  <si>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</si>
  <si>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</si>
  <si>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</si>
  <si>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</si>
  <si>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</si>
  <si>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</si>
  <si>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</si>
  <si>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</si>
  <si>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</si>
  <si>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</si>
  <si>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</si>
  <si>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</si>
  <si>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</si>
  <si>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</si>
  <si>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</si>
  <si>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</si>
  <si>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</si>
  <si>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</si>
  <si>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</si>
  <si>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</si>
  <si>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</si>
  <si>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</si>
  <si>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</si>
  <si>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</si>
  <si>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</si>
  <si>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</si>
  <si>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</si>
  <si>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</si>
  <si>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</si>
  <si>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</si>
  <si>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</si>
  <si>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</si>
  <si>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</si>
  <si>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</si>
  <si>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</si>
  <si>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</si>
  <si>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</si>
  <si>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</si>
  <si>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</si>
  <si>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</si>
  <si>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</si>
  <si>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</si>
  <si>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</si>
  <si>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</si>
  <si>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</si>
  <si>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</si>
  <si>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</si>
  <si>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</si>
  <si>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</si>
  <si>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</si>
  <si>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</si>
  <si>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</si>
  <si>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</si>
  <si>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</si>
  <si>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</si>
  <si>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</si>
  <si>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</si>
  <si>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</si>
  <si>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</si>
  <si>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</si>
  <si>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</si>
  <si>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</si>
  <si>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</si>
  <si>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</si>
  <si>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</si>
  <si>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</si>
  <si>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</si>
  <si>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</si>
  <si>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</si>
  <si>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</si>
  <si>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</si>
  <si>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</si>
  <si>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</si>
  <si>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</si>
  <si>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</si>
  <si>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</si>
  <si>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</si>
  <si>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</si>
  <si>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</si>
  <si>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</si>
  <si>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</si>
  <si>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</si>
  <si>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</si>
  <si>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</si>
  <si>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</si>
  <si>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</si>
  <si>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</si>
  <si>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</si>
  <si>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</si>
  <si>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</si>
  <si>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</si>
  <si>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</si>
  <si>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</si>
  <si>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</si>
  <si>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</si>
  <si>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</si>
  <si>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</si>
  <si>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</si>
  <si>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</si>
  <si>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</si>
  <si>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</si>
  <si>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</si>
  <si>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</si>
  <si>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</si>
  <si>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</si>
  <si>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</si>
  <si>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</si>
  <si>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</si>
  <si>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</si>
  <si>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</si>
  <si>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</si>
  <si>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</si>
  <si>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</si>
  <si>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</si>
  <si>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</si>
  <si>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</si>
  <si>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</si>
  <si>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</si>
  <si>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</si>
  <si>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</si>
  <si>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</si>
  <si>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</si>
  <si>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</si>
  <si>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</si>
  <si>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</si>
  <si>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</si>
  <si>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</si>
  <si>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</si>
  <si>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</si>
  <si>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</si>
  <si>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</si>
  <si>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</si>
  <si>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</si>
  <si>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</si>
  <si>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</si>
  <si>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</si>
  <si>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</si>
  <si>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</si>
  <si>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</si>
  <si>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</si>
  <si>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</si>
  <si>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</si>
  <si>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</si>
  <si>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TSM US 01/16/26 C300</t>
  </si>
  <si>
    <t>TSM US 01/16/26 C330</t>
  </si>
  <si>
    <t>AMZN US 01/16/26 P230</t>
  </si>
  <si>
    <t>AMZN US 01/16/26 C265</t>
  </si>
  <si>
    <t>AMZN US 01/16/26 P215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</si>
  <si>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</si>
  <si>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</si>
  <si>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</si>
  <si>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</si>
  <si>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</si>
  <si>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</si>
  <si>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</si>
  <si>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</si>
  <si>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</si>
  <si>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</si>
  <si>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</si>
  <si>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</si>
  <si>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</si>
  <si>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</si>
  <si>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</si>
  <si>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</si>
  <si>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</si>
  <si>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</si>
  <si>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</si>
  <si>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</si>
  <si>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</si>
  <si>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</si>
  <si>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</si>
  <si>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</si>
  <si>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</si>
  <si>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</si>
  <si>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</si>
  <si>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</si>
  <si>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</si>
  <si>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</si>
  <si>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</si>
  <si>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</si>
  <si>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</si>
  <si>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</si>
  <si>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</si>
  <si>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</si>
  <si>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</si>
  <si>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</si>
  <si>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</si>
  <si>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</si>
  <si>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</si>
  <si>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</si>
  <si>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</si>
  <si>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</si>
  <si>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</si>
  <si>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</si>
  <si>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</si>
  <si>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</si>
  <si>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</si>
  <si>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</si>
  <si>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</si>
  <si>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</si>
  <si>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</si>
  <si>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</si>
  <si>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</si>
  <si>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</si>
  <si>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</si>
  <si>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</si>
  <si>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</si>
  <si>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</si>
  <si>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</si>
  <si>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</si>
  <si>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</si>
  <si>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</si>
  <si>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</si>
  <si>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</si>
  <si>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</si>
  <si>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</si>
  <si>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</si>
  <si>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</si>
  <si>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</si>
  <si>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</si>
  <si>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</si>
  <si>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</si>
  <si>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</si>
  <si>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</si>
  <si>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</si>
  <si>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</si>
  <si>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</si>
  <si>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</si>
  <si>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</si>
  <si>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</si>
  <si>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</si>
  <si>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</si>
  <si>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</si>
  <si>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</si>
  <si>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</si>
  <si>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</si>
  <si>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</si>
  <si>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</si>
  <si>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</si>
  <si>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</si>
  <si>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MU US 03/20/26 P350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</si>
  <si>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</si>
  <si>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</si>
  <si>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</si>
  <si>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</si>
  <si>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</si>
  <si>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</si>
  <si>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</si>
  <si>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</si>
  <si>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</si>
  <si>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</si>
  <si>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</si>
  <si>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</si>
  <si>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</si>
  <si>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</si>
  <si>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</si>
  <si>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</si>
  <si>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</si>
  <si>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</si>
  <si>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</si>
  <si>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</si>
  <si>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</si>
  <si>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</si>
  <si>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</si>
  <si>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</si>
  <si>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</si>
  <si>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RIOT</t>
  </si>
  <si>
    <t xml:space="preserve">Power 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</si>
  <si>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</si>
  <si>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</si>
  <si>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</si>
  <si>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</si>
  <si>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</si>
  <si>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</si>
  <si>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</si>
  <si>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</si>
  <si>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</si>
  <si>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</si>
  <si>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</si>
  <si>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</si>
  <si>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</si>
  <si>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</si>
  <si>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</si>
  <si>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</si>
  <si>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</si>
  <si>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</si>
  <si>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</si>
  <si>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</si>
  <si>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</si>
  <si>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</si>
  <si>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EWZ US 01/16/26 P32</t>
  </si>
  <si>
    <t>EWZ US 01/16/26 P32 Equity</t>
  </si>
  <si>
    <t>BIDU</t>
  </si>
  <si>
    <t>COHR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</si>
  <si>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</si>
  <si>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</si>
  <si>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</si>
  <si>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</si>
  <si>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</si>
  <si>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</si>
  <si>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</si>
  <si>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</si>
  <si>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</si>
  <si>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</si>
  <si>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</si>
  <si>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</si>
  <si>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</si>
  <si>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</si>
  <si>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</si>
  <si>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</si>
  <si>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</si>
  <si>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</si>
  <si>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</si>
  <si>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</si>
  <si>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</si>
  <si>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</si>
  <si>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</si>
  <si>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</si>
  <si>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</si>
  <si>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</si>
  <si>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</si>
  <si>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</si>
  <si>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265</t>
  </si>
  <si>
    <t>215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</si>
  <si>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</si>
  <si>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</si>
  <si>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</si>
  <si>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</si>
  <si>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</si>
  <si>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</si>
  <si>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</si>
  <si>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</si>
  <si>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</si>
  <si>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</si>
  <si>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</si>
  <si>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</si>
  <si>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</si>
  <si>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</si>
  <si>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</si>
  <si>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</si>
  <si>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</si>
  <si>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</si>
  <si>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</si>
  <si>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</si>
  <si>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46</t>
  </si>
  <si>
    <t>131.5</t>
  </si>
  <si>
    <t>32</t>
  </si>
  <si>
    <t>12.86</t>
  </si>
  <si>
    <t>41.89</t>
  </si>
  <si>
    <t>36.25</t>
  </si>
  <si>
    <t>39.25</t>
  </si>
  <si>
    <t>27.57</t>
  </si>
  <si>
    <t>21.57</t>
  </si>
  <si>
    <t>24.07</t>
  </si>
  <si>
    <t>24.99</t>
  </si>
  <si>
    <t>20.99</t>
  </si>
  <si>
    <t>22.99</t>
  </si>
  <si>
    <t>37.93</t>
  </si>
  <si>
    <t>32.18</t>
  </si>
  <si>
    <t>34.43</t>
  </si>
  <si>
    <t>12.61</t>
  </si>
  <si>
    <t>13.61</t>
  </si>
  <si>
    <t>28.32</t>
  </si>
  <si>
    <t>23.82</t>
  </si>
  <si>
    <t>26.32</t>
  </si>
  <si>
    <t>19.00</t>
  </si>
  <si>
    <t>20.50</t>
  </si>
  <si>
    <t>12.11</t>
  </si>
  <si>
    <t>13.36</t>
  </si>
  <si>
    <t>67.20</t>
  </si>
  <si>
    <t>57.70</t>
  </si>
  <si>
    <t>62.70</t>
  </si>
  <si>
    <t>111</t>
  </si>
  <si>
    <t>11.75</t>
  </si>
  <si>
    <t>12.75</t>
  </si>
  <si>
    <t>57.32</t>
  </si>
  <si>
    <t>47.82</t>
  </si>
  <si>
    <t>51.82</t>
  </si>
  <si>
    <t>43.00</t>
  </si>
  <si>
    <t>48.00</t>
  </si>
  <si>
    <t>46.30</t>
  </si>
  <si>
    <t>40.80</t>
  </si>
  <si>
    <t>43.30</t>
  </si>
  <si>
    <t>14.02</t>
  </si>
  <si>
    <t>14.52</t>
  </si>
  <si>
    <t>50.38</t>
  </si>
  <si>
    <t>14.77</t>
  </si>
  <si>
    <t>13.02</t>
  </si>
  <si>
    <t>13.77</t>
  </si>
  <si>
    <t>31.87</t>
  </si>
  <si>
    <t>30.37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</si>
  <si>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</si>
  <si>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</si>
  <si>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</si>
  <si>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</si>
  <si>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</si>
  <si>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</si>
  <si>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</si>
  <si>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</si>
  <si>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</si>
  <si>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</si>
  <si>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</si>
  <si>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</si>
  <si>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</si>
  <si>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</si>
  <si>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</si>
  <si>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</si>
  <si>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</si>
  <si>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</si>
  <si>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</si>
  <si>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</si>
  <si>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</si>
  <si>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</si>
  <si>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</si>
  <si>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</si>
  <si>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</si>
  <si>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</si>
  <si>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</si>
  <si>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W US 05/15/26 C125</t>
  </si>
  <si>
    <t>RKT US 05/15/26 C25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</si>
  <si>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</si>
  <si>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</si>
  <si>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</si>
  <si>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</si>
  <si>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</si>
  <si>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</si>
  <si>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</si>
  <si>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</si>
  <si>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</si>
  <si>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</si>
  <si>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</si>
  <si>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</si>
  <si>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</si>
  <si>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</si>
  <si>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</si>
  <si>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TSM US 01/16/26 P325</t>
  </si>
  <si>
    <t>TSM US 01/16/26 C335</t>
  </si>
  <si>
    <t>TSM US 01/16/26 P315</t>
  </si>
  <si>
    <t>ASML US 01/23/26 P1200</t>
  </si>
  <si>
    <t>ASML US 01/23/26 P1100</t>
  </si>
  <si>
    <t>AMAT US 01/23/26 P280</t>
  </si>
  <si>
    <t>AMAT US 01/23/26 P290</t>
  </si>
  <si>
    <t>AMAT US 01/16/26 P290</t>
  </si>
  <si>
    <t>AMAT US 01/16/26 P280</t>
  </si>
  <si>
    <t>AMAT</t>
  </si>
  <si>
    <t>Internet/SW</t>
  </si>
  <si>
    <t>AMAT US 01/23/26 P290 Equity</t>
  </si>
  <si>
    <t>AMAT US Equity</t>
  </si>
  <si>
    <t>290</t>
  </si>
  <si>
    <t>AMAT US 01/23/26 P280 Equity</t>
  </si>
  <si>
    <t>280</t>
  </si>
  <si>
    <t>TSM US 01/16/26 P325 Equity</t>
  </si>
  <si>
    <t>325</t>
  </si>
  <si>
    <t>TSM US 01/16/26 P315 Equity</t>
  </si>
  <si>
    <t>315</t>
  </si>
  <si>
    <t>TSM US 01/16/26 C335 Equity</t>
  </si>
  <si>
    <t>335</t>
  </si>
  <si>
    <t>Pairs</t>
  </si>
  <si>
    <t>QQQ US 01/16/26 C635</t>
  </si>
  <si>
    <t>QQQ US 01/16/26 C633</t>
  </si>
  <si>
    <t>QQQ US 01/16/26 P622</t>
  </si>
  <si>
    <t>META US 02/13/26 C630</t>
  </si>
  <si>
    <t>AMZN US 02/13/26 C240</t>
  </si>
  <si>
    <t>MSFT US 02/13/26 C465</t>
  </si>
  <si>
    <t>EWT US 01/16/26 C66.2</t>
  </si>
  <si>
    <t>QQQ US 01/15/26 P623</t>
  </si>
  <si>
    <t>QQQ US 01/15/26 P622</t>
  </si>
  <si>
    <t>QQQ US 01/15/26 P621</t>
  </si>
  <si>
    <t>AMAT US 02/06/26 C340</t>
  </si>
  <si>
    <t>AMAT US 02/20/26 C340</t>
  </si>
  <si>
    <t>KLAC US 01/23/26 C1600</t>
  </si>
  <si>
    <t>KLAC US 02/06/26 C1600</t>
  </si>
  <si>
    <t>QQQ US 01/16/26 C633 Equity</t>
  </si>
  <si>
    <t>633</t>
  </si>
  <si>
    <t>QQQ US 01/16/26 C635 Equity</t>
  </si>
  <si>
    <t>635</t>
  </si>
  <si>
    <t>QQQ US 01/16/26 C622</t>
  </si>
  <si>
    <t>QQQ US 01/16/26 C622 Equity</t>
  </si>
  <si>
    <t>622</t>
  </si>
  <si>
    <t>QQQ US 01/16/26 P622 Equity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</si>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</sst>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  <font>
      <sz val="11"/>
      <color rgb="FF000000"/>
      <name val="Aptos Narrow"/>
      <family val="2"/>
    </font>
  </fonts>
  <fills count="9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56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5" fillId="88" borderId="0" xfId="0" applyFont="1" applyFill="1" applyAlignment="1">
      <alignment horizontal="center"/>
    </xf>
    <xf numFmtId="0" fontId="3" fillId="93" borderId="46" xfId="0" applyFont="1" applyFill="1" applyBorder="1" applyAlignment="1">
      <alignment horizontal="left"/>
    </xf>
    <xf numFmtId="0" fontId="3" fillId="94" borderId="47" xfId="0" applyFont="1" applyFill="1" applyBorder="1" applyAlignment="1">
      <alignment horizontal="center"/>
    </xf>
    <xf numFmtId="0" fontId="3" fillId="94" borderId="48" xfId="0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3" fillId="94" borderId="50" xfId="0" applyFont="1" applyFill="1" applyBorder="1" applyAlignment="1">
      <alignment horizontal="center"/>
    </xf>
    <xf numFmtId="0" fontId="3" fillId="94" borderId="51" xfId="0" applyFont="1" applyFill="1" applyBorder="1" applyAlignment="1">
      <alignment horizontal="center"/>
    </xf>
    <xf numFmtId="0" fontId="3" fillId="94" borderId="52" xfId="0" applyFont="1" applyFill="1" applyBorder="1" applyAlignment="1">
      <alignment horizontal="center"/>
    </xf>
    <xf numFmtId="0" fontId="3" fillId="95" borderId="49" xfId="0" applyFont="1" applyFill="1" applyBorder="1" applyAlignment="1">
      <alignment horizontal="center"/>
    </xf>
    <xf numFmtId="0" fontId="3" fillId="94" borderId="53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2" fontId="15" fillId="96" borderId="0" xfId="0" applyNumberFormat="1" applyFont="1" applyFill="1" applyAlignment="1">
      <alignment horizontal="center"/>
    </xf>
    <xf numFmtId="2" fontId="15" fillId="96" borderId="18" xfId="0" applyNumberFormat="1" applyFont="1" applyFill="1" applyBorder="1" applyAlignment="1">
      <alignment horizontal="center"/>
    </xf>
    <xf numFmtId="2" fontId="15" fillId="96" borderId="1" xfId="0" applyNumberFormat="1" applyFont="1" applyFill="1" applyBorder="1" applyAlignment="1">
      <alignment horizontal="center"/>
    </xf>
    <xf numFmtId="183" fontId="15" fillId="96" borderId="0" xfId="0" applyNumberFormat="1" applyFont="1" applyFill="1" applyAlignment="1">
      <alignment horizontal="center"/>
    </xf>
    <xf numFmtId="0" fontId="28" fillId="0" borderId="0" xfId="0" applyFont="1"/>
    <xf numFmtId="0" fontId="15" fillId="0" borderId="0" xfId="0" quotePrefix="1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15" fillId="0" borderId="0" xfId="0" applyFont="1" applyAlignment="1">
      <alignment horizontal="left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0" fontId="86" fillId="0" borderId="0" xfId="0" applyFont="1" applyAlignment="1">
      <alignment horizontal="center"/>
    </xf>
    <xf numFmtId="196" fontId="0" fillId="0" borderId="0" xfId="0" applyNumberFormat="1"/>
    <xf numFmtId="172" fontId="0" fillId="6" borderId="0" xfId="1" applyNumberFormat="1" applyFont="1" applyFill="1"/>
    <xf numFmtId="0" fontId="0" fillId="6" borderId="0" xfId="0" applyFill="1"/>
    <xf numFmtId="166" fontId="0" fillId="6" borderId="0" xfId="190" applyNumberFormat="1" applyFont="1" applyFill="1"/>
    <xf numFmtId="10" fontId="0" fillId="6" borderId="0" xfId="1" applyNumberFormat="1" applyFont="1" applyFill="1"/>
    <xf numFmtId="4" fontId="0" fillId="6" borderId="0" xfId="190" applyFont="1" applyFill="1"/>
    <xf numFmtId="4" fontId="28" fillId="6" borderId="0" xfId="190" applyFont="1" applyFill="1"/>
    <xf numFmtId="4" fontId="86" fillId="6" borderId="0" xfId="190" applyFont="1" applyFill="1"/>
    <xf numFmtId="9" fontId="0" fillId="6" borderId="0" xfId="1" applyFont="1" applyFill="1"/>
    <xf numFmtId="170" fontId="1" fillId="6" borderId="0" xfId="190" applyNumberFormat="1" applyFont="1" applyFill="1"/>
    <xf numFmtId="43" fontId="0" fillId="6" borderId="0" xfId="190" quotePrefix="1" applyNumberFormat="1" applyFont="1" applyFill="1"/>
    <xf numFmtId="4" fontId="1" fillId="6" borderId="0" xfId="190" applyFont="1" applyFill="1" applyAlignment="1">
      <alignment horizontal="right"/>
    </xf>
    <xf numFmtId="167" fontId="0" fillId="6" borderId="0" xfId="190" applyNumberFormat="1" applyFont="1" applyFill="1"/>
    <xf numFmtId="195" fontId="0" fillId="6" borderId="0" xfId="190" applyNumberFormat="1" applyFont="1" applyFill="1"/>
    <xf numFmtId="170" fontId="0" fillId="6" borderId="0" xfId="190" applyNumberFormat="1" applyFont="1" applyFill="1"/>
    <xf numFmtId="171" fontId="0" fillId="6" borderId="0" xfId="190" applyNumberFormat="1" applyFont="1" applyFill="1"/>
    <xf numFmtId="172" fontId="0" fillId="6" borderId="0" xfId="0" applyNumberFormat="1" applyFill="1"/>
    <xf numFmtId="169" fontId="0" fillId="6" borderId="0" xfId="190" applyNumberFormat="1" applyFont="1" applyFill="1"/>
    <xf numFmtId="2" fontId="0" fillId="6" borderId="0" xfId="0" applyNumberFormat="1" applyFill="1"/>
    <xf numFmtId="166" fontId="0" fillId="0" borderId="0" xfId="0" applyNumberFormat="1" applyAlignment="1">
      <alignment horizontal="right"/>
    </xf>
    <xf numFmtId="4" fontId="28" fillId="97" borderId="0" xfId="190" applyFont="1" applyFill="1"/>
    <xf numFmtId="0" fontId="0" fillId="97" borderId="0" xfId="0" applyFill="1"/>
    <xf numFmtId="166" fontId="0" fillId="97" borderId="0" xfId="190" applyNumberFormat="1" applyFont="1" applyFill="1"/>
    <xf numFmtId="4" fontId="86" fillId="97" borderId="0" xfId="190" applyFont="1" applyFill="1"/>
    <xf numFmtId="43" fontId="0" fillId="97" borderId="0" xfId="190" applyNumberFormat="1" applyFont="1" applyFill="1"/>
    <xf numFmtId="10" fontId="0" fillId="97" borderId="0" xfId="1" applyNumberFormat="1" applyFont="1" applyFill="1"/>
    <xf numFmtId="9" fontId="0" fillId="97" borderId="0" xfId="1" applyFont="1" applyFill="1"/>
    <xf numFmtId="172" fontId="0" fillId="97" borderId="0" xfId="1" applyNumberFormat="1" applyFont="1" applyFill="1"/>
    <xf numFmtId="170" fontId="1" fillId="97" borderId="0" xfId="190" applyNumberFormat="1" applyFont="1" applyFill="1"/>
    <xf numFmtId="43" fontId="0" fillId="97" borderId="0" xfId="190" quotePrefix="1" applyNumberFormat="1" applyFont="1" applyFill="1"/>
    <xf numFmtId="4" fontId="1" fillId="97" borderId="0" xfId="190" applyFont="1" applyFill="1" applyAlignment="1">
      <alignment horizontal="right"/>
    </xf>
    <xf numFmtId="167" fontId="0" fillId="97" borderId="0" xfId="190" applyNumberFormat="1" applyFont="1" applyFill="1"/>
    <xf numFmtId="195" fontId="0" fillId="97" borderId="0" xfId="190" applyNumberFormat="1" applyFont="1" applyFill="1"/>
    <xf numFmtId="170" fontId="0" fillId="97" borderId="0" xfId="190" applyNumberFormat="1" applyFont="1" applyFill="1"/>
    <xf numFmtId="171" fontId="0" fillId="97" borderId="0" xfId="190" applyNumberFormat="1" applyFont="1" applyFill="1"/>
    <xf numFmtId="172" fontId="0" fillId="97" borderId="0" xfId="0" applyNumberFormat="1" applyFill="1"/>
    <xf numFmtId="4" fontId="0" fillId="97" borderId="0" xfId="190" applyFont="1" applyFill="1"/>
    <xf numFmtId="169" fontId="0" fillId="97" borderId="0" xfId="190" applyNumberFormat="1" applyFont="1" applyFill="1"/>
    <xf numFmtId="2" fontId="0" fillId="97" borderId="0" xfId="0" applyNumberFormat="1" applyFill="1"/>
    <xf numFmtId="172" fontId="6" fillId="6" borderId="0" xfId="1" applyNumberFormat="1" applyFont="1" applyFill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0" fontId="106" fillId="0" borderId="0" xfId="0" applyNumberFormat="1" applyFont="1" applyFill="1" applyAlignment="1">
      <alignment horizontal="center" vertical="center" wrapText="1"/>
    </xf>
    <xf numFmtId="0" fontId="105" fillId="0" borderId="0" xfId="0" applyFont="1" applyFill="1" applyAlignment="1">
      <alignment horizontal="left"/>
    </xf>
    <xf numFmtId="172" fontId="105" fillId="0" borderId="0" xfId="0" applyNumberFormat="1" applyFont="1" applyFill="1" applyAlignment="1"/>
    <xf numFmtId="10" fontId="105" fillId="0" borderId="0" xfId="0" applyNumberFormat="1" applyFont="1" applyFill="1" applyAlignment="1"/>
    <xf numFmtId="0" fontId="105" fillId="0" borderId="0" xfId="0" applyFont="1" applyFill="1" applyAlignment="1">
      <alignment horizontal="left" indent="1"/>
    </xf>
    <xf numFmtId="170" fontId="105" fillId="0" borderId="0" xfId="0" applyNumberFormat="1" applyFont="1" applyFill="1" applyAlignment="1"/>
    <xf numFmtId="10" fontId="105" fillId="0" borderId="0" xfId="0" applyNumberFormat="1" applyFont="1" applyFill="1" applyAlignment="1">
      <alignment horizontal="center" vertical="center" wrapText="1"/>
    </xf>
    <xf numFmtId="0" fontId="105" fillId="0" borderId="0" xfId="0" applyFont="1" applyFill="1" applyAlignment="1">
      <alignment horizontal="center" vertical="center" wrapText="1"/>
    </xf>
    <xf numFmtId="4" fontId="28" fillId="10" borderId="0" xfId="190" applyFont="1" applyFill="1"/>
    <xf numFmtId="166" fontId="0" fillId="10" borderId="0" xfId="190" applyNumberFormat="1" applyFont="1" applyFill="1"/>
    <xf numFmtId="4" fontId="86" fillId="10" borderId="0" xfId="190" applyFont="1" applyFill="1"/>
    <xf numFmtId="9" fontId="0" fillId="10" borderId="0" xfId="1" applyFont="1" applyFill="1"/>
    <xf numFmtId="172" fontId="0" fillId="10" borderId="0" xfId="1" applyNumberFormat="1" applyFont="1" applyFill="1"/>
    <xf numFmtId="170" fontId="1" fillId="10" borderId="0" xfId="190" applyNumberFormat="1" applyFont="1" applyFill="1"/>
    <xf numFmtId="43" fontId="0" fillId="10" borderId="0" xfId="190" quotePrefix="1" applyNumberFormat="1" applyFont="1" applyFill="1"/>
    <xf numFmtId="4" fontId="1" fillId="10" borderId="0" xfId="190" applyFont="1" applyFill="1" applyAlignment="1">
      <alignment horizontal="right"/>
    </xf>
    <xf numFmtId="167" fontId="0" fillId="10" borderId="0" xfId="190" applyNumberFormat="1" applyFont="1" applyFill="1"/>
    <xf numFmtId="195" fontId="0" fillId="10" borderId="0" xfId="190" applyNumberFormat="1" applyFont="1" applyFill="1"/>
    <xf numFmtId="170" fontId="0" fillId="10" borderId="0" xfId="190" applyNumberFormat="1" applyFont="1" applyFill="1"/>
    <xf numFmtId="171" fontId="0" fillId="10" borderId="0" xfId="190" applyNumberFormat="1" applyFont="1" applyFill="1"/>
    <xf numFmtId="172" fontId="0" fillId="10" borderId="0" xfId="0" applyNumberFormat="1" applyFill="1"/>
    <xf numFmtId="169" fontId="0" fillId="10" borderId="0" xfId="190" applyNumberFormat="1" applyFont="1" applyFill="1"/>
    <xf numFmtId="2" fontId="0" fillId="10" borderId="0" xfId="0" applyNumberFormat="1" applyFill="1"/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812"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-0.12200579047203064</v>
        <stp/>
        <stp>BDP|7089862060470095058|22</stp>
        <stp>TSM US 03/20/26 C300 Equity</stp>
        <stp>theta_mid_rt</stp>
        <tr r="AN30" s="2"/>
      </tp>
      <tp>
        <v>26844.959999999999</v>
        <stp/>
        <stp>BDP|17098946093906753306|22</stp>
        <stp>HSI Index</stp>
        <stp>LAST_PRICE</stp>
        <tr r="H18" s="252"/>
        <tr r="H18" s="252"/>
      </tp>
      <tp t="s">
        <v>USD</v>
        <stp/>
        <stp>BDP|795827357083289767|22</stp>
        <stp>EWT US 01/16/26 C66.2 Equity</stp>
        <stp>QUOTED_CURRENCY_REALTIME</stp>
        <tr r="F178" s="89"/>
      </tp>
      <tp>
        <v>29.25</v>
        <stp/>
        <stp>BDP|3309468697196509506|22</stp>
        <stp>META US 04/17/26 P600 Equity</stp>
        <stp>ask</stp>
        <tr r="Q13" s="2"/>
        <tr r="L180" s="89"/>
      </tp>
      <tp>
        <v>400.39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>
        <v>0.21</v>
        <stp/>
        <stp>BDP|6734297528663565888|22</stp>
        <stp>AMAT US 01/23/26 P290 Equity</stp>
        <stp>mid</stp>
        <tr r="L21" s="2"/>
      </tp>
      <tp t="s">
        <v>#N/A Real Time</v>
        <stp/>
        <stp>BDP|9106857053131827566|22</stp>
        <stp>SPXW US 12/31/25 C6950 Index</stp>
        <stp>DELTA_MID_RT</stp>
        <tr r="W160" s="89"/>
      </tp>
      <tp>
        <v>0.30412530899047852</v>
        <stp/>
        <stp>BDP|16080044180315030458|22</stp>
        <stp>META US 04/17/26 C690 Equity</stp>
        <stp>DELTA_MID_RT</stp>
        <tr r="AF12" s="2"/>
        <tr r="W170" s="89"/>
        <tr r="W179" s="89"/>
      </tp>
      <tp>
        <v>0.28000000000000003</v>
        <stp/>
        <stp>BDP|9946810605715956638|22</stp>
        <stp>AMAT US 01/23/26 P280 Equity</stp>
        <stp>ask</stp>
        <tr r="Q22" s="2"/>
        <tr r="L56" s="89"/>
      </tp>
      <tp t="s">
        <v>#N/A Real Time</v>
        <stp/>
        <stp>BDP|11300741965508391655|22</stp>
        <stp>4OZ5C 25750 Index</stp>
        <stp>ask</stp>
        <tr r="L153" s="89"/>
        <tr r="L154" s="89"/>
      </tp>
      <tp t="s">
        <v>#N/A Real Time</v>
        <stp/>
        <stp>BDP|16888886214969650580|22</stp>
        <stp>AMZN US 10/03/25 P220 Equity</stp>
        <stp>DELTA_MID_RT</stp>
        <tr r="W251" s="89"/>
      </tp>
      <tp t="s">
        <v>#N/A Real Time</v>
        <stp/>
        <stp>BDP|17004938457418083954|22</stp>
        <stp>META US 10/03/25 P730 Equity</stp>
        <stp>DELTA_MID_RT</stp>
        <tr r="W252" s="89"/>
      </tp>
      <tp>
        <v>0.640880286693573</v>
        <stp/>
        <stp>BDP|594663736070453413|22</stp>
        <stp>TSM US 03/20/26 C330 Equity</stp>
        <stp>DELTA_MID_RT</stp>
        <tr r="W8" s="89"/>
      </tp>
      <tp t="s">
        <v>#N/A Real Time</v>
        <stp/>
        <stp>BDP|4173700437419483715|22</stp>
        <stp>IMBWK5C4 5880 Index</stp>
        <stp>bid</stp>
        <tr r="K90" s="89"/>
      </tp>
      <tp>
        <v>0.47550570964813232</v>
        <stp/>
        <stp>BDP|11059128900050139045|22</stp>
        <stp>META US 02/13/26 C630 Equity</stp>
        <stp>DELTA_MID_RT</stp>
        <tr r="W233" s="89"/>
      </tp>
      <tp>
        <v>0.11</v>
        <stp/>
        <stp>BDP|1660304564695201690|22</stp>
        <stp>AMAT US 01/23/26 P290 Equity</stp>
        <stp>bid</stp>
        <tr r="P21" s="2"/>
        <tr r="K55" s="89"/>
      </tp>
      <tp>
        <v>18.5</v>
        <stp/>
        <stp>BDP|2905463583307910060|22</stp>
        <stp>META US 04/17/26 P570 Equity</stp>
        <stp>ask</stp>
        <tr r="Q14" s="2"/>
      </tp>
      <tp>
        <v>-0.26492705941200256</v>
        <stp/>
        <stp>BDP|16178066503720423746|22</stp>
        <stp>META US 04/17/26 P570 Equity</stp>
        <stp>DELTA_MID_RT</stp>
        <tr r="AF14" s="2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USD</v>
        <stp/>
        <stp>BDP|6836574577411751820|22</stp>
        <stp>MRVL US 03/20/26 P75 Equity</stp>
        <stp>QUOTED_CURRENCY_REALTIME</stp>
        <tr r="G17" s="2"/>
      </tp>
      <tp>
        <v>12.75</v>
        <stp/>
        <stp>BDP|6325338273908007494|22</stp>
        <stp>W US 05/15/26 C125 Equity</stp>
        <stp>bid</stp>
        <tr r="K40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>
        <v>-0.31996399164199829</v>
        <stp/>
        <stp>BDP|11545238209792372403|22</stp>
        <stp>NFLX US 03/20/26 P83 Equity</stp>
        <stp>DELTA_MID_RT</stp>
        <tr r="AF25" s="2"/>
      </tp>
      <tp>
        <v>-0.10946474224328995</v>
        <stp/>
        <stp>BDP|2162853239863021436|22</stp>
        <stp>TSM US 06/18/26 C380 Equity</stp>
        <stp>theta_mid_rt</stp>
        <tr r="AN27" s="2"/>
        <tr r="AN29" s="2"/>
      </tp>
      <tp>
        <v>47.6</v>
        <stp/>
        <stp>BDP|4238048935133024019|22</stp>
        <stp>AVGO US 06/18/26 C350 Equity</stp>
        <stp>mid</stp>
        <tr r="L6" s="2"/>
      </tp>
      <tp>
        <v>0.03</v>
        <stp/>
        <stp>BDP|7439765758104486583|22</stp>
        <stp>AMAT US 01/23/26 P280 Equity</stp>
        <stp>bid</stp>
        <tr r="P22" s="2"/>
        <tr r="K56" s="89"/>
      </tp>
      <tp>
        <v>25.05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42" s="89"/>
      </tp>
      <tp>
        <v>4.1500000000000004</v>
        <stp/>
        <stp>BDP|7193738401945199132|22</stp>
        <stp>MSFT US 03/20/26 C515 Equity</stp>
        <stp>bid</stp>
        <tr r="P18" s="2"/>
      </tp>
      <tp>
        <v>13.55</v>
        <stp/>
        <stp>BDP|1494523756144102558|22</stp>
        <stp>W US 05/15/26 C125 Equity</stp>
        <stp>ask</stp>
        <tr r="L40" s="89"/>
      </tp>
      <tp>
        <v>14.15</v>
        <stp/>
        <stp>BDP|7347011027746330515|22</stp>
        <stp>MSFT US 02/13/26 C465 Equity</stp>
        <stp>ask</stp>
        <tr r="L235" s="89"/>
      </tp>
      <tp t="s">
        <v>#N/A Real Time</v>
        <stp/>
        <stp>BDP|2533983096932488351|22</stp>
        <stp>RTYWU5C3 2425 Index</stp>
        <stp>bid</stp>
        <tr r="K144" s="89"/>
      </tp>
      <tp>
        <v>54.44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0.24924589693546295</v>
        <stp/>
        <stp>BDP|14091170888152008254|22</stp>
        <stp>ASHR US 02/20/26 C35 Equity</stp>
        <stp>DELTA_MID_RT</stp>
        <tr r="AF4" s="2"/>
      </tp>
      <tp t="s">
        <v>#N/A Real Time</v>
        <stp/>
        <stp>BDP|3206462138727522096|22</stp>
        <stp>META US 10/03/25 P730 Equity</stp>
        <stp>bid</stp>
        <tr r="K252" s="89"/>
      </tp>
      <tp t="s">
        <v>#N/A Real Time</v>
        <stp/>
        <stp>BDP|3350828662352011280|22</stp>
        <stp>RFSWZ4C3 2360 Index</stp>
        <stp>ask</stp>
        <tr r="L122" s="89"/>
      </tp>
      <tp>
        <v>9.4499999999999993</v>
        <stp/>
        <stp>BDP|5417705247970728008|22</stp>
        <stp>MSFT US 03/20/26 C490 Equity</stp>
        <stp>bid</stp>
        <tr r="P19" s="2"/>
      </tp>
      <tp>
        <v>459.86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42" s="89"/>
      </tp>
      <tp>
        <v>0</v>
        <stp/>
        <stp>BDP|4492896782089510873|22</stp>
        <stp>TSM US 01/16/26 P315 Equity</stp>
        <stp>theta_mid_rt</stp>
        <tr r="AN33" s="2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42" s="89"/>
      </tp>
      <tp>
        <v>23.24</v>
        <stp/>
        <stp>BDP|9846539138093835445|22</stp>
        <stp>RKT US Equity</stp>
        <stp>LAST_PRICE</stp>
        <tr r="S39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USD</v>
        <stp/>
        <stp>BDP|7525271008399615963|22</stp>
        <stp>MRVL US 03/20/26 P80 Equity</stp>
        <stp>QUOTED_CURRENCY_REALTIME</stp>
        <tr r="G16" s="2"/>
      </tp>
      <tp>
        <v>-0.51095777750015259</v>
        <stp/>
        <stp>BDP|14063713080232141765|22</stp>
        <stp>NFLX US 03/20/26 P90 Equity</stp>
        <stp>DELTA_MID_RT</stp>
        <tr r="W187" s="89"/>
      </tp>
      <tp>
        <v>67.849999999999994</v>
        <stp/>
        <stp>BDP|3505174117914270567|22</stp>
        <stp>KRE Equity</stp>
        <stp>LAST PRICE</stp>
        <tr r="I54" s="338"/>
      </tp>
      <tp>
        <v>0.32034686207771301</v>
        <stp/>
        <stp>BDP|18353628177462926305|22</stp>
        <stp>LITE US 02/20/26 C400 Equity</stp>
        <stp>DELTA_MID_RT</stp>
        <tr r="AF11" s="2"/>
      </tp>
      <tp>
        <v>265.76</v>
        <stp/>
        <stp>BDP|9630309169962502325|22</stp>
        <stp>IWM Equity</stp>
        <stp>LAST PRICE</stp>
        <tr r="I48" s="338"/>
        <tr r="I49" s="338"/>
      </tp>
      <tp>
        <v>23.6</v>
        <stp/>
        <stp>BDP|7388148187004250256|22</stp>
        <stp>META US 02/13/26 C630 Equity</stp>
        <stp>ask</stp>
        <tr r="L233" s="89"/>
      </tp>
      <tp>
        <v>0.4790661633014679</v>
        <stp/>
        <stp>BDP|15277610037791176969|22</stp>
        <stp>MSFT US 02/13/26 C465 Equity</stp>
        <stp>DELTA_MID_RT</stp>
        <tr r="W235" s="89"/>
      </tp>
      <tp t="s">
        <v>#N/A N/A</v>
        <stp/>
        <stp>BDP|11176820813840830211</stp>
        <tr r="K1" s="2"/>
      </tp>
      <tp t="s">
        <v>#N/A Requesting Data...3493831341</v>
        <stp/>
        <stp>BDP|15582332073698885344</stp>
        <tr r="G19" s="446"/>
      </tp>
      <tp t="s">
        <v>#N/A N/A</v>
        <stp/>
        <stp>BDP|18146375769712507536</stp>
        <tr r="E2" s="1"/>
        <tr r="K34" s="1"/>
      </tp>
      <tp t="s">
        <v>#N/A Requesting Data...4146879738</v>
        <stp/>
        <stp>BDP|13135230879275111937</stp>
        <tr r="AJ12" s="338"/>
      </tp>
      <tp t="s">
        <v>#N/A Requesting Data...3860693056</v>
        <stp/>
        <stp>BDP|17278629169738623577</stp>
        <tr r="N19" s="252"/>
        <tr r="N19" s="252"/>
      </tp>
      <tp t="s">
        <v>#N/A Requesting Data...3565144930</v>
        <stp/>
        <stp>BDP|15581562198526337530</stp>
        <tr r="AK12" s="338"/>
      </tp>
      <tp t="s">
        <v>#N/A Requesting Data...3605029025</v>
        <stp/>
        <stp>BDP|13286384604342093849</stp>
        <tr r="X45" s="338"/>
      </tp>
      <tp t="s">
        <v>#N/A Requesting Data...4270401398</v>
        <stp/>
        <stp>BDP|15717048336038730484</stp>
        <tr r="AD20" s="2"/>
      </tp>
      <tp t="s">
        <v>#N/A Requesting Data...3768226394</v>
        <stp/>
        <stp>BDP|15599247768549271262</stp>
        <tr r="AD18" s="2"/>
      </tp>
      <tp t="s">
        <v>#N/A Requesting Data...4160351673</v>
        <stp/>
        <stp>BDP|17930893689098542515</stp>
        <tr r="F7" s="2"/>
      </tp>
      <tp t="s">
        <v>#N/A N/A</v>
        <stp/>
        <stp>BDP|17297445993287986713</stp>
        <tr r="Q15" s="338"/>
        <tr r="Q39" s="338"/>
      </tp>
      <tp t="s">
        <v>#N/A Requesting Data...3928089267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Data...3823975694</v>
        <stp/>
        <stp>BDP|18304888293894101754</stp>
        <tr r="S9" s="338"/>
      </tp>
      <tp t="s">
        <v>#N/A Requesting Data...4089883012</v>
        <stp/>
        <stp>BDP|10639276692284852548</stp>
        <tr r="F28" s="446"/>
      </tp>
      <tp t="s">
        <v>#N/A N/A</v>
        <stp/>
        <stp>BDP|16042381396077662161</stp>
        <tr r="Q51" s="338"/>
      </tp>
      <tp t="s">
        <v>#N/A Requesting Data...3380351174</v>
        <stp/>
        <stp>BDP|10749518787913680498</stp>
        <tr r="G41" s="446"/>
      </tp>
      <tp t="s">
        <v>#N/A Requesting Data...3463649276</v>
        <stp/>
        <stp>BDP|15491877244086779510</stp>
        <tr r="C90" s="89"/>
      </tp>
      <tp t="s">
        <v>#N/A N/A</v>
        <stp/>
        <stp>BDP|15119105356728105374</stp>
        <tr r="AQ21" s="2"/>
        <tr r="AQ22" s="2"/>
        <tr r="AB33" s="89"/>
        <tr r="AB34" s="89"/>
        <tr r="AB55" s="89"/>
        <tr r="AB56" s="89"/>
        <tr r="AB62" s="89"/>
        <tr r="AB63" s="89"/>
      </tp>
      <tp t="s">
        <v>#N/A Requesting Data...3709026173</v>
        <stp/>
        <stp>BDP|14781319439677828976</stp>
        <tr r="T254" s="89"/>
      </tp>
      <tp t="s">
        <v>#N/A Requesting Data...3227703026</v>
        <stp/>
        <stp>BDP|12497145892616892699</stp>
        <tr r="D102" s="89"/>
      </tp>
      <tp t="s">
        <v>#N/A Requesting Data...4206588810</v>
        <stp/>
        <stp>BDP|11965805839973703340</stp>
        <tr r="E19" s="2"/>
      </tp>
      <tp t="s">
        <v>#N/A Requesting Data...3685924640</v>
        <stp/>
        <stp>BDP|14492417491683249054</stp>
        <tr r="AJ41" s="338"/>
        <tr r="AJ42" s="338"/>
      </tp>
      <tp t="s">
        <v>#N/A Requesting Data...3227546275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BDP|11110246374779546761</stp>
        <tr r="AB39" s="89"/>
      </tp>
      <tp t="s">
        <v>#N/A N/A</v>
        <stp/>
        <stp>BDP|14891875496009468680</stp>
        <tr r="R108" s="89"/>
      </tp>
      <tp t="s">
        <v>#N/A Requesting Data...3865144246</v>
        <stp/>
        <stp>BDP|10020321410941159965</stp>
        <tr r="S42" s="338"/>
      </tp>
      <tp t="s">
        <v>#N/A Requesting Data...3759426563</v>
        <stp/>
        <stp>BDP|11794748141588350041</stp>
        <tr r="AJ8" s="338"/>
        <tr r="AJ9" s="338"/>
      </tp>
      <tp t="s">
        <v>#N/A Requesting Data...3356418270</v>
        <stp/>
        <stp>BDP|17696403981143148225</stp>
        <tr r="O63" s="89"/>
      </tp>
      <tp t="s">
        <v>#N/A Requesting Data...3712837367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Data...3893115610</v>
        <stp/>
        <stp>BDP|16761382649589718257</stp>
        <tr r="F27" s="446"/>
      </tp>
      <tp t="s">
        <v>#N/A N/A</v>
        <stp/>
        <stp>BDP|12777245075464191905</stp>
        <tr r="K38" s="1"/>
      </tp>
      <tp t="s">
        <v>#N/A Requesting Data...4043759212</v>
        <stp/>
        <stp>BDP|11629287799981255124</stp>
        <tr r="C68" s="89"/>
      </tp>
      <tp t="s">
        <v>#N/A N/A</v>
        <stp/>
        <stp>BDP|10560430593062313514</stp>
        <tr r="AG37" s="1"/>
      </tp>
      <tp t="s">
        <v>#N/A Requesting Data...3339077298</v>
        <stp/>
        <stp>BDP|16840971447896964779</stp>
        <tr r="C153" s="89"/>
        <tr r="C154" s="89"/>
      </tp>
      <tp t="s">
        <v>#N/A N/A</v>
        <stp/>
        <stp>BDP|13546818454494181070</stp>
        <tr r="AC37" s="1"/>
      </tp>
      <tp t="s">
        <v>#N/A N/A</v>
        <stp/>
        <stp>BDH|13738887449592482730</stp>
        <tr r="AM42" s="338"/>
        <tr r="AM41" s="338"/>
      </tp>
      <tp t="e">
        <v>#N/A</v>
        <stp/>
        <stp>BDH|10097910716274795641</stp>
        <tr r="W18" s="252"/>
        <tr r="T18" s="252"/>
      </tp>
      <tp t="s">
        <v>#N/A N/A</v>
        <stp/>
        <stp>BDH|18225395005828739903</stp>
        <tr r="AN37" s="338"/>
      </tp>
      <tp t="s">
        <v>#N/A N/A</v>
        <stp/>
        <stp>BDH|13226858905779242884</stp>
        <tr r="AM18" s="338"/>
        <tr r="AM17" s="338"/>
      </tp>
      <tp>
        <v>0.94442856311798096</v>
        <stp/>
        <stp>BDP|4710820818482539208|22</stp>
        <stp>EWT US 01/16/26 C66.2 Equity</stp>
        <stp>DELTA_MID_RT</stp>
        <tr r="W178" s="89"/>
      </tp>
      <tp t="s">
        <v>#N/A Real Time</v>
        <stp/>
        <stp>BDP|14244088115833890454|22</stp>
        <stp>SCH5C   6250 Index</stp>
        <stp>DELTA_MID_RT</stp>
        <tr r="W96" s="89"/>
      </tp>
      <tp>
        <v>0.38731756806373596</v>
        <stp/>
        <stp>BDP|15091267836171787049|22</stp>
        <stp>AVGO US 06/18/26 C410 Equity</stp>
        <stp>DELTA_MID_RT</stp>
        <tr r="AF5" s="2"/>
        <tr r="W222" s="89"/>
      </tp>
      <tp>
        <v>19.45</v>
        <stp/>
        <stp>BDP|9892279240398643988|22</stp>
        <stp>AVGO US 06/18/26 P300 Equity</stp>
        <stp>bid</stp>
        <tr r="K224" s="89"/>
      </tp>
      <tp>
        <v>0.17449519038200378</v>
        <stp/>
        <stp>BDP|15345195851714362356|22</stp>
        <stp>NFLX US 03/20/26 C105 Equity</stp>
        <stp>DELTA_MID_RT</stp>
        <tr r="W186" s="89"/>
      </tp>
      <tp t="s">
        <v>#N/A Requesting Data...3845676233</v>
        <stp/>
        <stp>BDP|10012511909979354724</stp>
        <tr r="E10" s="2"/>
        <tr r="E9" s="2"/>
      </tp>
      <tp t="s">
        <v>#N/A Requesting Data...3284254444</v>
        <stp/>
        <stp>BDP|14708527546846978837</stp>
        <tr r="F22" s="446"/>
      </tp>
      <tp t="s">
        <v>#N/A Requesting Data...4052204230</v>
        <stp/>
        <stp>BDP|17382508591454336498</stp>
        <tr r="F10" s="446"/>
      </tp>
      <tp t="s">
        <v>#N/A Requesting Data...3735523389</v>
        <stp/>
        <stp>BDP|15393992280169008616</stp>
        <tr r="F24" s="446"/>
      </tp>
      <tp t="s">
        <v>#N/A Requesting Data...3934122825</v>
        <stp/>
        <stp>BDP|17538921220052801541</stp>
        <tr r="AA187" s="89"/>
        <tr r="Z187" s="89"/>
      </tp>
      <tp t="s">
        <v>#N/A Requesting Data...3910499351</v>
        <stp/>
        <stp>BDP|10256865635189905931</stp>
        <tr r="AC24" s="1"/>
        <tr r="D26" s="446"/>
      </tp>
      <tp t="s">
        <v>#N/A Requesting Data...3833365733</v>
        <stp/>
        <stp>BDP|16326536432018842310</stp>
        <tr r="E102" s="89"/>
      </tp>
      <tp t="s">
        <v>#N/A Requesting Data...3674527143</v>
        <stp/>
        <stp>BDP|15999422797854397750</stp>
        <tr r="V8" s="89"/>
      </tp>
      <tp t="s">
        <v>#N/A Requesting Data...3660267955</v>
        <stp/>
        <stp>BDP|11291613004685235986</stp>
        <tr r="T40" s="89"/>
      </tp>
      <tp t="s">
        <v>#N/A Requesting Data...4128264693</v>
        <stp/>
        <stp>BDP|12440136437213832850</stp>
        <tr r="T26" s="89"/>
      </tp>
      <tp t="s">
        <v>#N/A Requesting Data...4030367578</v>
        <stp/>
        <stp>BDP|14305045698741171731</stp>
        <tr r="AD17" s="2"/>
      </tp>
      <tp t="s">
        <v>#N/A Requesting Data...4008256487</v>
        <stp/>
        <stp>BDP|10846290148809317467</stp>
        <tr r="T47" s="338"/>
      </tp>
      <tp t="s">
        <v>#N/A Requesting Data...3365207496</v>
        <stp/>
        <stp>BDP|17908300451053627923</stp>
        <tr r="C17" s="2"/>
      </tp>
      <tp t="s">
        <v>#N/A Requesting Data...3329081675</v>
        <stp/>
        <stp>BDP|10729702219529538443</stp>
        <tr r="V235" s="89"/>
      </tp>
      <tp t="s">
        <v>#N/A Requesting Data...3459573685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Data...3417362655</v>
        <stp/>
        <stp>BDP|14945010294650760658</stp>
        <tr r="L37" s="338"/>
        <tr r="H37" s="338"/>
      </tp>
      <tp t="s">
        <v>#N/A Requesting Data...3601374362</v>
        <stp/>
        <stp>BDP|14401677888193175241</stp>
        <tr r="C249" s="89"/>
      </tp>
      <tp t="s">
        <v>#N/A Requesting Data...3983044887</v>
        <stp/>
        <stp>BDP|12625403616855824991</stp>
        <tr r="F15" s="446"/>
      </tp>
      <tp t="s">
        <v>#N/A Requesting Data...3389231168</v>
        <stp/>
        <stp>BDP|14416377574372571935</stp>
        <tr r="D101" s="89"/>
      </tp>
      <tp t="s">
        <v>#N/A Requesting Data...3444676728</v>
        <stp/>
        <stp>BDP|14211913292458117708</stp>
        <tr r="E27" s="89"/>
      </tp>
      <tp t="s">
        <v>#N/A Requesting Data...3865782834</v>
        <stp/>
        <stp>BDP|10942621120688011798</stp>
        <tr r="V55" s="338"/>
      </tp>
      <tp t="s">
        <v>#N/A Requesting Data...3913196758</v>
        <stp/>
        <stp>BDP|10438957359646941138</stp>
        <tr r="F24" s="2"/>
      </tp>
      <tp t="s">
        <v>#N/A Requesting Data...3427765726</v>
        <stp/>
        <stp>BDP|14853590894083718008</stp>
        <tr r="V12" s="338"/>
      </tp>
      <tp t="s">
        <v>#N/A Requesting Data...3837190081</v>
        <stp/>
        <stp>BDP|17077564961768568704</stp>
        <tr r="T11" s="2"/>
      </tp>
      <tp t="s">
        <v>#N/A Requesting Data...3533670819</v>
        <stp/>
        <stp>BDP|18215029187872028927</stp>
        <tr r="F11" s="2"/>
      </tp>
      <tp t="s">
        <v>#N/A Requesting Data...4039059170</v>
        <stp/>
        <stp>BDP|13154673264950579831</stp>
        <tr r="P8" s="338"/>
      </tp>
      <tp t="s">
        <v>#N/A Requesting Data...4132323235</v>
        <stp/>
        <stp>BDP|18352383299971018866</stp>
        <tr r="V96" s="89"/>
      </tp>
      <tp t="s">
        <v>#N/A Requesting Data...3336459294</v>
        <stp/>
        <stp>BDP|18149202901248495937</stp>
        <tr r="AH8" s="338"/>
        <tr r="AH9" s="338"/>
      </tp>
      <tp t="s">
        <v>#N/A Requesting Data...3625503417</v>
        <stp/>
        <stp>BDP|17812279814258546797</stp>
        <tr r="U12" s="338"/>
      </tp>
      <tp t="s">
        <v>#N/A Requesting Data...4025706069</v>
        <stp/>
        <stp>BDP|16354487536428919237</stp>
        <tr r="P36" s="338"/>
      </tp>
      <tp t="s">
        <v>#N/A Requesting Data...4077358084</v>
        <stp/>
        <stp>BDP|12938986196201541855</stp>
        <tr r="T9" s="338"/>
      </tp>
      <tp t="s">
        <v>#N/A Requesting Data...3704150369</v>
        <stp/>
        <stp>BDP|17486908537523033556</stp>
        <tr r="E180" s="89"/>
      </tp>
      <tp t="s">
        <v>#N/A N/A</v>
        <stp/>
        <stp>BDP|12631196112900993923</stp>
        <tr r="AG15" s="1"/>
      </tp>
      <tp t="s">
        <v>#N/A N/A</v>
        <stp/>
        <stp>BDH|15337539210548193253</stp>
        <tr r="AR11" s="338"/>
      </tp>
      <tp t="s">
        <v>#N/A N/A</v>
        <stp/>
        <stp>BDH|12089555568062687879</stp>
        <tr r="AR33" s="338"/>
        <tr r="AM45" s="338"/>
        <tr r="AR41" s="338"/>
        <tr r="AM49" s="338"/>
        <tr r="AM46" s="338"/>
        <tr r="AR31" s="338"/>
        <tr r="AR47" s="338"/>
        <tr r="AR51" s="338"/>
      </tp>
      <tp t="s">
        <v>#N/A N/A</v>
        <stp/>
        <stp>BDH|17323515464248800716</stp>
        <tr r="AU13" s="338"/>
      </tp>
      <tp t="s">
        <v>#N/A Requesting Data...3618163997</v>
        <stp/>
        <stp>BDP|16382697175628205742</stp>
        <tr r="K2" s="2"/>
        <tr r="J1" s="24"/>
      </tp>
      <tp t="s">
        <v>#N/A N/A</v>
        <stp/>
        <stp>BDP|17628478039369210131</stp>
        <tr r="Q30" s="338"/>
      </tp>
      <tp t="s">
        <v>#N/A N/A</v>
        <stp/>
        <stp>BDP|12568958234819466988</stp>
        <tr r="AI21" s="1"/>
      </tp>
      <tp t="s">
        <v>#N/A Requesting Data...3991183083</v>
        <stp/>
        <stp>BDP|14534507482414865574</stp>
        <tr r="AF40" s="1"/>
        <tr r="AF17" s="338"/>
        <tr r="AF18" s="338"/>
      </tp>
      <tp t="s">
        <v>#N/A Requesting Data...3721470789</v>
        <stp/>
        <stp>BDP|18104805924642791891</stp>
        <tr r="AK9" s="338"/>
      </tp>
      <tp t="s">
        <v>#N/A Requesting Data...3488595309</v>
        <stp/>
        <stp>BDP|10396685625528096440</stp>
        <tr r="AA19" s="2"/>
      </tp>
      <tp t="s">
        <v>#N/A Requesting Data...3634803712</v>
        <stp/>
        <stp>BDP|18319033186521864931</stp>
        <tr r="T224" s="89"/>
      </tp>
      <tp t="s">
        <v>#N/A Requesting Data...4172890208</v>
        <stp/>
        <stp>BDP|13922219924553420842</stp>
        <tr r="F10" s="2"/>
        <tr r="F9" s="2"/>
      </tp>
      <tp t="s">
        <v>#N/A Requesting Data...3657651393</v>
        <stp/>
        <stp>BDP|11421352885480139296</stp>
        <tr r="AK18" s="338"/>
      </tp>
      <tp t="s">
        <v>#N/A Requesting Data...3662936542</v>
        <stp/>
        <stp>BDP|11715737354462899964</stp>
        <tr r="AA243" s="89"/>
        <tr r="Z243" s="89"/>
      </tp>
      <tp t="s">
        <v>#N/A Requesting Data...3512874170</v>
        <stp/>
        <stp>BDP|12946933432033614306</stp>
        <tr r="V33" s="89"/>
      </tp>
      <tp t="s">
        <v>#N/A Requesting Data...4277266743</v>
        <stp/>
        <stp>BDP|14368247967240567849</stp>
        <tr r="AK48" s="338"/>
        <tr r="AK49" s="338"/>
      </tp>
      <tp t="s">
        <v>#N/A Requesting Data...3355337329</v>
        <stp/>
        <stp>BDP|14316343546182952997</stp>
        <tr r="O252" s="89"/>
      </tp>
      <tp t="s">
        <v>#N/A N/A</v>
        <stp/>
        <stp>BDP|18355353104331140221</stp>
        <tr r="E6" s="1"/>
      </tp>
      <tp t="s">
        <v>#N/A Requesting Data...3369538403</v>
        <stp/>
        <stp>BDP|14339764599746958441</stp>
        <tr r="L14" s="252"/>
        <tr r="L14" s="252"/>
      </tp>
      <tp t="s">
        <v>#N/A Requesting Data...3840279672</v>
        <stp/>
        <stp>BDP|15036556953368458526</stp>
        <tr r="AD19" s="2"/>
      </tp>
      <tp t="s">
        <v>#N/A Requesting Data...4179239180</v>
        <stp/>
        <stp>BDP|13273727322169541747</stp>
        <tr r="S31" s="338"/>
      </tp>
      <tp t="s">
        <v>#N/A Requesting Data...4210834372</v>
        <stp/>
        <stp>BDP|18059086409648276807</stp>
        <tr r="X13" s="338"/>
      </tp>
      <tp t="s">
        <v>#N/A Requesting Data...3426992475</v>
        <stp/>
        <stp>BDP|14077436120512876887</stp>
        <tr r="AH14" s="338"/>
        <tr r="AH35" s="338"/>
      </tp>
      <tp t="s">
        <v>#N/A Requesting Data...4252967037</v>
        <stp/>
        <stp>BDP|15744958059654008590</stp>
        <tr r="M11" s="252"/>
      </tp>
      <tp t="s">
        <v>#N/A Requesting Data...3656835331</v>
        <stp/>
        <stp>BDP|11709882419087472705</stp>
        <tr r="AA26" s="89"/>
        <tr r="Z26" s="89"/>
      </tp>
      <tp t="s">
        <v>#N/A Requesting Data...3553695854</v>
        <stp/>
        <stp>BDP|13690707356499397067</stp>
        <tr r="AG42" s="338"/>
      </tp>
      <tp t="s">
        <v>#N/A Requesting Data...3318633348</v>
        <stp/>
        <stp>BDP|12538321051928445466</stp>
        <tr r="AR16" s="2"/>
      </tp>
      <tp t="s">
        <v>#N/A Requesting Data...3718249844</v>
        <stp/>
        <stp>BDP|13052160308013823928</stp>
        <tr r="L16" s="252"/>
        <tr r="L16" s="252"/>
      </tp>
      <tp t="s">
        <v>#N/A Requesting Data...3964177758</v>
        <stp/>
        <stp>BDP|10630112845779481422</stp>
        <tr r="T8" s="338"/>
      </tp>
      <tp t="s">
        <v>#N/A Requesting Data...3975787714</v>
        <stp/>
        <stp>BDP|15174714974255030800</stp>
        <tr r="O39" s="89"/>
      </tp>
      <tp t="s">
        <v>#N/A N/A</v>
        <stp/>
        <stp>BDP|11209184266078842639</stp>
        <tr r="AC22" s="1"/>
      </tp>
      <tp t="s">
        <v>#N/A Requesting Data...3325838126</v>
        <stp/>
        <stp>BDP|17224895325351893413</stp>
        <tr r="V252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Data...3912522070</v>
        <stp/>
        <stp>BDP|18091505366056640561</stp>
        <tr r="D69" s="89"/>
      </tp>
      <tp t="s">
        <v>#N/A N/A</v>
        <stp/>
        <stp>BDP|11063060845774468912</stp>
        <tr r="AC20" s="1"/>
      </tp>
      <tp t="s">
        <v>#N/A N/A</v>
        <stp/>
        <stp>BDH|14627383218358311601</stp>
        <tr r="AU40" s="338"/>
        <tr r="AP15" s="338"/>
        <tr r="AP39" s="338"/>
      </tp>
      <tp t="s">
        <v>USD</v>
        <stp/>
        <stp>BDP|1779856531118410213|22</stp>
        <stp>ASML US 01/23/26 P1100 Equity</stp>
        <stp>QUOTED_CURRENCY_REALTIME</stp>
        <tr r="F50" s="89"/>
      </tp>
      <tp t="s">
        <v>#N/A N/A</v>
        <stp/>
        <stp>BDH|17996189007488104696</stp>
        <tr r="AN34" s="338"/>
        <tr r="AN13" s="338"/>
      </tp>
      <tp t="s">
        <v>#N/A Real Time</v>
        <stp/>
        <stp>BDP|3928061582338749570|22</stp>
        <stp>MRYWZ4C4 2390 Index</stp>
        <stp>bid</stp>
        <tr r="K129" s="89"/>
      </tp>
      <tp>
        <v>14.6</v>
        <stp/>
        <stp>BDP|3814154968731114523|22</stp>
        <stp>AMAT US 02/20/26 C340 Equity</stp>
        <stp>bid</stp>
        <tr r="K34" s="89"/>
      </tp>
      <tp t="s">
        <v>#N/A N/A</v>
        <stp/>
        <stp>BDP|17438263503228065480</stp>
        <tr r="Q55" s="338"/>
      </tp>
      <tp t="s">
        <v>#N/A Requesting Data...4289048240</v>
        <stp/>
        <stp>BDP|13108014284305863746</stp>
        <tr r="AH29" s="338"/>
        <tr r="AH30" s="338"/>
        <tr r="AJ29" s="338"/>
        <tr r="AJ30" s="338"/>
      </tp>
      <tp t="s">
        <v>#N/A Requesting Data...3774369200</v>
        <stp/>
        <stp>BDP|16161490436721422919</stp>
        <tr r="D19" s="89"/>
      </tp>
      <tp t="s">
        <v>#N/A Requesting Data...3376296831</v>
        <stp/>
        <stp>BDP|18084144309549296940</stp>
        <tr r="X46" s="338"/>
      </tp>
      <tp t="s">
        <v>#N/A Requesting Data...3771948502</v>
        <stp/>
        <stp>BDP|14080496093764135415</stp>
        <tr r="P8" s="252"/>
      </tp>
      <tp t="s">
        <v>#N/A Requesting Data...3498121967</v>
        <stp/>
        <stp>BDP|10379287684220430311</stp>
        <tr r="F4" s="2"/>
      </tp>
      <tp t="s">
        <v>#N/A Requesting Data...3751937767</v>
        <stp/>
        <stp>BDP|12113970899503508804</stp>
        <tr r="F21" s="2"/>
      </tp>
      <tp t="s">
        <v>#N/A Requesting Data...3427436755</v>
        <stp/>
        <stp>BDP|12800717614049008473</stp>
        <tr r="O234" s="89"/>
      </tp>
      <tp t="s">
        <v>#N/A Requesting Data...3741997108</v>
        <stp/>
        <stp>BDP|13667922398723991985</stp>
        <tr r="O8" s="252"/>
      </tp>
      <tp t="s">
        <v>#N/A Requesting Data...4178601601</v>
        <stp/>
        <stp>BDP|11569233714862664985</stp>
        <tr r="E15" s="2"/>
      </tp>
      <tp t="s">
        <v>#N/A Requesting Data...4000132465</v>
        <stp/>
        <stp>BDP|14084731383605893774</stp>
        <tr r="T30" s="338"/>
      </tp>
      <tp t="s">
        <v>#N/A Requesting Data...3902770855</v>
        <stp/>
        <stp>BDP|17920955902274781369</stp>
        <tr r="AK13" s="338"/>
      </tp>
      <tp t="s">
        <v>#N/A Requesting Data...4130545550</v>
        <stp/>
        <stp>BDP|15814817125237185133</stp>
        <tr r="AK11" s="338"/>
      </tp>
      <tp t="s">
        <v>#N/A Requesting Data...3454644831</v>
        <stp/>
        <stp>BDP|12333297811939629139</stp>
        <tr r="C7" s="2"/>
      </tp>
      <tp t="s">
        <v>#N/A Requesting Data...3959187363</v>
        <stp/>
        <stp>BDP|10683822754613362720</stp>
        <tr r="C89" s="89"/>
      </tp>
      <tp t="s">
        <v>#N/A Requesting Data...3633626427</v>
        <stp/>
        <stp>BDP|14905890171093180111</stp>
        <tr r="U18" s="338"/>
      </tp>
      <tp t="s">
        <v>#N/A Requesting Data...3870867555</v>
        <stp/>
        <stp>BDP|12314311989030851024</stp>
        <tr r="AA13" s="2"/>
        <tr r="T180" s="89"/>
      </tp>
      <tp t="s">
        <v>#N/A Requesting Data...3513318400</v>
        <stp/>
        <stp>BDP|17719503394081403362</stp>
        <tr r="AH37" s="338"/>
        <tr r="AJ37" s="338"/>
      </tp>
      <tp t="s">
        <v>#N/A Requesting Data...3638568308</v>
        <stp/>
        <stp>BDP|17044382506838828560</stp>
        <tr r="D7" s="89"/>
      </tp>
      <tp t="s">
        <v>#N/A N/A</v>
        <stp/>
        <stp>BDP|18279909896309755834</stp>
        <tr r="AG14" s="1"/>
      </tp>
      <tp t="s">
        <v>#N/A Requesting Data...3400976356</v>
        <stp/>
        <stp>BDP|12571041380342291138</stp>
        <tr r="F34" s="446"/>
      </tp>
      <tp t="s">
        <v>#N/A Requesting Data...3327025175</v>
        <stp/>
        <stp>BDP|16648478878978208488</stp>
        <tr r="O82" s="89"/>
      </tp>
      <tp t="s">
        <v>#N/A Requesting Data...3671105459</v>
        <stp/>
        <stp>BDP|17654964972910872093</stp>
        <tr r="AD8" s="2"/>
        <tr r="V204" s="89"/>
        <tr r="V212" s="89"/>
      </tp>
      <tp t="s">
        <v>#N/A Requesting Data...3337166599</v>
        <stp/>
        <stp>BDP|13659806942011456735</stp>
        <tr r="P7" s="252"/>
      </tp>
      <tp t="s">
        <v>#N/A Requesting Data...4076664426</v>
        <stp/>
        <stp>BDP|18096821285957052647</stp>
        <tr r="F18" s="446"/>
      </tp>
      <tp t="s">
        <v>#N/A Requesting Data...3872159787</v>
        <stp/>
        <stp>BDP|10454732349072941859</stp>
        <tr r="T24" s="2"/>
      </tp>
      <tp t="s">
        <v>#N/A Requesting Data...4191031240</v>
        <stp/>
        <stp>BDP|12951171716612986933</stp>
        <tr r="AD31" s="2"/>
        <tr r="V195" s="89"/>
      </tp>
      <tp t="s">
        <v>#N/A Requesting Data...3519588448</v>
        <stp/>
        <stp>BDP|17046967805152979583</stp>
        <tr r="V89" s="89"/>
      </tp>
      <tp t="s">
        <v>#N/A N/A</v>
        <stp/>
        <stp>BDP|12912684483811638411</stp>
        <tr r="L26" s="1"/>
      </tp>
      <tp t="s">
        <v>#N/A Requesting Data...3567930217</v>
        <stp/>
        <stp>BDP|10361012023329117256</stp>
        <tr r="D82" s="89"/>
      </tp>
      <tp t="s">
        <v>#N/A Requesting Data...4240176849</v>
        <stp/>
        <stp>BDP|17800905748963418018</stp>
        <tr r="V52" s="338"/>
      </tp>
      <tp t="s">
        <v>#N/A Requesting Data...3464586738</v>
        <stp/>
        <stp>BDP|16080473360335288805</stp>
        <tr r="AF24" s="1"/>
        <tr r="AF10" s="338"/>
        <tr r="AF11" s="338"/>
        <tr r="AF33" s="338"/>
      </tp>
      <tp t="s">
        <v>#N/A Requesting Data...4248563657</v>
        <stp/>
        <stp>BDP|18082660766744672526</stp>
        <tr r="X34" s="338"/>
      </tp>
      <tp t="s">
        <v>#N/A N/A</v>
        <stp/>
        <stp>BDP|17620015100226350806</stp>
        <tr r="AG25" s="1"/>
      </tp>
      <tp t="s">
        <v>#N/A Requesting Data...3712476587</v>
        <stp/>
        <stp>BDP|16920316588455062143</stp>
        <tr r="C8" s="89"/>
      </tp>
      <tp t="s">
        <v>#N/A Requesting Data...3573220420</v>
        <stp/>
        <stp>BDP|18094164205149537914</stp>
        <tr r="V49" s="89"/>
      </tp>
      <tp t="s">
        <v>#N/A Requesting Data...3961221240</v>
        <stp/>
        <stp>BDP|17113464131298207134</stp>
        <tr r="O6" s="252"/>
      </tp>
      <tp t="s">
        <v>#N/A Requesting Data...4069571672</v>
        <stp/>
        <stp>BDP|16852781535332351915</stp>
        <tr r="E50" s="89"/>
      </tp>
      <tp t="s">
        <v>#N/A Requesting Data...3867553254</v>
        <stp/>
        <stp>BDP|15960037050958482197</stp>
        <tr r="F14" s="2"/>
      </tp>
      <tp t="s">
        <v>#N/A Requesting Data...3383975288</v>
        <stp/>
        <stp>BDP|16284628867238126714</stp>
        <tr r="AD15" s="2"/>
      </tp>
      <tp t="s">
        <v>#N/A Requesting Data...3344556019</v>
        <stp/>
        <stp>BDP|13465906218584984636</stp>
        <tr r="U48" s="338"/>
      </tp>
      <tp t="s">
        <v>#N/A N/A</v>
        <stp/>
        <stp>BDH|13884791185832520742</stp>
        <tr r="AS33" s="338"/>
        <tr r="AN45" s="338"/>
        <tr r="AN49" s="338"/>
        <tr r="AS41" s="338"/>
        <tr r="AS51" s="338"/>
        <tr r="AS31" s="338"/>
        <tr r="AS47" s="338"/>
        <tr r="AN46" s="338"/>
      </tp>
      <tp t="s">
        <v>USD</v>
        <stp/>
        <stp>BDP|6513932945318794459|22</stp>
        <stp>ASML US 01/23/26 P1200 Equity</stp>
        <stp>QUOTED_CURRENCY_REALTIME</stp>
        <tr r="F49" s="89"/>
      </tp>
      <tp t="s">
        <v>#N/A Real Time</v>
        <stp/>
        <stp>BDP|17008128991791661420|22</stp>
        <stp>MSFT US 10/03/25 P485 Equity</stp>
        <stp>DELTA_MID_RT</stp>
        <tr r="W249" s="89"/>
      </tp>
      <tp t="s">
        <v>#N/A Requesting Data...3746773307</v>
        <stp/>
        <stp>BDP|13370676866274995925</stp>
        <tr r="V29" s="338"/>
      </tp>
      <tp t="s">
        <v>#N/A Requesting Data...4097956494</v>
        <stp/>
        <stp>BDP|16549461050648260185</stp>
        <tr r="V48" s="338"/>
      </tp>
      <tp t="s">
        <v>#N/A Requesting Data...3785227751</v>
        <stp/>
        <stp>BDP|11883811462826271727</stp>
        <tr r="AI13" s="338"/>
        <tr r="AK13" s="338"/>
      </tp>
      <tp t="s">
        <v>#N/A Requesting Data...3530498147</v>
        <stp/>
        <stp>BDP|15816931278674113197</stp>
        <tr r="C4" s="2"/>
      </tp>
      <tp t="s">
        <v>#N/A Requesting Data...3467992666</v>
        <stp/>
        <stp>BDP|16651632599577766000</stp>
        <tr r="T20" s="89"/>
      </tp>
      <tp t="s">
        <v>#N/A Requesting Data...3970175591</v>
        <stp/>
        <stp>BDP|17314964764025388380</stp>
        <tr r="AA23" s="2"/>
      </tp>
      <tp t="s">
        <v>#N/A N/A</v>
        <stp/>
        <stp>BDP|15466705637537159880</stp>
        <tr r="AF12" s="1"/>
      </tp>
      <tp t="s">
        <v>#N/A Requesting Data...3530750355</v>
        <stp/>
        <stp>BDP|13773404769917079849</stp>
        <tr r="X41" s="338"/>
      </tp>
      <tp t="s">
        <v>#N/A Requesting Data...3605843907</v>
        <stp/>
        <stp>BDP|17094237872549842544</stp>
        <tr r="P11" s="338"/>
      </tp>
      <tp t="s">
        <v>#N/A Requesting Data...4094426245</v>
        <stp/>
        <stp>BDP|17894084826469233293</stp>
        <tr r="D15" s="2"/>
      </tp>
      <tp t="s">
        <v>#N/A Requesting Data...3472002581</v>
        <stp/>
        <stp>BDP|10903940119976188082</stp>
        <tr r="T20" s="2"/>
      </tp>
      <tp t="s">
        <v>#N/A Requesting Data...4173628358</v>
        <stp/>
        <stp>BDP|16326348528261420875</stp>
        <tr r="AH37" s="338"/>
      </tp>
      <tp t="s">
        <v>#N/A Requesting Data...3385582080</v>
        <stp/>
        <stp>BDP|17705908535480976375</stp>
        <tr r="AA205" s="89"/>
        <tr r="AA213" s="89"/>
        <tr r="Z205" s="89"/>
        <tr r="Z213" s="89"/>
      </tp>
      <tp t="s">
        <v>#N/A Requesting Data...3615865365</v>
        <stp/>
        <stp>BDP|17404395287666660429</stp>
        <tr r="AA8" s="2"/>
        <tr r="T204" s="89"/>
        <tr r="T212" s="89"/>
      </tp>
      <tp t="s">
        <v>#N/A Requesting Data...3430025952</v>
        <stp/>
        <stp>BDP|12942600097452969197</stp>
        <tr r="AI30" s="338"/>
      </tp>
      <tp t="s">
        <v>#N/A Requesting Data...4235377231</v>
        <stp/>
        <stp>BDP|11004855748816491574</stp>
        <tr r="AA145" s="89"/>
        <tr r="Z145" s="89"/>
      </tp>
      <tp t="s">
        <v>#N/A Requesting Data...3659058170</v>
        <stp/>
        <stp>BDP|16337164336812680844</stp>
        <tr r="C33" s="2"/>
      </tp>
      <tp t="s">
        <v>#N/A N/A</v>
        <stp/>
        <stp>BDP|11997978075061334095</stp>
        <tr r="AG29" s="1"/>
      </tp>
      <tp t="s">
        <v>#N/A N/A</v>
        <stp/>
        <stp>BDP|11315017167658014150</stp>
        <tr r="Q44" s="338"/>
      </tp>
      <tp t="s">
        <v>#N/A Requesting Data...4127734798</v>
        <stp/>
        <stp>BDP|13321932753372613352</stp>
        <tr r="S50" s="338"/>
      </tp>
      <tp t="s">
        <v>#N/A N/A</v>
        <stp/>
        <stp>BDP|14026845325197194708</stp>
        <tr r="AB27" s="1"/>
        <tr r="AB28" s="1"/>
      </tp>
      <tp t="s">
        <v>#N/A Requesting Data...4254078736</v>
        <stp/>
        <stp>BDP|18139099943730098283</stp>
        <tr r="X42" s="338"/>
      </tp>
      <tp t="s">
        <v>#N/A Requesting Data...4152906297</v>
        <stp/>
        <stp>BDP|14818954946994919376</stp>
        <tr r="T55" s="338"/>
      </tp>
      <tp t="s">
        <v>#N/A Requesting Data...3987877474</v>
        <stp/>
        <stp>BDP|16587875150550064572</stp>
        <tr r="C234" s="89"/>
      </tp>
      <tp t="s">
        <v>#N/A Requesting Data...3745111149</v>
        <stp/>
        <stp>BDP|16547593626468626792</stp>
        <tr r="V90" s="89"/>
      </tp>
      <tp t="s">
        <v>#N/A Requesting Data...3764369379</v>
        <stp/>
        <stp>BDP|12254931781748441511</stp>
        <tr r="AA4" s="2"/>
      </tp>
      <tp t="s">
        <v>#N/A N/A</v>
        <stp/>
        <stp>BDP|16747972762296741126</stp>
        <tr r="AF27" s="1"/>
        <tr r="AF28" s="1"/>
      </tp>
      <tp t="s">
        <v>#N/A Requesting Data...3612699313</v>
        <stp/>
        <stp>BDP|10277773846639500409</stp>
        <tr r="E225" s="89"/>
      </tp>
      <tp t="s">
        <v>#N/A Requesting Data...3463757688</v>
        <stp/>
        <stp>BDP|13969791624829744150</stp>
        <tr r="T233" s="89"/>
      </tp>
      <tp t="s">
        <v>#N/A Requesting Data...3941622900</v>
        <stp/>
        <stp>BDP|15391597190645842246</stp>
        <tr r="U41" s="338"/>
      </tp>
      <tp t="s">
        <v>#N/A Requesting Data...4280385627</v>
        <stp/>
        <stp>BDP|11743873404217661042</stp>
        <tr r="D14" s="89"/>
      </tp>
      <tp t="s">
        <v>#N/A N/A</v>
        <stp/>
        <stp>BDH|11834882820333107616</stp>
        <tr r="AM37" s="338"/>
      </tp>
      <tp t="s">
        <v>#N/A N/A</v>
        <stp/>
        <stp>BDH|13424976042913585302</stp>
        <tr r="AU54" s="338"/>
      </tp>
      <tp t="s">
        <v>#N/A N/A</v>
        <stp/>
        <stp>BDH|14219318475267831974</stp>
        <tr r="AN38" s="338"/>
        <tr r="AN40" s="338"/>
        <tr r="AN16" s="338"/>
      </tp>
      <tp t="s">
        <v>#N/A N/A</v>
        <stp/>
        <stp>BDH|18158275961953883170</stp>
        <tr r="AR32" s="338"/>
        <tr r="AR50" s="338"/>
        <tr r="AR46" s="338"/>
        <tr r="AR8" s="338"/>
      </tp>
      <tp t="s">
        <v>#N/A N/A</v>
        <stp/>
        <stp>BDH|18312683787501231953</stp>
        <tr r="AN9" s="338"/>
        <tr r="AN8" s="338"/>
      </tp>
      <tp t="s">
        <v>#N/A N/A</v>
        <stp/>
        <stp>BDH|12542842504701976507</stp>
        <tr r="AP9" s="338"/>
        <tr r="AP8" s="338"/>
      </tp>
      <tp>
        <v>-0.53767228126525879</v>
        <stp/>
        <stp>BDP|12363987419731278955|22</stp>
        <stp>MRVL US 03/20/26 P85 Equity</stp>
        <stp>DELTA_MID_RT</stp>
        <tr r="AF15" s="2"/>
      </tp>
      <tp>
        <v>0.58753734827041626</v>
        <stp/>
        <stp>BDP|18110796337974702583|22</stp>
        <stp>AVGO US 06/18/26 C350 Equity</stp>
        <stp>DELTA_MID_RT</stp>
        <tr r="AF6" s="2"/>
        <tr r="W223" s="89"/>
      </tp>
      <tp t="s">
        <v>#N/A N/A</v>
        <stp/>
        <stp>BDP|14736502366221001988</stp>
        <tr r="AG23" s="1"/>
      </tp>
      <tp t="s">
        <v>#N/A Requesting Data...4151274162</v>
        <stp/>
        <stp>BDP|14590387959435843851</stp>
        <tr r="P18" s="252"/>
      </tp>
      <tp t="s">
        <v>#N/A Requesting Data...3629656613</v>
        <stp/>
        <stp>BDP|13791594013149475126</stp>
        <tr r="M13" s="252"/>
      </tp>
      <tp t="s">
        <v>#N/A Requesting Data...4023146993</v>
        <stp/>
        <stp>BDP|17874986578052725446</stp>
        <tr r="P50" s="338"/>
      </tp>
      <tp t="s">
        <v>#N/A Requesting Data...3485302169</v>
        <stp/>
        <stp>BDP|12186978060544450682</stp>
        <tr r="AD25" s="2"/>
      </tp>
      <tp t="s">
        <v>#N/A N/A</v>
        <stp/>
        <stp>BDP|12067346968488625077</stp>
        <tr r="K9" s="1"/>
      </tp>
      <tp t="s">
        <v>#N/A Requesting Data...3445609659</v>
        <stp/>
        <stp>BDP|17572771138585120977</stp>
        <tr r="F18" s="2"/>
      </tp>
      <tp t="s">
        <v>#N/A Requesting Data...4245595780</v>
        <stp/>
        <stp>BDP|12930748263249803590</stp>
        <tr r="V47" s="338"/>
      </tp>
      <tp t="s">
        <v>#N/A Requesting Data...4054421281</v>
        <stp/>
        <stp>BDP|10458872348380612322</stp>
        <tr r="D32" s="446"/>
      </tp>
      <tp t="s">
        <v>#N/A Requesting Data...4075276072</v>
        <stp/>
        <stp>BDP|12114087887616661368</stp>
        <tr r="T10" s="2"/>
        <tr r="T9" s="2"/>
        <tr r="O205" s="89"/>
        <tr r="O213" s="89"/>
      </tp>
      <tp t="s">
        <v>#N/A N/A</v>
        <stp/>
        <stp>BDP|12446616610012704839</stp>
        <tr r="AF14" s="1"/>
      </tp>
      <tp t="s">
        <v>#N/A Requesting Data...3452412869</v>
        <stp/>
        <stp>BDP|16111091406080680995</stp>
        <tr r="S20" s="252"/>
      </tp>
      <tp t="s">
        <v>#N/A N/A</v>
        <stp/>
        <stp>BDP|12917284443828342304</stp>
        <tr r="AC40" s="1"/>
      </tp>
      <tp t="s">
        <v>#N/A Requesting Data...4105143984</v>
        <stp/>
        <stp>BDP|12565777765454100870</stp>
        <tr r="AK45" s="338"/>
      </tp>
      <tp t="s">
        <v>#N/A Requesting Data...3526799639</v>
        <stp/>
        <stp>BDP|14757904724106470662</stp>
        <tr r="C115" s="89"/>
      </tp>
      <tp t="s">
        <v>#N/A Requesting Data...3487293487</v>
        <stp/>
        <stp>BDP|15520885965692162698</stp>
        <tr r="P35" s="338"/>
      </tp>
      <tp t="s">
        <v>#N/A Requesting Data...3547212750</v>
        <stp/>
        <stp>BDP|15477739397991893583</stp>
        <tr r="F20" s="2"/>
      </tp>
      <tp t="s">
        <v>#N/A N/A</v>
        <stp/>
        <stp>BDP|18411820983824502305</stp>
        <tr r="E9" s="1"/>
        <tr r="K24" s="1"/>
      </tp>
      <tp t="s">
        <v>#N/A N/A</v>
        <stp/>
        <stp>BDP|14116642911908550426</stp>
        <tr r="AI26" s="1"/>
      </tp>
      <tp t="s">
        <v>#N/A Requesting Data...4072265689</v>
        <stp/>
        <stp>BDP|10345234864749089272</stp>
        <tr r="AA81" s="89"/>
        <tr r="Z81" s="89"/>
      </tp>
      <tp t="s">
        <v>#N/A Requesting Data...4055726940</v>
        <stp/>
        <stp>BDP|18187575182553363942</stp>
        <tr r="S29" s="338"/>
      </tp>
      <tp t="s">
        <v>#N/A N/A</v>
        <stp/>
        <stp>BDP|15088949515073653147</stp>
        <tr r="AI27" s="1"/>
        <tr r="AI28" s="1"/>
      </tp>
      <tp t="s">
        <v>#N/A Requesting Data...3822968279</v>
        <stp/>
        <stp>BDP|12559765690110808384</stp>
        <tr r="L6" s="252"/>
        <tr r="L6" s="252"/>
      </tp>
      <tp t="s">
        <v>#N/A Requesting Data...3965981597</v>
        <stp/>
        <stp>BDP|10141273456439406166</stp>
        <tr r="U40" s="338"/>
      </tp>
      <tp t="s">
        <v>#N/A Requesting Data...4172165570</v>
        <stp/>
        <stp>BDP|15650822721567670765</stp>
        <tr r="AF15" s="338"/>
        <tr r="AF39" s="338"/>
        <tr r="AG40" s="338"/>
      </tp>
      <tp t="s">
        <v>#N/A Requesting Data...3819644135</v>
        <stp/>
        <stp>BDP|10661203894173514722</stp>
        <tr r="P40" s="338"/>
      </tp>
      <tp t="s">
        <v>#N/A N/A</v>
        <stp/>
        <stp>BDP|13400157600295352875</stp>
        <tr r="AQ4" s="2"/>
      </tp>
      <tp t="s">
        <v>#N/A Requesting Data...4187939601</v>
        <stp/>
        <stp>BDP|16644071595826516655</stp>
        <tr r="M17" s="252"/>
      </tp>
      <tp t="s">
        <v>#N/A Requesting Data...3844112446</v>
        <stp/>
        <stp>BDP|10282731194108712961</stp>
        <tr r="X32" s="338"/>
      </tp>
      <tp t="s">
        <v>#N/A Requesting Data...4057790601</v>
        <stp/>
        <stp>BDP|11825565969849644458</stp>
        <tr r="G26" s="446"/>
      </tp>
      <tp t="s">
        <v>#N/A Requesting Data...3953398053</v>
        <stp/>
        <stp>BDP|11254841161091158123</stp>
        <tr r="T30" s="2"/>
        <tr r="O7" s="89"/>
      </tp>
      <tp t="s">
        <v>#N/A N/A</v>
        <stp/>
        <stp>BDP|17073822827356636472</stp>
        <tr r="K20" s="1"/>
      </tp>
      <tp t="s">
        <v>#N/A Requesting Data...4240488423</v>
        <stp/>
        <stp>BDP|13743925468151835237</stp>
        <tr r="AF52" s="338"/>
        <tr r="AF53" s="338"/>
        <tr r="AF54" s="338"/>
      </tp>
      <tp t="s">
        <v>#N/A N/A</v>
        <stp/>
        <stp>BDH|12961856286178324599</stp>
        <tr r="AP54" s="338"/>
        <tr r="AP53" s="338"/>
        <tr r="AP52" s="338"/>
      </tp>
      <tp t="e">
        <v>#N/A</v>
        <stp/>
        <stp>BDH|15301870027157436707</stp>
        <tr r="T7" s="252"/>
        <tr r="W7" s="252"/>
      </tp>
      <tp t="s">
        <v>#N/A N/A</v>
        <stp/>
        <stp>BDH|14653585482264186255</stp>
        <tr r="AU49" s="338"/>
        <tr r="AU48" s="338"/>
      </tp>
      <tp t="s">
        <v>#N/A N/A</v>
        <stp/>
        <stp>BDH|17314262658309008670</stp>
        <tr r="AP17" s="338"/>
        <tr r="AP18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15.9</v>
        <stp/>
        <stp>BDP|2092788545576573167|22</stp>
        <stp>AMAT US 02/20/26 C340 Equity</stp>
        <stp>ask</stp>
        <tr r="L34" s="89"/>
      </tp>
      <tp t="s">
        <v>#N/A Real Time</v>
        <stp/>
        <stp>BDP|1762043398025110113|22</stp>
        <stp>AVGO US 10/03/25 P330 Equity</stp>
        <stp>ask</stp>
        <tr r="L254" s="89"/>
      </tp>
      <tp t="s">
        <v>#N/A Requesting Data...3538179369</v>
        <stp/>
        <stp>BDP|11392865735944137287</stp>
        <tr r="AR10" s="2"/>
        <tr r="AR9" s="2"/>
      </tp>
      <tp t="s">
        <v>#N/A Requesting Data...3651093957</v>
        <stp/>
        <stp>BDP|15731501378408096376</stp>
        <tr r="V253" s="89"/>
      </tp>
      <tp t="s">
        <v>#N/A Requesting Data...3535499958</v>
        <stp/>
        <stp>BDP|10552070608995420954</stp>
        <tr r="O9" s="252"/>
      </tp>
      <tp t="s">
        <v>#N/A Requesting Data...4286101302</v>
        <stp/>
        <stp>BDP|15489180332173336860</stp>
        <tr r="T16" s="2"/>
      </tp>
      <tp t="s">
        <v>#N/A Requesting Data...4003250391</v>
        <stp/>
        <stp>BDP|15979162871428768721</stp>
        <tr r="F8" s="2"/>
      </tp>
      <tp t="s">
        <v>#N/A Requesting Data...3957934287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Data...4069549095</v>
        <stp/>
        <stp>BDP|16048814305041128389</stp>
        <tr r="AH12" s="338"/>
        <tr r="AJ12" s="338"/>
      </tp>
      <tp t="s">
        <v>#N/A Requesting Data...4090609869</v>
        <stp/>
        <stp>BDP|17315018787765860602</stp>
        <tr r="U29" s="338"/>
      </tp>
      <tp t="s">
        <v>#N/A Requesting Data...3755525344</v>
        <stp/>
        <stp>BDP|18338546964302677583</stp>
        <tr r="V153" s="89"/>
        <tr r="V154" s="89"/>
      </tp>
      <tp t="s">
        <v>#N/A Requesting Data...4272712978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Data...4071711064</v>
        <stp/>
        <stp>BDP|15549933334837718499</stp>
        <tr r="AJ36" s="338"/>
      </tp>
      <tp t="s">
        <v>#N/A Requesting Data...3623914666</v>
        <stp/>
        <stp>BDP|12256415676048228580</stp>
        <tr r="AR18" s="2"/>
      </tp>
      <tp t="s">
        <v>#N/A Requesting Data...3900221363</v>
        <stp/>
        <stp>BDP|12680548468199508401</stp>
        <tr r="AA153" s="89"/>
        <tr r="AA154" s="89"/>
        <tr r="Z153" s="89"/>
        <tr r="Z154" s="89"/>
      </tp>
      <tp t="s">
        <v>#N/A Requesting Data...4294846799</v>
        <stp/>
        <stp>BDP|13021422978704305879</stp>
        <tr r="F33" s="446"/>
      </tp>
      <tp t="s">
        <v>#N/A N/A</v>
        <stp/>
        <stp>BDP|16521478898015424206</stp>
        <tr r="AV12" s="2"/>
        <tr r="AV13" s="2"/>
        <tr r="AV14" s="2"/>
        <tr r="R169" s="89"/>
        <tr r="R170" s="89"/>
        <tr r="R171" s="89"/>
        <tr r="R180" s="89"/>
        <tr r="R233" s="89"/>
        <tr r="R252" s="89"/>
        <tr r="R179" s="89"/>
      </tp>
      <tp t="s">
        <v>#N/A Requesting Data...3982433430</v>
        <stp/>
        <stp>BDP|10918859462513576157</stp>
        <tr r="AA18" s="2"/>
      </tp>
      <tp t="s">
        <v>#N/A Requesting Data...3814632379</v>
        <stp/>
        <stp>BDP|16877024025140252836</stp>
        <tr r="F37" s="446"/>
      </tp>
      <tp t="s">
        <v>#N/A Requesting Data...4016011234</v>
        <stp/>
        <stp>BDP|11873488141545455841</stp>
        <tr r="AK12" s="338"/>
      </tp>
      <tp t="s">
        <v>#N/A Requesting Data...3644443809</v>
        <stp/>
        <stp>BDP|10918059229437544914</stp>
        <tr r="S14" s="252"/>
      </tp>
      <tp t="s">
        <v>#N/A Requesting Data...3840620626</v>
        <stp/>
        <stp>BDP|17459985945086122091</stp>
        <tr r="F19" s="252"/>
      </tp>
      <tp t="s">
        <v>#N/A Requesting Data...3620109109</v>
        <stp/>
        <stp>BDP|16146881818116826586</stp>
        <tr r="P41" s="338"/>
      </tp>
      <tp t="s">
        <v>#N/A Requesting Data...4259803262</v>
        <stp/>
        <stp>BDP|15485843473026578068</stp>
        <tr r="U54" s="338"/>
      </tp>
      <tp t="s">
        <v>#N/A Requesting Data...3686645024</v>
        <stp/>
        <stp>BDP|14702322456147385934</stp>
        <tr r="U47" s="338"/>
      </tp>
      <tp t="s">
        <v>#N/A Requesting Data...4015311299</v>
        <stp/>
        <stp>BDP|13252986469018546859</stp>
        <tr r="E7" s="2"/>
      </tp>
      <tp t="s">
        <v>#N/A Requesting Data...4016817182</v>
        <stp/>
        <stp>BDP|13405037176711243908</stp>
        <tr r="E137" s="89"/>
      </tp>
      <tp t="s">
        <v>#N/A Requesting Data...3870555693</v>
        <stp/>
        <stp>BDP|12945955828165458035</stp>
        <tr r="AA96" s="89"/>
        <tr r="Z96" s="89"/>
      </tp>
      <tp t="s">
        <v>#N/A N/A</v>
        <stp/>
        <stp>BDP|16209915627924010567</stp>
        <tr r="AG20" s="1"/>
      </tp>
      <tp t="s">
        <v>#N/A Requesting Data...4198252957</v>
        <stp/>
        <stp>BDP|14217961267851904682</stp>
        <tr r="AD16" s="2"/>
      </tp>
      <tp t="s">
        <v>#N/A Requesting Data...4151379616</v>
        <stp/>
        <stp>BDP|16199643097561563420</stp>
        <tr r="C129" s="89"/>
      </tp>
      <tp t="s">
        <v>#N/A Requesting Data...3973615467</v>
        <stp/>
        <stp>BDP|10529046944871483947</stp>
        <tr r="AR11" s="2"/>
      </tp>
      <tp t="s">
        <v>#N/A Requesting Data...3823173363</v>
        <stp/>
        <stp>BDP|12856838645522296082</stp>
        <tr r="AA24" s="2"/>
      </tp>
      <tp t="s">
        <v>#N/A N/A</v>
        <stp/>
        <stp>BDP|17686753700058444438</stp>
        <tr r="Q54" s="338"/>
      </tp>
      <tp t="s">
        <v>#N/A Requesting Data...3756783750</v>
        <stp/>
        <stp>BDP|12025675637399291269</stp>
        <tr r="O15" s="252"/>
      </tp>
      <tp t="s">
        <v>#N/A Requesting Data...4213139795</v>
        <stp/>
        <stp>BDP|11664873615115482148</stp>
        <tr r="V69" s="89"/>
        <tr r="V75" s="89"/>
      </tp>
      <tp t="s">
        <v>#N/A Requesting Data...3846434866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Data...3521662573</v>
        <stp/>
        <stp>BDP|12603143287034451379</stp>
        <tr r="D27" s="446"/>
      </tp>
      <tp t="s">
        <v>#N/A Requesting Data...3901903503</v>
        <stp/>
        <stp>BDP|10004210412887167840</stp>
        <tr r="D40" s="446"/>
      </tp>
      <tp t="s">
        <v>#N/A Requesting Data...3882297929</v>
        <stp/>
        <stp>BDP|17208567233754128903</stp>
        <tr r="E63" s="89"/>
      </tp>
      <tp t="e">
        <v>#N/A</v>
        <stp/>
        <stp>BDH|13392831222951112430</stp>
        <tr r="J11" s="252"/>
      </tp>
      <tp t="s">
        <v>#N/A N/A</v>
        <stp/>
        <stp>BDH|12842792294947666745</stp>
        <tr r="AP31" s="338"/>
        <tr r="AP32" s="338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#N/A N/A</v>
        <stp/>
        <stp>BDH|10078975185895131880</stp>
        <tr r="AU45" s="338"/>
      </tp>
      <tp t="s">
        <v>USD</v>
        <stp/>
        <stp>BDP|2131931314929685819|22</stp>
        <stp>NFLX US 03/20/26 P92 Equity</stp>
        <stp>QUOTED_CURRENCY_REALTIME</stp>
        <tr r="G24" s="2"/>
      </tp>
      <tp>
        <v>-0.24449306726455688</v>
        <stp/>
        <stp>BDP|15300860136715577647|22</stp>
        <stp>AVGO US 06/18/26 P300 Equity</stp>
        <stp>DELTA_MID_RT</stp>
        <tr r="W224" s="89"/>
      </tp>
      <tp>
        <v>324.25</v>
        <stp/>
        <stp>BDP|336164456245703188|22</stp>
        <stp>LITE US Equity</stp>
        <stp>LAST_PRICE</stp>
        <tr r="Z11" s="2"/>
      </tp>
      <tp t="s">
        <v>#N/A Real Time</v>
        <stp/>
        <stp>BDP|4430211455615003459|22</stp>
        <stp>4OX4C    20500 Index</stp>
        <stp>bid</stp>
        <tr r="K108" s="89"/>
      </tp>
      <tp>
        <v>7.85</v>
        <stp/>
        <stp>BDP|1280424677835543337|22</stp>
        <stp>AMAT US 02/06/26 C340 Equity</stp>
        <stp>bid</stp>
        <tr r="K33" s="89"/>
      </tp>
      <tp>
        <v>0.43978363275527954</v>
        <stp/>
        <stp>BDP|17408824880674630848|22</stp>
        <stp>AMAT US 02/20/26 C340 Equity</stp>
        <stp>DELTA_MID_RT</stp>
        <tr r="W34" s="89"/>
      </tp>
      <tp>
        <v>18</v>
        <stp/>
        <stp>BDP|4716754069265805089|22</stp>
        <stp>LITE US 02/20/26 C400 Equity</stp>
        <stp>bid</stp>
        <tr r="P11" s="2"/>
      </tp>
      <tp>
        <v>67.34</v>
        <stp/>
        <stp>BDP|7364987876284921219|22</stp>
        <stp>EWT US Equity</stp>
        <stp>LAST_PRICE</stp>
        <tr r="S178" s="89"/>
      </tp>
      <tp t="s">
        <v>#N/A Requesting Data...3816236015</v>
        <stp/>
        <stp>BDP|14785192227628712274</stp>
        <tr r="T251" s="89"/>
      </tp>
      <tp t="s">
        <v>#N/A Requesting Data...3511504801</v>
        <stp/>
        <stp>BDP|10830436782351213025</stp>
        <tr r="AG13" s="338"/>
      </tp>
      <tp t="s">
        <v>#N/A Requesting Data...3551906999</v>
        <stp/>
        <stp>BDP|16101110071044873900</stp>
        <tr r="S19" s="252"/>
      </tp>
      <tp t="s">
        <v>#N/A Requesting Data...3951042702</v>
        <stp/>
        <stp>BDP|18267333267010674088</stp>
        <tr r="C235" s="89"/>
      </tp>
      <tp t="s">
        <v>#N/A Requesting Data...4092722494</v>
        <stp/>
        <stp>BDP|12894981119832559547</stp>
        <tr r="E23" s="2"/>
      </tp>
      <tp t="s">
        <v>#N/A Requesting Data...3888747971</v>
        <stp/>
        <stp>BDP|17375751787424053193</stp>
        <tr r="T90" s="89"/>
      </tp>
      <tp t="s">
        <v>#N/A Requesting Data...3601836705</v>
        <stp/>
        <stp>BDP|15805166451638287462</stp>
        <tr r="S18" s="338"/>
      </tp>
      <tp t="s">
        <v>#N/A Requesting Data...4184801620</v>
        <stp/>
        <stp>BDP|18288576254733893628</stp>
        <tr r="C50" s="89"/>
      </tp>
      <tp t="s">
        <v>#N/A Requesting Data...3663925780</v>
        <stp/>
        <stp>BDP|18446461901708890906</stp>
        <tr r="S45" s="338"/>
      </tp>
      <tp t="s">
        <v>#N/A Requesting Data...4054816487</v>
        <stp/>
        <stp>BDP|12514485676904256829</stp>
        <tr r="E160" s="89"/>
      </tp>
      <tp t="s">
        <v>#N/A N/A</v>
        <stp/>
        <stp>BDP|15523679869279056112</stp>
        <tr r="R39" s="89"/>
      </tp>
      <tp t="s">
        <v>#N/A Requesting Data...3866765766</v>
        <stp/>
        <stp>BDP|18053748462790891444</stp>
        <tr r="V169" s="89"/>
      </tp>
      <tp t="s">
        <v>#N/A Requesting Data...3534091559</v>
        <stp/>
        <stp>BDP|10028687100653384862</stp>
        <tr r="T6" s="2"/>
        <tr r="O223" s="89"/>
      </tp>
      <tp t="s">
        <v>#N/A Requesting Data...3531678177</v>
        <stp/>
        <stp>BDP|15843140282036113720</stp>
        <tr r="G22" s="446"/>
      </tp>
      <tp t="s">
        <v>#N/A Requesting Data...4184859052</v>
        <stp/>
        <stp>BDP|11847564369457057888</stp>
        <tr r="F13" s="252"/>
      </tp>
      <tp t="s">
        <v>#N/A Requesting Data...3759600983</v>
        <stp/>
        <stp>BDP|13571664718169245067</stp>
        <tr r="U14" s="338"/>
      </tp>
      <tp t="s">
        <v>#N/A Requesting Data...4281650664</v>
        <stp/>
        <stp>BDP|17319342610009091197</stp>
        <tr r="G27" s="446"/>
      </tp>
      <tp t="s">
        <v>#N/A Requesting Data...3759672600</v>
        <stp/>
        <stp>BDP|18197169773181317293</stp>
        <tr r="AA169" s="89"/>
        <tr r="Z169" s="89"/>
      </tp>
      <tp t="s">
        <v>#N/A Requesting Data...4188982622</v>
        <stp/>
        <stp>BDP|14882210397437387533</stp>
        <tr r="T42" s="338"/>
      </tp>
      <tp t="s">
        <v>#N/A Requesting Data...4196164507</v>
        <stp/>
        <stp>BDP|16174661133786135858</stp>
        <tr r="L12" s="338"/>
        <tr r="H12" s="338"/>
      </tp>
      <tp t="s">
        <v>#N/A N/A</v>
        <stp/>
        <stp>BDP|12949866375379993934</stp>
        <tr r="AB242" s="89"/>
        <tr r="AB243" s="89"/>
      </tp>
      <tp t="s">
        <v>#N/A Requesting Data...3980207010</v>
        <stp/>
        <stp>BDP|17115834681353057933</stp>
        <tr r="U31" s="338"/>
      </tp>
      <tp t="s">
        <v>#N/A Requesting Data...4279905707</v>
        <stp/>
        <stp>BDP|11754347819866155884</stp>
        <tr r="AA63" s="89"/>
        <tr r="Z63" s="89"/>
      </tp>
      <tp t="s">
        <v>#N/A Requesting Data...3539838831</v>
        <stp/>
        <stp>BDP|12175469510002223863</stp>
        <tr r="P14" s="338"/>
      </tp>
      <tp t="s">
        <v>#N/A N/A</v>
        <stp/>
        <stp>BDP|18096474274854136215</stp>
        <tr r="R68" s="89"/>
        <tr r="R75" s="89"/>
        <tr r="R203" s="89"/>
        <tr r="R204" s="89"/>
        <tr r="R211" s="89"/>
        <tr r="R212" s="89"/>
        <tr r="R213" s="89"/>
        <tr r="R205" s="89"/>
        <tr r="R69" s="89"/>
        <tr r="R76" s="89"/>
        <tr r="AV7" s="2"/>
        <tr r="AV8" s="2"/>
        <tr r="AV9" s="2"/>
        <tr r="AV10" s="2"/>
      </tp>
      <tp t="s">
        <v>#N/A Requesting Data...4032513986</v>
        <stp/>
        <stp>BDP|11040582479649536770</stp>
        <tr r="T63" s="89"/>
      </tp>
      <tp t="s">
        <v>#N/A Requesting Data...3705157885</v>
        <stp/>
        <stp>BDP|16200988588058493248</stp>
        <tr r="AA224" s="89"/>
        <tr r="Z224" s="89"/>
      </tp>
      <tp t="s">
        <v>#N/A Requesting Data...3959457277</v>
        <stp/>
        <stp>BDP|17051618884910746406</stp>
        <tr r="T44" s="338"/>
      </tp>
      <tp t="s">
        <v>#N/A Requesting Data...3810922883</v>
        <stp/>
        <stp>BDP|14959318848357778920</stp>
        <tr r="T41" s="338"/>
      </tp>
      <tp t="s">
        <v>#N/A Requesting Data...3717744889</v>
        <stp/>
        <stp>BDP|15219096160618738682</stp>
        <tr r="X17" s="338"/>
      </tp>
      <tp t="s">
        <v>#N/A Requesting Data...3779632442</v>
        <stp/>
        <stp>BDP|14574759861540790819</stp>
        <tr r="S34" s="338"/>
      </tp>
      <tp t="s">
        <v>#N/A Requesting Data...3865797185</v>
        <stp/>
        <stp>BDP|11424392119509475776</stp>
        <tr r="C11" s="2"/>
      </tp>
      <tp t="s">
        <v>#N/A Requesting Data...4207732739</v>
        <stp/>
        <stp>BDP|12063939312664514322</stp>
        <tr r="N17" s="252"/>
        <tr r="N17" s="252"/>
      </tp>
      <tp t="s">
        <v>#N/A Requesting Data...3998477801</v>
        <stp/>
        <stp>BDP|16239364000238452060</stp>
        <tr r="E40" s="89"/>
      </tp>
      <tp t="s">
        <v>#N/A N/A</v>
        <stp/>
        <stp>BDH|14053209940948016756</stp>
        <tr r="AM29" s="338"/>
        <tr r="AM30" s="338"/>
      </tp>
      <tp t="e">
        <v>#N/A</v>
        <stp/>
        <stp>BDH|13885285882450008494</stp>
        <tr r="J17" s="252"/>
      </tp>
      <tp t="s">
        <v>#N/A N/A</v>
        <stp/>
        <stp>BDH|10048273579318029030</stp>
        <tr r="AU8" s="338"/>
        <tr r="AU32" s="338"/>
        <tr r="AU50" s="338"/>
        <tr r="AU46" s="338"/>
      </tp>
      <tp>
        <v>621.26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82.11</v>
        <stp/>
        <stp>BDP|3617422536658376331|22</stp>
        <stp>XLP Equity</stp>
        <stp>LAST PRICE</stp>
        <tr r="I9" s="338"/>
      </tp>
      <tp>
        <v>19.3</v>
        <stp/>
        <stp>BDP|8644428270203613467|22</stp>
        <stp>LITE US 02/20/26 C400 Equity</stp>
        <stp>ask</stp>
        <tr r="Q11" s="2"/>
      </tp>
      <tp>
        <v>0.50413370132446289</v>
        <stp/>
        <stp>BDP|10790294490778670556|22</stp>
        <stp>RKT US 05/15/26 C25 Equity</stp>
        <stp>DELTA_MID_RT</stp>
        <tr r="W39" s="89"/>
      </tp>
      <tp t="s">
        <v>#N/A Requesting Data...4280249074</v>
        <stp/>
        <stp>BDP|12339741374220877028</stp>
        <tr r="AB18" s="1"/>
        <tr r="AB19" s="1"/>
        <tr r="F21" s="446"/>
      </tp>
      <tp t="s">
        <v>#N/A Requesting Data...4037422427</v>
        <stp/>
        <stp>BDP|10313697833123536458</stp>
        <tr r="E17" s="2"/>
      </tp>
      <tp t="s">
        <v>#N/A Requesting Data...4145892131</v>
        <stp/>
        <stp>BDP|12562291822957166773</stp>
        <tr r="X15" s="338"/>
        <tr r="X39" s="338"/>
      </tp>
      <tp t="s">
        <v>#N/A Requesting Data...3872232984</v>
        <stp/>
        <stp>BDP|17646594623933242160</stp>
        <tr r="AJ8" s="338"/>
        <tr r="AJ9" s="338"/>
      </tp>
      <tp t="s">
        <v>#N/A Requesting Data...3746060526</v>
        <stp/>
        <stp>BDP|10920319565786030158</stp>
        <tr r="E116" s="89"/>
      </tp>
      <tp t="s">
        <v>#N/A Requesting Data...4225680091</v>
        <stp/>
        <stp>BDP|11988979111049200256</stp>
        <tr r="AK29" s="338"/>
      </tp>
      <tp t="s">
        <v>#N/A Requesting Data...3733010026</v>
        <stp/>
        <stp>BDP|14191291997784108945</stp>
        <tr r="D197" s="89"/>
      </tp>
      <tp t="s">
        <v>#N/A Requesting Data...3693184677</v>
        <stp/>
        <stp>BDP|17671295855377364531</stp>
        <tr r="AD10" s="2"/>
        <tr r="AD9" s="2"/>
        <tr r="V205" s="89"/>
        <tr r="V213" s="89"/>
      </tp>
      <tp t="s">
        <v>#N/A Requesting Data...4140281903</v>
        <stp/>
        <stp>BDP|11401398931040176301</stp>
        <tr r="V34" s="89"/>
      </tp>
      <tp t="s">
        <v>#N/A Requesting Data...3723516840</v>
        <stp/>
        <stp>BDP|14235513692238962259</stp>
        <tr r="AR8" s="2"/>
      </tp>
      <tp t="s">
        <v>#N/A N/A</v>
        <stp/>
        <stp>BDP|14653886886924004245</stp>
        <tr r="Q32" s="338"/>
      </tp>
      <tp t="s">
        <v>#N/A N/A</v>
        <stp/>
        <stp>BDP|12274481806484777070</stp>
        <tr r="K36" s="1"/>
      </tp>
      <tp t="s">
        <v>#N/A Requesting Data...3996627635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Data...4289387098</v>
        <stp/>
        <stp>BDP|14776745928063005042</stp>
        <tr r="T136" s="89"/>
      </tp>
      <tp t="s">
        <v>#N/A Requesting Data...3939524313</v>
        <stp/>
        <stp>BDP|16840355052516772475</stp>
        <tr r="AR19" s="2"/>
      </tp>
      <tp t="s">
        <v>#N/A Requesting Data...3597975798</v>
        <stp/>
        <stp>BDP|16719292853193179031</stp>
        <tr r="T26" s="2"/>
        <tr r="T28" s="2"/>
        <tr r="O13" s="89"/>
      </tp>
      <tp t="s">
        <v>#N/A Requesting Data...3838496753</v>
        <stp/>
        <stp>BDP|13796779298948123776</stp>
        <tr r="C136" s="89"/>
      </tp>
      <tp t="s">
        <v>#N/A Requesting Data...4256411269</v>
        <stp/>
        <stp>BDP|16819116934213136521</stp>
        <tr r="F15" s="2"/>
      </tp>
      <tp t="s">
        <v>#N/A Requesting Data...3913451892</v>
        <stp/>
        <stp>BDP|16047448851216675329</stp>
        <tr r="V68" s="89"/>
      </tp>
      <tp t="s">
        <v>#N/A Requesting Data...3570238933</v>
        <stp/>
        <stp>BDP|15160152016321670655</stp>
        <tr r="V76" s="89"/>
      </tp>
      <tp t="s">
        <v>#N/A Requesting Data...4098593708</v>
        <stp/>
        <stp>BDP|16426630275455111023</stp>
        <tr r="V233" s="89"/>
      </tp>
      <tp t="s">
        <v>#N/A Requesting Data...3569562059</v>
        <stp/>
        <stp>BDP|11875259860180843752</stp>
        <tr r="L9" s="252"/>
        <tr r="L9" s="252"/>
      </tp>
      <tp t="s">
        <v>#N/A Requesting Data...3721771915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Data...4156118253</v>
        <stp/>
        <stp>BDP|18387530052069086311</stp>
        <tr r="E11" s="2"/>
      </tp>
      <tp t="s">
        <v>#N/A N/A</v>
        <stp/>
        <stp>BDP|16665812118984554998</stp>
        <tr r="AC16" s="2"/>
        <tr r="AC17" s="2"/>
        <tr r="AC15" s="2"/>
      </tp>
      <tp t="s">
        <v>#N/A Requesting Data...3931181039</v>
        <stp/>
        <stp>BDP|16256063836003372424</stp>
        <tr r="Z253" s="89"/>
        <tr r="AA253" s="89"/>
      </tp>
      <tp t="s">
        <v>#N/A Requesting Data...3557431461</v>
        <stp/>
        <stp>BDP|10392302271721368734</stp>
        <tr r="AJ15" s="338"/>
        <tr r="AJ39" s="338"/>
        <tr r="AK40" s="338"/>
      </tp>
      <tp t="s">
        <v>#N/A Requesting Data...3796214570</v>
        <stp/>
        <stp>BDP|13077127063164089235</stp>
        <tr r="L29" s="338"/>
        <tr r="H29" s="338"/>
        <tr r="L30" s="338"/>
        <tr r="H30" s="338"/>
      </tp>
      <tp t="s">
        <v>#N/A Requesting Data...3641415443</v>
        <stp/>
        <stp>BDP|15616266803836462358</stp>
        <tr r="P18" s="338"/>
      </tp>
      <tp t="s">
        <v>#N/A Requesting Data...3625812750</v>
        <stp/>
        <stp>BDP|12909617883408150686</stp>
        <tr r="F17" s="446"/>
      </tp>
      <tp t="s">
        <v>#N/A Requesting Data...3922974968</v>
        <stp/>
        <stp>BDP|12668630201684454223</stp>
        <tr r="T40" s="338"/>
      </tp>
      <tp t="s">
        <v>#N/A Requesting Data...3682440125</v>
        <stp/>
        <stp>BDP|14907590063523957686</stp>
        <tr r="D39" s="446"/>
      </tp>
      <tp t="s">
        <v>#N/A Requesting Data...4034106105</v>
        <stp/>
        <stp>BDP|15427086549125422631</stp>
        <tr r="F29" s="446"/>
      </tp>
      <tp t="s">
        <v>#N/A Requesting Data...3723782917</v>
        <stp/>
        <stp>BDP|12603611155092450139</stp>
        <tr r="P44" s="338"/>
      </tp>
      <tp t="s">
        <v>#N/A Requesting Data...3652482449</v>
        <stp/>
        <stp>BDP|16481240279105588490</stp>
        <tr r="AD33" s="2"/>
        <tr r="V197" s="89"/>
      </tp>
      <tp t="s">
        <v>#N/A Requesting Data...4241993478</v>
        <stp/>
        <stp>BDP|12650903035052242853</stp>
        <tr r="T50" s="338"/>
      </tp>
      <tp t="s">
        <v>#N/A N/A</v>
        <stp/>
        <stp>BDP|12408752965714432547</stp>
        <tr r="Q18" s="338"/>
      </tp>
      <tp t="s">
        <v>#N/A Requesting Data...4017119380</v>
        <stp/>
        <stp>BDP|15097578277281717435</stp>
        <tr r="AK13" s="338"/>
      </tp>
      <tp t="s">
        <v>#N/A N/A</v>
        <stp/>
        <stp>BDP|17445646416605654744</stp>
        <tr r="R34" s="89"/>
        <tr r="R62" s="89"/>
        <tr r="R63" s="89"/>
        <tr r="R56" s="89"/>
        <tr r="R33" s="89"/>
        <tr r="R55" s="89"/>
        <tr r="AV22" s="2"/>
        <tr r="AV21" s="2"/>
      </tp>
      <tp t="s">
        <v>#N/A Requesting Data...3747188766</v>
        <stp/>
        <stp>BDP|14798833541272440858</stp>
        <tr r="L10" s="338"/>
        <tr r="L11" s="338"/>
        <tr r="L33" s="338"/>
        <tr r="H10" s="338"/>
        <tr r="H11" s="338"/>
        <tr r="H33" s="338"/>
      </tp>
      <tp t="s">
        <v>#N/A Requesting Data...4291677281</v>
        <stp/>
        <stp>BDP|16210743767045071064</stp>
        <tr r="O81" s="89"/>
      </tp>
      <tp t="s">
        <v>#N/A N/A</v>
        <stp/>
        <stp>BDP|17447943913214573912</stp>
        <tr r="AC30" s="2"/>
        <tr r="AC26" s="2"/>
        <tr r="AC28" s="2"/>
        <tr r="AC32" s="2"/>
        <tr r="AC31" s="2"/>
        <tr r="AC27" s="2"/>
        <tr r="AC29" s="2"/>
        <tr r="AC33" s="2"/>
      </tp>
      <tp t="s">
        <v>#N/A Requesting Data...3730146860</v>
        <stp/>
        <stp>BDP|10540491936722929740</stp>
        <tr r="F13" s="446"/>
      </tp>
      <tp t="s">
        <v>#N/A Requesting Data...3616713908</v>
        <stp/>
        <stp>BDP|12531711828603842635</stp>
        <tr r="E251" s="89"/>
      </tp>
      <tp t="s">
        <v>#N/A Requesting Data...3834642586</v>
        <stp/>
        <stp>BDP|12465228967747275351</stp>
        <tr r="F6" s="2"/>
      </tp>
      <tp t="s">
        <v>#N/A Requesting Data...3582278038</v>
        <stp/>
        <stp>BDP|12912757174604960475</stp>
        <tr r="O250" s="89"/>
      </tp>
      <tp t="s">
        <v>#N/A Requesting Data...4231350595</v>
        <stp/>
        <stp>BDP|15272270015294728016</stp>
        <tr r="C24" s="2"/>
      </tp>
      <tp t="s">
        <v>#N/A Requesting Data...4016732029</v>
        <stp/>
        <stp>BDP|11442454801284248346</stp>
        <tr r="E81" s="89"/>
      </tp>
      <tp t="s">
        <v>#N/A N/A</v>
        <stp/>
        <stp>BDP|10374405008290534684</stp>
        <tr r="R50" s="89"/>
        <tr r="R49" s="89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>
        <v>112.22</v>
        <stp/>
        <stp>BDP|1868269163989593436|22</stp>
        <stp>EWY Equity</stp>
        <stp>LAST_PRICE</stp>
        <tr r="I27" s="1"/>
        <tr r="I28" s="1"/>
      </tp>
      <tp t="e">
        <v>#N/A</v>
        <stp/>
        <stp>BDH|13433517978227188448</stp>
        <tr r="J12" s="252"/>
      </tp>
      <tp>
        <v>1.33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23" s="1"/>
      </tp>
      <tp t="s">
        <v>#N/A N/A</v>
        <stp/>
        <stp>BDP|12506693576836787640</stp>
        <tr r="AC23" s="1"/>
      </tp>
      <tp t="s">
        <v>#N/A Requesting Data...4267509802</v>
        <stp/>
        <stp>BDP|14952713124422363077</stp>
        <tr r="AI54" s="338"/>
      </tp>
      <tp t="s">
        <v>#N/A Requesting Data...4220441554</v>
        <stp/>
        <stp>BDP|12378477649350407114</stp>
        <tr r="E25" s="2"/>
      </tp>
      <tp t="s">
        <v>#N/A N/A</v>
        <stp/>
        <stp>BDP|17344183941382189338</stp>
        <tr r="AQ19" s="2"/>
        <tr r="AQ20" s="2"/>
        <tr r="AQ18" s="2"/>
        <tr r="AB235" s="89"/>
        <tr r="AB249" s="89"/>
      </tp>
      <tp t="s">
        <v>#N/A Requesting Data...4182826352</v>
        <stp/>
        <stp>BDP|12659323579531227475</stp>
        <tr r="C137" s="89"/>
      </tp>
      <tp t="s">
        <v>#N/A N/A</v>
        <stp/>
        <stp>BDP|16311838545261662881</stp>
        <tr r="Q41" s="338"/>
      </tp>
      <tp t="s">
        <v>#N/A Requesting Data...3705830539</v>
        <stp/>
        <stp>BDP|13685951603788859137</stp>
        <tr r="T138" s="89"/>
      </tp>
      <tp t="s">
        <v>#N/A Requesting Data...4152535716</v>
        <stp/>
        <stp>BDP|15890946295651151727</stp>
        <tr r="D75" s="89"/>
      </tp>
      <tp t="s">
        <v>#N/A Requesting Data...4075762139</v>
        <stp/>
        <stp>BDP|10998952471375281858</stp>
        <tr r="D11" s="2"/>
      </tp>
      <tp t="s">
        <v>#N/A Requesting Data...4291779652</v>
        <stp/>
        <stp>BDP|11141247349161569535</stp>
        <tr r="F5" s="2"/>
      </tp>
      <tp t="s">
        <v>#N/A Requesting Data...3929642695</v>
        <stp/>
        <stp>BDP|16973005602894719115</stp>
        <tr r="P19" s="252"/>
      </tp>
      <tp t="s">
        <v>#N/A Requesting Data...3919727119</v>
        <stp/>
        <stp>BDP|14061654258613093712</stp>
        <tr r="AA116" s="89"/>
        <tr r="Z116" s="89"/>
      </tp>
      <tp t="s">
        <v>#N/A Requesting Data...3774931806</v>
        <stp/>
        <stp>BDP|11585397164616268161</stp>
        <tr r="D116" s="89"/>
      </tp>
      <tp t="s">
        <v>#N/A Requesting Data...3768390362</v>
        <stp/>
        <stp>BDP|12861943665177076956</stp>
        <tr r="AF12" s="338"/>
      </tp>
      <tp t="s">
        <v>#N/A Requesting Data...4235740179</v>
        <stp/>
        <stp>BDP|15919437567850131436</stp>
        <tr r="G28" s="446"/>
      </tp>
      <tp t="s">
        <v>#N/A Requesting Data...3759122669</v>
        <stp/>
        <stp>BDP|18444768790201454496</stp>
        <tr r="D24" s="2"/>
      </tp>
      <tp t="s">
        <v>#N/A Requesting Data...3611920143</v>
        <stp/>
        <stp>BDP|17345659231843132294</stp>
        <tr r="X31" s="338"/>
      </tp>
      <tp t="s">
        <v>#N/A N/A</v>
        <stp/>
        <stp>BDP|12988555714434708108</stp>
        <tr r="AV23" s="2"/>
        <tr r="AV24" s="2"/>
        <tr r="AV25" s="2"/>
        <tr r="R187" s="89"/>
        <tr r="R188" s="89"/>
        <tr r="R186" s="89"/>
      </tp>
      <tp t="s">
        <v>#N/A N/A</v>
        <stp/>
        <stp>BDP|13934642593416417954</stp>
        <tr r="AI41" s="1"/>
      </tp>
      <tp t="s">
        <v>#N/A Requesting Data...3667746827</v>
        <stp/>
        <stp>BDP|11060492626660625465</stp>
        <tr r="E49" s="89"/>
      </tp>
      <tp t="s">
        <v>#N/A Requesting Data...3765557886</v>
        <stp/>
        <stp>BDP|11636396119835192597</stp>
        <tr r="T69" s="89"/>
        <tr r="T75" s="89"/>
      </tp>
      <tp t="s">
        <v>#N/A Requesting Data...3828456895</v>
        <stp/>
        <stp>BDP|17039732835313216359</stp>
        <tr r="G13" s="446"/>
      </tp>
      <tp t="s">
        <v>#N/A Requesting Data...3595376585</v>
        <stp/>
        <stp>BDP|10212284669224289309</stp>
        <tr r="G15" s="446"/>
      </tp>
      <tp t="s">
        <v>#N/A Requesting Data...4012979372</v>
        <stp/>
        <stp>BDP|16462724592283769820</stp>
        <tr r="Z69" s="89"/>
        <tr r="AA69" s="89"/>
        <tr r="Z75" s="89"/>
        <tr r="AA75" s="89"/>
      </tp>
      <tp t="s">
        <v>#N/A N/A</v>
        <stp/>
        <stp>BDP|14477773684938548023</stp>
        <tr r="AI25" s="1"/>
      </tp>
      <tp t="s">
        <v>#N/A Requesting Data...4098499689</v>
        <stp/>
        <stp>BDP|16890720826198942853</stp>
        <tr r="V81" s="89"/>
      </tp>
      <tp t="s">
        <v>#N/A Requesting Data...4134426613</v>
        <stp/>
        <stp>BDP|16582836999550942450</stp>
        <tr r="T22" s="2"/>
        <tr r="O56" s="89"/>
      </tp>
      <tp t="s">
        <v>#N/A Requesting Data...3722691291</v>
        <stp/>
        <stp>BDP|10628744726607068175</stp>
        <tr r="C225" s="89"/>
      </tp>
      <tp t="s">
        <v>#N/A Requesting Data...4167762278</v>
        <stp/>
        <stp>BDP|16931852689404443127</stp>
        <tr r="AB17" s="1"/>
        <tr r="AB16" s="1"/>
        <tr r="F23" s="446"/>
      </tp>
      <tp t="s">
        <v>#N/A Requesting Data...4294936478</v>
        <stp/>
        <stp>BDP|11246696260120787292</stp>
        <tr r="F10" s="252"/>
      </tp>
      <tp t="s">
        <v>#N/A Requesting Data...4195634948</v>
        <stp/>
        <stp>BDP|15227373250511500153</stp>
        <tr r="X14" s="338"/>
      </tp>
      <tp t="s">
        <v>#N/A Requesting Data...3833551281</v>
        <stp/>
        <stp>BDP|13044527620903591424</stp>
        <tr r="U15" s="338"/>
        <tr r="U39" s="338"/>
      </tp>
      <tp t="s">
        <v>#N/A Requesting Data...4238781379</v>
        <stp/>
        <stp>BDP|13604647470276165765</stp>
        <tr r="C13" s="2"/>
      </tp>
      <tp t="s">
        <v>#N/A N/A</v>
        <stp/>
        <stp>BDP|16066178257148215968</stp>
        <tr r="AV15" s="2"/>
        <tr r="AV16" s="2"/>
        <tr r="AV17" s="2"/>
      </tp>
      <tp t="s">
        <v>#N/A N/A</v>
        <stp/>
        <stp>BDP|12718343677950174519</stp>
        <tr r="E7" s="1"/>
        <tr r="K25" s="1"/>
      </tp>
      <tp t="s">
        <v>#N/A Requesting Data...4021464790</v>
        <stp/>
        <stp>BDP|14592404034766531631</stp>
        <tr r="S53" s="338"/>
      </tp>
      <tp t="s">
        <v>#N/A Requesting Data...3837393488</v>
        <stp/>
        <stp>BDP|11486261538490579386</stp>
        <tr r="AH55" s="338"/>
        <tr r="AI14" s="338"/>
        <tr r="AI55" s="338"/>
      </tp>
      <tp t="s">
        <v>#N/A N/A</v>
        <stp/>
        <stp>BDP|10540622838347954113</stp>
        <tr r="Q29" s="338"/>
      </tp>
      <tp t="s">
        <v>#N/A Requesting Data...3779102917</v>
        <stp/>
        <stp>BDP|17748277643603709136</stp>
        <tr r="D18" s="2"/>
      </tp>
      <tp t="s">
        <v>#N/A Requesting Data...3628510656</v>
        <stp/>
        <stp>BDP|10407776681355403913</stp>
        <tr r="AI9" s="338"/>
      </tp>
      <tp t="s">
        <v>#N/A N/A</v>
        <stp/>
        <stp>BDP|14730076527710394522</stp>
        <tr r="K3" s="1"/>
      </tp>
      <tp t="s">
        <v>#N/A N/A</v>
        <stp/>
        <stp>BDH|15067544510430227256</stp>
        <tr r="AP38" s="338"/>
        <tr r="AP16" s="338"/>
        <tr r="AP40" s="338"/>
      </tp>
      <tp t="e">
        <v>#N/A</v>
        <stp/>
        <stp>BDH|14583815225278766527</stp>
        <tr r="J8" s="252"/>
      </tp>
      <tp t="s">
        <v>#N/A N/A</v>
        <stp/>
        <stp>BDH|13419536868074094783</stp>
        <tr r="AP12" s="338"/>
      </tp>
      <tp t="s">
        <v>USD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4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Data...4032582135</v>
        <stp/>
        <stp>BDP|14244325438963712766</stp>
        <tr r="V62" s="89"/>
      </tp>
      <tp t="s">
        <v>#N/A Requesting Data...4102093612</v>
        <stp/>
        <stp>BDP|17314881181040082738</stp>
        <tr r="AA10" s="2"/>
        <tr r="AA9" s="2"/>
        <tr r="T205" s="89"/>
        <tr r="T213" s="89"/>
      </tp>
      <tp t="s">
        <v>#N/A Requesting Data...3920913508</v>
        <stp/>
        <stp>BDP|11816932821413498963</stp>
        <tr r="T8" s="89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81" s="89"/>
      </tp>
      <tp t="s">
        <v>#N/A Requesting Data...3709555191</v>
        <stp/>
        <stp>BDP|10384653628097195348</stp>
        <tr r="V33" s="338"/>
      </tp>
      <tp t="s">
        <v>#N/A Requesting Data...3857601926</v>
        <stp/>
        <stp>BDP|15830810886156463309</stp>
        <tr r="AA89" s="89"/>
        <tr r="Z89" s="89"/>
      </tp>
      <tp t="s">
        <v>#N/A Requesting Data...3634897695</v>
        <stp/>
        <stp>BDP|16329127935980609498</stp>
        <tr r="M9" s="252"/>
      </tp>
      <tp t="s">
        <v>#N/A Requesting Data...3718547664</v>
        <stp/>
        <stp>BDP|13704441474191883153</stp>
        <tr r="T76" s="89"/>
      </tp>
      <tp t="s">
        <v>#N/A Requesting Data...3941711863</v>
        <stp/>
        <stp>BDP|10213293417720387350</stp>
        <tr r="V20" s="89"/>
      </tp>
      <tp t="s">
        <v>#N/A Requesting Data...3699584935</v>
        <stp/>
        <stp>BDP|14136785762373472653</stp>
        <tr r="P12" s="338"/>
      </tp>
      <tp t="s">
        <v>#N/A Requesting Data...3807654708</v>
        <stp/>
        <stp>BDP|10907713945543986097</stp>
        <tr r="AJ12" s="338"/>
      </tp>
      <tp t="s">
        <v>#N/A Requesting Data...3735553826</v>
        <stp/>
        <stp>BDP|18157396268365948849</stp>
        <tr r="G32" s="446"/>
      </tp>
      <tp t="s">
        <v>#N/A N/A</v>
        <stp/>
        <stp>BDP|17074884840689411213</stp>
        <tr r="K26" s="1"/>
      </tp>
      <tp t="s">
        <v>#N/A Requesting Data...4229498946</v>
        <stp/>
        <stp>BDP|12322490716684467354</stp>
        <tr r="AD27" s="2"/>
        <tr r="AD29" s="2"/>
        <tr r="V14" s="89"/>
      </tp>
      <tp t="s">
        <v>#N/A Requesting Data...4241480124</v>
        <stp/>
        <stp>BDP|16998277646851211171</stp>
        <tr r="C40" s="89"/>
      </tp>
      <tp t="s">
        <v>#N/A Requesting Data...4158845312</v>
        <stp/>
        <stp>BDP|10831977579186203890</stp>
        <tr r="F19" s="2"/>
      </tp>
      <tp t="s">
        <v>#N/A Requesting Data...4072520569</v>
        <stp/>
        <stp>BDP|17187500422678411886</stp>
        <tr r="AA16" s="2"/>
      </tp>
      <tp t="s">
        <v>#N/A Requesting Data...3967083746</v>
        <stp/>
        <stp>BDP|11850099902500446183</stp>
        <tr r="AR27" s="2"/>
        <tr r="AR29" s="2"/>
      </tp>
      <tp t="s">
        <v>#N/A Requesting Data...4074718978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Q10" s="2"/>
        <tr r="AQ8" s="2"/>
        <tr r="AQ9" s="2"/>
        <tr r="AQ7" s="2"/>
        <tr r="AB203" s="89"/>
        <tr r="AB204" s="89"/>
        <tr r="AB205" s="89"/>
        <tr r="AB211" s="89"/>
        <tr r="AB212" s="89"/>
        <tr r="AB213" s="89"/>
        <tr r="AB68" s="89"/>
        <tr r="AB69" s="89"/>
        <tr r="AB75" s="89"/>
        <tr r="AB76" s="89"/>
      </tp>
      <tp t="s">
        <v>#N/A N/A</v>
        <stp/>
        <stp>BDP|15575692114844872615</stp>
        <tr r="AF20" s="1"/>
      </tp>
      <tp t="s">
        <v>#N/A Requesting Data...4085247018</v>
        <stp/>
        <stp>BDP|13176433799579956737</stp>
        <tr r="C16" s="2"/>
      </tp>
      <tp t="s">
        <v>#N/A Requesting Data...3813651986</v>
        <stp/>
        <stp>BDP|13418061992458635272</stp>
        <tr r="E235" s="89"/>
      </tp>
      <tp t="s">
        <v>#N/A Requesting Data...4245281618</v>
        <stp/>
        <stp>BDP|11877678453870847248</stp>
        <tr r="AJ29" s="338"/>
        <tr r="AJ30" s="338"/>
      </tp>
      <tp t="s">
        <v>#N/A Requesting Data...3968768597</v>
        <stp/>
        <stp>BDP|15996554516532939333</stp>
        <tr r="O251" s="89"/>
      </tp>
      <tp t="s">
        <v>#N/A Requesting Data...3898213393</v>
        <stp/>
        <stp>BDP|17979638844017722292</stp>
        <tr r="E224" s="89"/>
      </tp>
      <tp t="s">
        <v>#N/A Requesting Data...4193446273</v>
        <stp/>
        <stp>BDP|12913131077284987044</stp>
        <tr r="AA21" s="2"/>
        <tr r="T55" s="89"/>
      </tp>
      <tp t="s">
        <v>#N/A Requesting Data...4084345562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Data...3733891941</v>
        <stp/>
        <stp>BDP|17857693024795624634</stp>
        <tr r="V19" s="89"/>
      </tp>
      <tp t="s">
        <v>#N/A N/A</v>
        <stp/>
        <stp>BDP|14736375789817362891</stp>
        <tr r="AC2" s="1"/>
        <tr r="AD2" s="1"/>
      </tp>
      <tp t="s">
        <v>#N/A Requesting Data...3693300588</v>
        <stp/>
        <stp>BDP|12022948741018056763</stp>
        <tr r="D81" s="89"/>
      </tp>
      <tp t="s">
        <v>#N/A N/A</v>
        <stp/>
        <stp>BDP|16915999897423444512</stp>
        <tr r="AC17" s="1"/>
        <tr r="AC16" s="1"/>
      </tp>
      <tp t="s">
        <v>#N/A Requesting Data...4047011800</v>
        <stp/>
        <stp>BDP|13439578072010389109</stp>
        <tr r="O225" s="89"/>
      </tp>
      <tp t="s">
        <v>#N/A Requesting Data...4224180686</v>
        <stp/>
        <stp>BDP|11184865175579332734</stp>
        <tr r="F12" s="446"/>
      </tp>
      <tp t="s">
        <v>#N/A Requesting Data...4167159936</v>
        <stp/>
        <stp>BDP|12133420967599732913</stp>
        <tr r="AG12" s="338"/>
      </tp>
      <tp t="s">
        <v>#N/A Requesting Data...4087650308</v>
        <stp/>
        <stp>BDP|15122146107040099471</stp>
        <tr r="E55" s="89"/>
      </tp>
      <tp t="s">
        <v>#N/A Requesting Data...4164240189</v>
        <stp/>
        <stp>BDP|16433044266288225813</stp>
        <tr r="AA8" s="89"/>
        <tr r="Z8" s="89"/>
      </tp>
      <tp t="s">
        <v>#N/A N/A</v>
        <stp/>
        <stp>BDP|14646160180655233875</stp>
        <tr r="AC23" s="2"/>
        <tr r="AC25" s="2"/>
        <tr r="AC24" s="2"/>
      </tp>
      <tp t="s">
        <v>#N/A Requesting Data...4117977974</v>
        <stp/>
        <stp>BDP|11301603537853289723</stp>
        <tr r="T18" s="338"/>
      </tp>
      <tp t="s">
        <v>#N/A Requesting Data...3721579741</v>
        <stp/>
        <stp>BDP|17819773794190840945</stp>
        <tr r="P17" s="252"/>
      </tp>
      <tp t="s">
        <v>#N/A Requesting Data...4046575121</v>
        <stp/>
        <stp>BDP|11542574144783666360</stp>
        <tr r="F41" s="446"/>
      </tp>
      <tp t="s">
        <v>#N/A Requesting Data...3976952915</v>
        <stp/>
        <stp>BDP|10347220747614218226</stp>
        <tr r="T7" s="2"/>
        <tr r="O203" s="89"/>
        <tr r="O211" s="89"/>
      </tp>
      <tp t="s">
        <v>#N/A N/A</v>
        <stp/>
        <stp>BDH|17132388555592981369</stp>
        <tr r="AP11" s="338"/>
        <tr r="AP10" s="338"/>
        <tr r="AP33" s="338"/>
      </tp>
      <tp t="s">
        <v>#N/A N/A</v>
        <stp/>
        <stp>BDH|17843765644426029260</stp>
        <tr r="AS12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50" s="89"/>
      </tp>
      <tp>
        <v>10.1</v>
        <stp/>
        <stp>BDP|9276555910033071665|22</stp>
        <stp>AMZN US 02/13/26 C240 Equity</stp>
        <stp>bid</stp>
        <tr r="K234" s="89"/>
      </tp>
      <tp>
        <v>1.46</v>
        <stp/>
        <stp>BDP|4599874367472431977|22</stp>
        <stp>NFLX US 03/20/26 C104 Equity</stp>
        <stp>ask</stp>
        <tr r="Q23" s="2"/>
      </tp>
      <tp t="s">
        <v>#N/A Requesting Data...4007233704</v>
        <stp/>
        <stp>BDP|10801083268771247632</stp>
        <tr r="D90" s="89"/>
      </tp>
      <tp t="s">
        <v>#N/A Requesting Data...3951679257</v>
        <stp/>
        <stp>BDP|16715867013956947830</stp>
        <tr r="AA56" s="89"/>
        <tr r="Z56" s="89"/>
      </tp>
      <tp t="s">
        <v>#N/A Requesting Data...3964127744</v>
        <stp/>
        <stp>BDP|16930560419574755798</stp>
        <tr r="C5" s="2"/>
      </tp>
      <tp t="s">
        <v>#N/A Requesting Data...4106463932</v>
        <stp/>
        <stp>BDP|10145720918890433776</stp>
        <tr r="T13" s="2"/>
        <tr r="O180" s="89"/>
      </tp>
      <tp t="s">
        <v>#N/A Requesting Data...4216134145</v>
        <stp/>
        <stp>BDP|12055500611067822013</stp>
        <tr r="AJ31" s="338"/>
        <tr r="AJ32" s="338"/>
        <tr r="AH31" s="338"/>
        <tr r="AH32" s="338"/>
      </tp>
      <tp t="s">
        <v>#N/A Requesting Data...4033120833</v>
        <stp/>
        <stp>BDP|10712352949092709470</stp>
        <tr r="AA19" s="89"/>
        <tr r="Z19" s="89"/>
      </tp>
      <tp t="s">
        <v>#N/A N/A</v>
        <stp/>
        <stp>BDP|15821976686341099434</stp>
        <tr r="AB36" s="1"/>
      </tp>
      <tp t="s">
        <v>#N/A Requesting Data...3907763545</v>
        <stp/>
        <stp>BDP|10676361279917372202</stp>
        <tr r="AR32" s="2"/>
      </tp>
      <tp t="s">
        <v>#N/A Requesting Data...3852444486</v>
        <stp/>
        <stp>BDP|15783676161145872136</stp>
        <tr r="O12" s="252"/>
      </tp>
      <tp t="s">
        <v>#N/A N/A</v>
        <stp/>
        <stp>BDP|10827554593684445907</stp>
        <tr r="AG34" s="1"/>
      </tp>
      <tp t="s">
        <v>#N/A Requesting Data...4080297513</v>
        <stp/>
        <stp>BDP|10651894387614235500</stp>
        <tr r="V138" s="89"/>
      </tp>
      <tp t="s">
        <v>#N/A Requesting Data...4185616159</v>
        <stp/>
        <stp>BDP|10435868994421818135</stp>
        <tr r="C27" s="2"/>
        <tr r="C29" s="2"/>
      </tp>
      <tp t="s">
        <v>#N/A N/A</v>
        <stp/>
        <stp>BDP|10107602623444913161</stp>
        <tr r="AF26" s="1"/>
      </tp>
      <tp t="s">
        <v>#N/A Requesting Data...3966541273</v>
        <stp/>
        <stp>BDP|18017376398746707540</stp>
        <tr r="G37" s="446"/>
      </tp>
      <tp t="s">
        <v>#N/A N/A</v>
        <stp/>
        <stp>BDP|14114755054827922064</stp>
        <tr r="Q17" s="338"/>
      </tp>
      <tp t="s">
        <v>#N/A Requesting Data...4095245501</v>
        <stp/>
        <stp>BDP|12980574200352376429</stp>
        <tr r="D27" s="89"/>
      </tp>
      <tp t="s">
        <v>#N/A N/A</v>
        <stp/>
        <stp>BDP|17365785494690778868</stp>
        <tr r="E5" s="1"/>
        <tr r="K23" s="1"/>
      </tp>
      <tp t="s">
        <v>#N/A Requesting Data...3826304683</v>
        <stp/>
        <stp>BDP|11154785569869703897</stp>
        <tr r="V101" s="89"/>
      </tp>
      <tp t="s">
        <v>#N/A Requesting Data...4190301218</v>
        <stp/>
        <stp>BDP|15429373874678916801</stp>
        <tr r="D21" s="2"/>
        <tr r="C55" s="89"/>
      </tp>
      <tp t="s">
        <v>#N/A Requesting Data...4219580795</v>
        <stp/>
        <stp>BDP|13462113802766482523</stp>
        <tr r="P51" s="338"/>
      </tp>
      <tp t="s">
        <v>#N/A Requesting Data...3761396066</v>
        <stp/>
        <stp>BDP|13507309990980542809</stp>
        <tr r="P54" s="338"/>
      </tp>
      <tp t="s">
        <v>#N/A N/A</v>
        <stp/>
        <stp>BDP|11658442792988593552</stp>
        <tr r="AC21" s="1"/>
      </tp>
      <tp t="s">
        <v>#N/A Requesting Data...3900196161</v>
        <stp/>
        <stp>BDP|13251961527568785177</stp>
        <tr r="L41" s="338"/>
        <tr r="H41" s="338"/>
        <tr r="L42" s="338"/>
        <tr r="H42" s="338"/>
      </tp>
      <tp t="s">
        <v>#N/A Requesting Data...4264391637</v>
        <stp/>
        <stp>BDP|10532025680450781936</stp>
        <tr r="T53" s="338"/>
      </tp>
      <tp t="s">
        <v>#N/A N/A</v>
        <stp/>
        <stp>BDP|10516932981182323271</stp>
        <tr r="Q42" s="338"/>
      </tp>
      <tp t="s">
        <v>#N/A Requesting Data...3847769466</v>
        <stp/>
        <stp>BDP|15584846954420486925</stp>
        <tr r="V30" s="338"/>
      </tp>
      <tp t="s">
        <v>#N/A Requesting Data...3833642665</v>
        <stp/>
        <stp>BDP|12417922592843377049</stp>
        <tr r="V50" s="338"/>
      </tp>
      <tp t="s">
        <v>#N/A Requesting Data...3767210360</v>
        <stp/>
        <stp>BDP|15633972697785552118</stp>
        <tr r="V115" s="89"/>
      </tp>
      <tp t="s">
        <v>#N/A N/A</v>
        <stp/>
        <stp>BDP|15698160403534380128</stp>
        <tr r="AB22" s="1"/>
      </tp>
      <tp t="s">
        <v>#N/A Requesting Data...3753742714</v>
        <stp/>
        <stp>BDP|10829342338896620706</stp>
        <tr r="D204" s="89"/>
      </tp>
      <tp t="s">
        <v>#N/A Requesting Data...3974504750</v>
        <stp/>
        <stp>BDP|12713258761875556244</stp>
        <tr r="O26" s="89"/>
      </tp>
      <tp t="s">
        <v>#N/A Requesting Data...4052985115</v>
        <stp/>
        <stp>BDP|11998355979195097173</stp>
        <tr r="T160" s="89"/>
      </tp>
      <tp t="s">
        <v>#N/A Requesting Data...4208697183</v>
        <stp/>
        <stp>BDP|16353514989043023996</stp>
        <tr r="AH14" s="338"/>
        <tr r="AH35" s="338"/>
        <tr r="AJ14" s="338"/>
        <tr r="AJ35" s="338"/>
      </tp>
      <tp t="s">
        <v>#N/A Requesting Data...3741419343</v>
        <stp/>
        <stp>BDP|12456380201726902619</stp>
        <tr r="AA50" s="89"/>
        <tr r="Z50" s="89"/>
      </tp>
      <tp t="s">
        <v>#N/A Requesting Data...4206812686</v>
        <stp/>
        <stp>BDP|11157579934717202151</stp>
        <tr r="V136" s="89"/>
      </tp>
      <tp t="s">
        <v>#N/A Requesting Data...4189684804</v>
        <stp/>
        <stp>BDP|16176003730321499511</stp>
        <tr r="L9" s="338"/>
        <tr r="J9" s="338"/>
      </tp>
      <tp t="s">
        <v>#N/A Requesting Data...3802626840</v>
        <stp/>
        <stp>BDP|16488629082059415041</stp>
        <tr r="M15" s="252"/>
      </tp>
      <tp t="s">
        <v>#N/A Requesting Data...4095407434</v>
        <stp/>
        <stp>BDP|13170702077463225105</stp>
        <tr r="V102" s="89"/>
      </tp>
      <tp t="s">
        <v>#N/A Requesting Data...3939775174</v>
        <stp/>
        <stp>BDP|18267029483522135357</stp>
        <tr r="C19" s="89"/>
      </tp>
      <tp t="s">
        <v>#N/A Requesting Data...4197773591</v>
        <stp/>
        <stp>BDP|15665722340580183729</stp>
        <tr r="AH17" s="338"/>
        <tr r="AH18" s="338"/>
      </tp>
      <tp t="s">
        <v>#N/A Requesting Data...4140866330</v>
        <stp/>
        <stp>BDP|10682710845653266163</stp>
        <tr r="E96" s="89"/>
      </tp>
      <tp t="s">
        <v>#N/A Requesting Data...3894396061</v>
        <stp/>
        <stp>BDP|10764751743486083471</stp>
        <tr r="E4" s="2"/>
      </tp>
      <tp t="s">
        <v>#N/A Requesting Data...3827479634</v>
        <stp/>
        <stp>BDP|14562048524442507562</stp>
        <tr r="AA49" s="89"/>
        <tr r="Z49" s="89"/>
      </tp>
      <tp t="s">
        <v>#N/A N/A</v>
        <stp/>
        <stp>BDP|12960822580902463195</stp>
        <tr r="R153" s="89"/>
        <tr r="R154" s="89"/>
      </tp>
      <tp t="s">
        <v>#N/A Requesting Data...3833069191</v>
        <stp/>
        <stp>BDP|14914589903223067341</stp>
        <tr r="AH31" s="338"/>
        <tr r="AH32" s="338"/>
      </tp>
      <tp t="s">
        <v>#N/A N/A</v>
        <stp/>
        <stp>BDH|12565642808230279586</stp>
        <tr r="AP37" s="338"/>
      </tp>
      <tp t="s">
        <v>#N/A N/A</v>
        <stp/>
        <stp>BDH|17573158567820203194</stp>
        <tr r="AM38" s="338"/>
        <tr r="AM40" s="338"/>
        <tr r="AM16" s="338"/>
      </tp>
      <tp t="s">
        <v>#N/A N/A</v>
        <stp/>
        <stp>BDH|12687635602371056498</stp>
        <tr r="AM54" s="338"/>
        <tr r="AM53" s="338"/>
        <tr r="AM52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Data...3796444867</v>
        <stp/>
        <stp>BDP|10297523734239490992</stp>
        <tr r="AB41" s="1"/>
        <tr r="F19" s="446"/>
      </tp>
      <tp t="s">
        <v>#N/A Requesting Data...3986674878</v>
        <stp/>
        <stp>BDP|12796713228197729608</stp>
        <tr r="P20" s="252"/>
      </tp>
      <tp t="s">
        <v>#N/A Requesting Data...3736221302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30" s="1"/>
      </tp>
      <tp t="s">
        <v>#N/A Requesting Data...3841207255</v>
        <stp/>
        <stp>BDP|13066894584424507113</stp>
        <tr r="AA186" s="89"/>
        <tr r="Z186" s="89"/>
      </tp>
      <tp t="s">
        <v>#N/A N/A</v>
        <stp/>
        <stp>BDP|13534980394766736373</stp>
        <tr r="AG40" s="1"/>
      </tp>
      <tp t="s">
        <v>#N/A Requesting Data...4169773329</v>
        <stp/>
        <stp>BDP|17797289754802274410</stp>
        <tr r="AH16" s="338"/>
        <tr r="AH38" s="338"/>
        <tr r="AH40" s="338"/>
      </tp>
      <tp t="s">
        <v>#N/A Requesting Data...4211857332</v>
        <stp/>
        <stp>BDP|10811773521330276340</stp>
        <tr r="F42" s="446"/>
      </tp>
      <tp t="s">
        <v>#N/A Requesting Data...4236095331</v>
        <stp/>
        <stp>BDP|10555016852265553684</stp>
        <tr r="AD5" s="2"/>
        <tr r="V222" s="89"/>
      </tp>
      <tp t="s">
        <v>#N/A Requesting Data...4119208865</v>
        <stp/>
        <stp>BDP|11364787337662503131</stp>
        <tr r="L48" s="338"/>
        <tr r="J48" s="338"/>
        <tr r="L49" s="338"/>
        <tr r="J49" s="338"/>
      </tp>
      <tp t="s">
        <v>#N/A Requesting Data...4160015818</v>
        <stp/>
        <stp>BDP|11872742860665595345</stp>
        <tr r="D7" s="2"/>
        <tr r="C203" s="89"/>
        <tr r="C211" s="89"/>
      </tp>
      <tp t="s">
        <v>#N/A Requesting Data...3996272230</v>
        <stp/>
        <stp>BDP|10592355801820537596</stp>
        <tr r="V225" s="89"/>
      </tp>
      <tp t="s">
        <v>#N/A Requesting Data...4121228238</v>
        <stp/>
        <stp>BDP|17222791692139571612</stp>
        <tr r="C19" s="2"/>
      </tp>
      <tp t="s">
        <v>#N/A Requesting Data...3859963516</v>
        <stp/>
        <stp>BDP|12754284242295866781</stp>
        <tr r="Y6" s="252"/>
      </tp>
      <tp t="s">
        <v>#N/A Requesting Data...3790969277</v>
        <stp/>
        <stp>BDP|18269203655158880133</stp>
        <tr r="F39" s="446"/>
      </tp>
      <tp t="s">
        <v>#N/A Requesting Data...4090043207</v>
        <stp/>
        <stp>BDP|12227291512562192542</stp>
        <tr r="AJ37" s="338"/>
      </tp>
      <tp>
        <v>25683.5</v>
        <stp/>
        <stp>BDP|5290294231774893874|22</stp>
        <stp>4OH6 Index</stp>
        <stp>LAST_PRICE</stp>
        <tr r="S153" s="89"/>
        <tr r="S154" s="89"/>
      </tp>
      <tp t="s">
        <v>#N/A Requesting Data...3754189769</v>
        <stp/>
        <stp>BDP|16951549404092060765</stp>
        <tr r="V109" s="89"/>
      </tp>
      <tp t="s">
        <v>#N/A Requesting Data...3887652285</v>
        <stp/>
        <stp>BDP|14465682678745316685</stp>
        <tr r="V171" s="89"/>
      </tp>
      <tp t="s">
        <v>#N/A Requesting Data...3980090776</v>
        <stp/>
        <stp>BDP|11386689669882555588</stp>
        <tr r="E122" s="89"/>
      </tp>
      <tp t="s">
        <v>#N/A Requesting Data...4005067599</v>
        <stp/>
        <stp>BDP|16786358086579802228</stp>
        <tr r="E22" s="2"/>
      </tp>
      <tp t="s">
        <v>#N/A N/A</v>
        <stp/>
        <stp>BDP|10862910151042763813</stp>
        <tr r="Q48" s="338"/>
      </tp>
      <tp t="s">
        <v>#N/A Requesting Data...4238026421</v>
        <stp/>
        <stp>BDP|16385386864915757060</stp>
        <tr r="T54" s="338"/>
      </tp>
      <tp t="s">
        <v>#N/A Requesting Data...3964522901</v>
        <stp/>
        <stp>BDP|11967224370684341665</stp>
        <tr r="T18" s="2"/>
      </tp>
      <tp t="s">
        <v>#N/A N/A</v>
        <stp/>
        <stp>BDP|13639162762852624052</stp>
        <tr r="AF30" s="1"/>
      </tp>
      <tp t="s">
        <v>#N/A Requesting Data...3966006017</v>
        <stp/>
        <stp>BDP|16302213673966019302</stp>
        <tr r="V224" s="89"/>
      </tp>
      <tp t="s">
        <v>#N/A Requesting Data...4174822807</v>
        <stp/>
        <stp>BDP|14172029208847257580</stp>
        <tr r="V42" s="338"/>
      </tp>
      <tp t="s">
        <v>#N/A Requesting Data...4080247551</v>
        <stp/>
        <stp>BDP|13817818016325631992</stp>
        <tr r="AA30" s="2"/>
        <tr r="T7" s="89"/>
      </tp>
      <tp t="s">
        <v>#N/A Requesting Data...4081340314</v>
        <stp/>
        <stp>BDP|10374609618263940213</stp>
        <tr r="S30" s="338"/>
      </tp>
      <tp t="s">
        <v>#N/A Requesting Data...3924909443</v>
        <stp/>
        <stp>BDP|11156706822837900596</stp>
        <tr r="V51" s="338"/>
      </tp>
      <tp t="s">
        <v>#N/A N/A</v>
        <stp/>
        <stp>BDP|10137680139817712447</stp>
        <tr r="AC19" s="2"/>
        <tr r="AC20" s="2"/>
        <tr r="AC18" s="2"/>
      </tp>
      <tp t="s">
        <v>#N/A Requesting Data...3936343534</v>
        <stp/>
        <stp>BDP|18365939499897354990</stp>
        <tr r="D160" s="89"/>
      </tp>
      <tp t="s">
        <v>#N/A Requesting Data...3953315336</v>
        <stp/>
        <stp>BDP|15452088774745294193</stp>
        <tr r="AA14" s="89"/>
        <tr r="Z14" s="89"/>
      </tp>
      <tp t="s">
        <v>#N/A Requesting Data...4017437310</v>
        <stp/>
        <stp>BDP|11064610705050727104</stp>
        <tr r="V137" s="89"/>
      </tp>
      <tp t="s">
        <v>#N/A Requesting Data...4239579750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Data...4037110957</v>
        <stp/>
        <stp>BDP|16272552922964616315</stp>
        <tr r="T129" s="89"/>
      </tp>
      <tp t="s">
        <v>#N/A Requesting Data...4041437294</v>
        <stp/>
        <stp>BDP|13411331071224771530</stp>
        <tr r="F32" s="2"/>
      </tp>
      <tp t="s">
        <v>#N/A Requesting Data...4030351781</v>
        <stp/>
        <stp>BDP|10078809003498061665</stp>
        <tr r="AH12" s="338"/>
      </tp>
      <tp t="s">
        <v>#N/A Requesting Data...3774327802</v>
        <stp/>
        <stp>BDP|11277689408467201656</stp>
        <tr r="T13" s="338"/>
      </tp>
      <tp t="s">
        <v>#N/A Requesting Data...3935840859</v>
        <stp/>
        <stp>BDP|13974956684510873453</stp>
        <tr r="D123" s="89"/>
      </tp>
      <tp t="s">
        <v>#N/A N/A</v>
        <stp/>
        <stp>BDP|14669695263307967519</stp>
        <tr r="AB250" s="89"/>
      </tp>
      <tp t="s">
        <v>#N/A Requesting Data...3914377877</v>
        <stp/>
        <stp>BDP|10427861548958967244</stp>
        <tr r="AJ55" s="338"/>
        <tr r="AK14" s="338"/>
        <tr r="AK55" s="338"/>
      </tp>
      <tp t="s">
        <v>#N/A Requesting Data...4051974025</v>
        <stp/>
        <stp>BDP|12964383061440508121</stp>
        <tr r="S49" s="338"/>
      </tp>
      <tp t="s">
        <v>#N/A Requesting Data...3882574567</v>
        <stp/>
        <stp>BDP|17935753969917403773</stp>
        <tr r="F11" s="252"/>
      </tp>
      <tp t="s">
        <v>#N/A Requesting Data...4271562247</v>
        <stp/>
        <stp>BDP|16562085350705983025</stp>
        <tr r="D223" s="89"/>
      </tp>
      <tp t="s">
        <v>#N/A Requesting Data...3760310057</v>
        <stp/>
        <stp>BDP|10542746004898665953</stp>
        <tr r="AR21" s="2"/>
      </tp>
      <tp t="s">
        <v>#N/A Requesting Data...3851213646</v>
        <stp/>
        <stp>BDP|13500438920085344630</stp>
        <tr r="E76" s="89"/>
      </tp>
      <tp t="s">
        <v>#N/A Requesting Data...3890267224</v>
        <stp/>
        <stp>BDP|12893396681958013760</stp>
        <tr r="C95" s="89"/>
      </tp>
      <tp t="s">
        <v>#N/A N/A</v>
        <stp/>
        <stp>BDH|16959557354316086691</stp>
        <tr r="AS40" s="338"/>
        <tr r="AN39" s="338"/>
        <tr r="AN15" s="338"/>
      </tp>
      <tp t="s">
        <v>#N/A N/A</v>
        <stp/>
        <stp>BDH|15944067848832619516</stp>
        <tr r="AN36" s="338"/>
      </tp>
      <tp t="e">
        <v>#N/A</v>
        <stp/>
        <stp>BDH|10658776607639471809</stp>
        <tr r="J18" s="252"/>
      </tp>
      <tp t="s">
        <v>#N/A N/A</v>
        <stp/>
        <stp>BDH|14343194362802358735</stp>
        <tr r="AR54" s="338"/>
      </tp>
      <tp t="s">
        <v>#N/A Invalid Security</v>
        <stp/>
        <stp>BDP|6009743579334462620|22</stp>
        <stp>KLAC US 02/06/26 C1600 Equity</stp>
        <stp>QUOTED_CURRENCY_REALTIME</stp>
        <tr r="F27" s="89"/>
      </tp>
      <tp t="s">
        <v>#N/A N/A</v>
        <stp/>
        <stp>BDH|14494214356763114686</stp>
        <tr r="AP35" s="338"/>
        <tr r="AP14" s="338"/>
      </tp>
      <tp>
        <v>18.100000000000001</v>
        <stp/>
        <stp>BDP|5005092167591802286|22</stp>
        <stp>META US 04/17/26 C690 Equity</stp>
        <stp>bid</stp>
        <tr r="P12" s="2"/>
        <tr r="K170" s="89"/>
        <tr r="K179" s="89"/>
      </tp>
      <tp t="s">
        <v>#N/A Requesting Data...3951926030</v>
        <stp/>
        <stp>BDP|14882631572614102616</stp>
        <tr r="S10" s="252"/>
      </tp>
      <tp t="s">
        <v>#N/A Requesting Data...3864634428</v>
        <stp/>
        <stp>BDP|14222470646161364298</stp>
        <tr r="C15" s="2"/>
      </tp>
      <tp t="s">
        <v>#N/A Requesting Data...3892408133</v>
        <stp/>
        <stp>BDP|13396250829954504031</stp>
        <tr r="T5" s="2"/>
        <tr r="O222" s="89"/>
      </tp>
      <tp t="s">
        <v>#N/A Requesting Data...3855655900</v>
        <stp/>
        <stp>BDP|18254298125537508829</stp>
        <tr r="E204" s="89"/>
        <tr r="E212" s="89"/>
      </tp>
      <tp t="s">
        <v>#N/A Requesting Data...3899529275</v>
        <stp/>
        <stp>BDP|15405352618855239533</stp>
        <tr r="E33" s="2"/>
      </tp>
      <tp t="s">
        <v>#N/A Requesting Data...4149164326</v>
        <stp/>
        <stp>BDP|16419783378891865042</stp>
        <tr r="E249" s="89"/>
      </tp>
      <tp t="s">
        <v>#N/A N/A</v>
        <stp/>
        <stp>BDP|17370707244810639397</stp>
        <tr r="AC5" s="2"/>
        <tr r="AC6" s="2"/>
      </tp>
      <tp t="s">
        <v>#N/A Requesting Data...4257588820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N/A</v>
        <stp/>
        <stp>BDP|10775000831607606384</stp>
        <tr r="AB29" s="1"/>
      </tp>
      <tp t="s">
        <v>#N/A Requesting Data...4044949892</v>
        <stp/>
        <stp>BDP|15404493773766767722</stp>
        <tr r="G36" s="446"/>
      </tp>
      <tp t="s">
        <v>#N/A Requesting Data...4229725250</v>
        <stp/>
        <stp>BDP|10498485443064599312</stp>
        <tr r="X50" s="338"/>
      </tp>
      <tp t="s">
        <v>#N/A Requesting Data...3826635836</v>
        <stp/>
        <stp>BDP|15078283603585761571</stp>
        <tr r="O171" s="89"/>
      </tp>
      <tp t="s">
        <v>#N/A Requesting Data...3884219007</v>
        <stp/>
        <stp>BDP|18114698683463557242</stp>
        <tr r="AF41" s="1"/>
        <tr r="AG9" s="338"/>
      </tp>
      <tp t="s">
        <v>#N/A Requesting Data...3848513062</v>
        <stp/>
        <stp>BDP|14185986357608085749</stp>
        <tr r="V44" s="338"/>
      </tp>
      <tp t="s">
        <v>#N/A Requesting Data...3903057847</v>
        <stp/>
        <stp>BDP|13775077133931138686</stp>
        <tr r="AH41" s="338"/>
        <tr r="AH42" s="338"/>
        <tr r="AJ41" s="338"/>
        <tr r="AJ42" s="338"/>
      </tp>
      <tp t="s">
        <v>#N/A Requesting Data...4177038367</v>
        <stp/>
        <stp>BDP|15710273126027498587</stp>
        <tr r="E68" s="89"/>
      </tp>
      <tp t="s">
        <v>#N/A Requesting Data...4105408258</v>
        <stp/>
        <stp>BDP|14232577743505528792</stp>
        <tr r="F7" s="252"/>
      </tp>
      <tp t="s">
        <v>#N/A N/A</v>
        <stp/>
        <stp>BDP|14556104661927858316</stp>
        <tr r="K6" s="1"/>
        <tr r="K16" s="1"/>
      </tp>
      <tp t="s">
        <v>#N/A Requesting Data...4161558376</v>
        <stp/>
        <stp>BDP|12341108167772818008</stp>
        <tr r="T35" s="338"/>
      </tp>
      <tp t="s">
        <v>#N/A Requesting Data...4112434469</v>
        <stp/>
        <stp>BDP|10253727379283384458</stp>
        <tr r="D22" s="2"/>
        <tr r="C56" s="89"/>
      </tp>
      <tp t="s">
        <v>#N/A Requesting Data...4131423458</v>
        <stp/>
        <stp>BDP|11763676684369362182</stp>
        <tr r="E39" s="89"/>
      </tp>
      <tp t="s">
        <v>#N/A Requesting Data...3832375092</v>
        <stp/>
        <stp>BDP|13772195236723550526</stp>
        <tr r="X55" s="338"/>
      </tp>
      <tp t="s">
        <v>#N/A Requesting Data...4227585661</v>
        <stp/>
        <stp>BDP|17465284925626707608</stp>
        <tr r="D13" s="2"/>
        <tr r="C180" s="89"/>
      </tp>
      <tp t="s">
        <v>#N/A Requesting Data...4257860965</v>
        <stp/>
        <stp>BDP|17524118567766475161</stp>
        <tr r="F20" s="252"/>
      </tp>
      <tp t="s">
        <v>#N/A Requesting Data...4022914211</v>
        <stp/>
        <stp>BDP|13483096816386354391</stp>
        <tr r="S54" s="338"/>
      </tp>
      <tp t="s">
        <v>#N/A Requesting Data...3871025235</v>
        <stp/>
        <stp>BDP|16190103000157320731</stp>
        <tr r="V144" s="89"/>
      </tp>
      <tp t="s">
        <v>#N/A Requesting Data...4088442487</v>
        <stp/>
        <stp>BDP|18300697183042109391</stp>
        <tr r="O243" s="89"/>
      </tp>
      <tp t="s">
        <v>#N/A Requesting Data...4244226631</v>
        <stp/>
        <stp>BDP|12052868717818962496</stp>
        <tr r="AI32" s="338"/>
        <tr r="AI46" s="338"/>
        <tr r="AI50" s="338"/>
        <tr r="AI8" s="338"/>
      </tp>
      <tp t="s">
        <v>#N/A Requesting Data...3805699284</v>
        <stp/>
        <stp>BDP|12678050625094398357</stp>
        <tr r="AC33" s="1"/>
        <tr r="D35" s="446"/>
      </tp>
      <tp t="s">
        <v>#N/A Requesting Data...4084567615</v>
        <stp/>
        <stp>BDP|10174429034410523025</stp>
        <tr r="E6" s="2"/>
      </tp>
      <tp t="s">
        <v>#N/A Requesting Data...3812118087</v>
        <stp/>
        <stp>BDP|14466338705836267600</stp>
        <tr r="C186" s="89"/>
      </tp>
      <tp t="s">
        <v>#N/A Requesting Data...4268203512</v>
        <stp/>
        <stp>BDP|16610644456344429603</stp>
        <tr r="T62" s="89"/>
      </tp>
      <tp t="s">
        <v>#N/A Requesting Data...4201691782</v>
        <stp/>
        <stp>BDP|12696369723990354409</stp>
        <tr r="C22" s="2"/>
      </tp>
      <tp t="s">
        <v>#N/A Requesting Data...3847102842</v>
        <stp/>
        <stp>BDP|13691107662271159260</stp>
        <tr r="AR26" s="2"/>
        <tr r="AR28" s="2"/>
      </tp>
      <tp t="s">
        <v>#N/A Requesting Data...4197353828</v>
        <stp/>
        <stp>BDP|15357058437984658543</stp>
        <tr r="E108" s="89"/>
      </tp>
      <tp t="s">
        <v>#N/A N/A</v>
        <stp/>
        <stp>BDP|13548034063303146173</stp>
        <tr r="AC10" s="2"/>
        <tr r="AC8" s="2"/>
        <tr r="AC9" s="2"/>
        <tr r="AC7" s="2"/>
      </tp>
      <tp t="s">
        <v>#N/A Requesting Data...4269701241</v>
        <stp/>
        <stp>BDP|10809595656630258773</stp>
        <tr r="N8" s="252"/>
        <tr r="N8" s="252"/>
      </tp>
      <tp t="s">
        <v>#N/A Requesting Data...4173132596</v>
        <stp/>
        <stp>BDP|11136935115988096638</stp>
        <tr r="AJ17" s="338"/>
        <tr r="AJ18" s="338"/>
      </tp>
      <tp t="s">
        <v>#N/A N/A</v>
        <stp/>
        <stp>BDP|18349124644972951880</stp>
        <tr r="AF38" s="1"/>
        <tr r="AF39" s="1"/>
      </tp>
      <tp t="s">
        <v>#N/A N/A</v>
        <stp/>
        <stp>BDP|11497740836951115333</stp>
        <tr r="AC38" s="1"/>
        <tr r="AC39" s="1"/>
      </tp>
      <tp t="s">
        <v>#N/A Requesting Data...3980918960</v>
        <stp/>
        <stp>BDP|17117535562106038540</stp>
        <tr r="X35" s="338"/>
      </tp>
      <tp t="s">
        <v>#N/A Requesting Data...3848785948</v>
        <stp/>
        <stp>BDP|11947265064485960753</stp>
        <tr r="U32" s="338"/>
      </tp>
      <tp t="s">
        <v>#N/A N/A</v>
        <stp/>
        <stp>BDP|15557706966376357570</stp>
        <tr r="Q46" s="338"/>
      </tp>
      <tp t="s">
        <v>#N/A Requesting Data...4205177450</v>
        <stp/>
        <stp>BDP|14775072652717603137</stp>
        <tr r="O62" s="89"/>
      </tp>
      <tp t="s">
        <v>#N/A Requesting Data...4207242022</v>
        <stp/>
        <stp>BDP|16499524695588160545</stp>
        <tr r="C178" s="89"/>
      </tp>
      <tp t="s">
        <v>#N/A Requesting Data...3956317371</v>
        <stp/>
        <stp>BDP|13561760801782380171</stp>
        <tr r="AA14" s="2"/>
      </tp>
      <tp t="s">
        <v>#N/A N/A</v>
        <stp/>
        <stp>BDP|12323949773173055828</stp>
        <tr r="Q12" s="338"/>
      </tp>
      <tp t="s">
        <v>#N/A N/A</v>
        <stp/>
        <stp>BDP|13856641820218803820</stp>
        <tr r="AB13" s="1"/>
      </tp>
      <tp t="s">
        <v>#N/A N/A</v>
        <stp/>
        <stp>BDH|15355296308941852181</stp>
        <tr r="AM11" s="338"/>
        <tr r="AM10" s="338"/>
        <tr r="AM33" s="338"/>
      </tp>
      <tp t="s">
        <v>#N/A N/A</v>
        <stp/>
        <stp>BDH|10293403267834884186</stp>
        <tr r="AR9" s="338"/>
      </tp>
      <tp t="s">
        <v>#N/A N/A</v>
        <stp/>
        <stp>BDH|15203934841568858716</stp>
        <tr r="AR40" s="338"/>
        <tr r="AM39" s="338"/>
        <tr r="AM15" s="338"/>
      </tp>
      <tp>
        <v>82.11</v>
        <stp/>
        <stp>BDP|2057497571936690391|22</stp>
        <stp>XLP Equity</stp>
        <stp>LAST_PRICE</stp>
        <tr r="I41" s="1"/>
      </tp>
      <tp t="e">
        <v>#N/A</v>
        <stp/>
        <stp>BDH|14841814459759862757</stp>
        <tr r="T19" s="252"/>
        <tr r="W19" s="252"/>
      </tp>
      <tp t="s">
        <v>#N/A N/A</v>
        <stp/>
        <stp>BDH|12719122115102543791</stp>
        <tr r="AN12" s="338"/>
      </tp>
      <tp t="e">
        <v>#N/A</v>
        <stp/>
        <stp>BDH|17663640529772248671</stp>
        <tr r="J15" s="252"/>
      </tp>
      <tp>
        <v>87.19</v>
        <stp/>
        <stp>BDP|9722167412074972561|22</stp>
        <stp>MXCN Index</stp>
        <stp>LAST_PRICE</stp>
        <tr r="H17" s="252"/>
        <tr r="H17" s="252"/>
      </tp>
      <tp>
        <v>-0.33141875267028809</v>
        <stp/>
        <stp>BDP|18418713240494206607|22</stp>
        <stp>MRVL US 03/20/26 P75 Equity</stp>
        <stp>DELTA_MID_RT</stp>
        <tr r="AF17" s="2"/>
      </tp>
      <tp t="s">
        <v>USD</v>
        <stp/>
        <stp>BDP|8663214507502170487|22</stp>
        <stp>MU US 03/20/26 P350 Equity</stp>
        <stp>QUOTED_CURRENCY_REALTIME</stp>
        <tr r="F81" s="89"/>
      </tp>
      <tp>
        <v>1.22</v>
        <stp/>
        <stp>BDP|9219352217858311461|22</stp>
        <stp>NFLX US 03/20/26 C105 Equity</stp>
        <stp>bid</stp>
        <tr r="K186" s="89"/>
      </tp>
      <tp>
        <v>7.8</v>
        <stp/>
        <stp>BDP|8554484547271150911|22</stp>
        <stp>META US 04/17/26 C750 Equity</stp>
        <stp>ask</stp>
        <tr r="L169" s="89"/>
      </tp>
      <tp t="s">
        <v>#N/A Requesting Data...3822400427</v>
        <stp/>
        <stp>BDP|16351185019962298098</stp>
        <tr r="AA11" s="2"/>
      </tp>
      <tp t="s">
        <v>#N/A Requesting Data...4019365109</v>
        <stp/>
        <stp>BDP|11978278325994517174</stp>
        <tr r="D19" s="2"/>
      </tp>
      <tp t="s">
        <v>#N/A Requesting Data...3830510440</v>
        <stp/>
        <stp>BDP|16088392599149988101</stp>
        <tr r="C76" s="89"/>
      </tp>
      <tp t="s">
        <v>#N/A Requesting Data...4112249761</v>
        <stp/>
        <stp>BDP|17506313141244542095</stp>
        <tr r="T21" s="2"/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11" s="2"/>
      </tp>
      <tp t="s">
        <v>#N/A Requesting Data...4135310580</v>
        <stp/>
        <stp>BDP|10441895032989795603</stp>
        <tr r="AI11" s="338"/>
      </tp>
      <tp t="s">
        <v>#N/A Requesting Data...4082618997</v>
        <stp/>
        <stp>BDP|14441106816594061499</stp>
        <tr r="C123" s="89"/>
      </tp>
      <tp t="s">
        <v>#N/A Requesting Data...3911533729</v>
        <stp/>
        <stp>BDP|10177295885089010760</stp>
        <tr r="O235" s="89"/>
      </tp>
      <tp t="s">
        <v>#N/A Requesting Data...4265300797</v>
        <stp/>
        <stp>BDP|12860442788122732887</stp>
        <tr r="E21" s="2"/>
      </tp>
      <tp t="s">
        <v>#N/A N/A</v>
        <stp/>
        <stp>BDP|18129626680660034281</stp>
        <tr r="AB26" s="1"/>
      </tp>
      <tp t="s">
        <v>#N/A Requesting Data...4077667196</v>
        <stp/>
        <stp>BDP|16150678046234374495</stp>
        <tr r="T37" s="338"/>
      </tp>
      <tp t="s">
        <v>#N/A Requesting Data...4190622052</v>
        <stp/>
        <stp>BDP|11019717141062892428</stp>
        <tr r="D222" s="89"/>
      </tp>
      <tp t="s">
        <v>#N/A Requesting Data...4165171400</v>
        <stp/>
        <stp>BDP|12393674143771890529</stp>
        <tr r="V26" s="89"/>
      </tp>
      <tp t="s">
        <v>#N/A Requesting Data...4151021746</v>
        <stp/>
        <stp>BDP|15887487297509862523</stp>
        <tr r="AA32" s="2"/>
        <tr r="T196" s="89"/>
      </tp>
      <tp t="s">
        <v>#N/A Requesting Data...3846090553</v>
        <stp/>
        <stp>BDP|11174255088816885991</stp>
        <tr r="AA13" s="89"/>
        <tr r="Z13" s="89"/>
      </tp>
      <tp t="s">
        <v>#N/A Requesting Data...4277142069</v>
        <stp/>
        <stp>BDP|16648266400645825550</stp>
        <tr r="T242" s="89"/>
      </tp>
      <tp t="s">
        <v>#N/A Requesting Data...3953942246</v>
        <stp/>
        <stp>BDP|13677881495424052263</stp>
        <tr r="V46" s="338"/>
      </tp>
      <tp t="s">
        <v>#N/A Requesting Data...4245217615</v>
        <stp/>
        <stp>BDP|17810208191751672937</stp>
        <tr r="U53" s="338"/>
      </tp>
      <tp t="s">
        <v>#N/A Requesting Data...4241261466</v>
        <stp/>
        <stp>BDP|13362587002474685639</stp>
        <tr r="G33" s="446"/>
      </tp>
      <tp t="s">
        <v>#N/A Requesting Data...4283364781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N/A</v>
        <stp/>
        <stp>BDP|11667204278122828293</stp>
        <tr r="Q13" s="338"/>
      </tp>
      <tp t="s">
        <v>#N/A Requesting Data...4021583505</v>
        <stp/>
        <stp>BDP|10953387444814317799</stp>
        <tr r="S18" s="252"/>
      </tp>
      <tp t="s">
        <v>#N/A Requesting Data...4121504054</v>
        <stp/>
        <stp>BDP|16095389787508071105</stp>
        <tr r="V11" s="338"/>
      </tp>
      <tp t="s">
        <v>#N/A Requesting Data...4181144412</v>
        <stp/>
        <stp>BDP|11580587764812660407</stp>
        <tr r="P48" s="338"/>
      </tp>
      <tp t="s">
        <v>#N/A N/A</v>
        <stp/>
        <stp>BDP|13575315073344101794</stp>
        <tr r="Q47" s="338"/>
      </tp>
      <tp t="s">
        <v>#N/A Requesting Data...3972152155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Data...3965447781</v>
        <stp/>
        <stp>BDP|15878521351180442107</stp>
        <tr r="D109" s="89"/>
      </tp>
      <tp t="s">
        <v>#N/A N/A</v>
        <stp/>
        <stp>BDP|13869858446533787827</stp>
        <tr r="Q45" s="338"/>
      </tp>
      <tp t="s">
        <v>#N/A Requesting Data...4201105762</v>
        <stp/>
        <stp>BDP|13970059459100158254</stp>
        <tr r="AA5" s="2"/>
        <tr r="T222" s="89"/>
      </tp>
      <tp t="s">
        <v>#N/A Requesting Data...3958421143</v>
        <stp/>
        <stp>BDP|10930560316549062982</stp>
        <tr r="C160" s="89"/>
      </tp>
      <tp t="s">
        <v>#N/A Requesting Data...3916804730</v>
        <stp/>
        <stp>BDP|16023917640776957980</stp>
        <tr r="AI11" s="338"/>
        <tr r="AK11" s="338"/>
      </tp>
      <tp t="s">
        <v>#N/A Requesting Data...3934759889</v>
        <stp/>
        <stp>BDP|11370679863820706539</stp>
        <tr r="E33" s="89"/>
      </tp>
      <tp t="s">
        <v>#N/A Requesting Data...3939609595</v>
        <stp/>
        <stp>BDP|14437871301241284935</stp>
        <tr r="AJ36" s="338"/>
      </tp>
      <tp t="s">
        <v>#N/A Requesting Data...4185261262</v>
        <stp/>
        <stp>BDP|11214745035248274920</stp>
        <tr r="V32" s="338"/>
      </tp>
      <tp t="s">
        <v>#N/A Requesting Data...4090744816</v>
        <stp/>
        <stp>BDP|12168490429210433067</stp>
        <tr r="AA12" s="2"/>
        <tr r="T170" s="89"/>
        <tr r="T179" s="89"/>
      </tp>
      <tp t="s">
        <v>#N/A Requesting Data...3985148389</v>
        <stp/>
        <stp>BDP|11625676250200786659</stp>
        <tr r="T32" s="338"/>
      </tp>
      <tp t="s">
        <v>#N/A Requesting Data...4031347629</v>
        <stp/>
        <stp>BDP|13296159244091423359</stp>
        <tr r="P29" s="338"/>
      </tp>
      <tp t="s">
        <v>#N/A N/A</v>
        <stp/>
        <stp>BDP|18042899846108511886</stp>
        <tr r="AB253" s="89"/>
      </tp>
      <tp t="s">
        <v>#N/A Requesting Data...3988836144</v>
        <stp/>
        <stp>BDP|10190934152880793852</stp>
        <tr r="X52" s="338"/>
      </tp>
      <tp t="s">
        <v>#N/A Requesting Data...4068673697</v>
        <stp/>
        <stp>BDP|14059396921424230587</stp>
        <tr r="AF34" s="1"/>
        <tr r="AF14" s="338"/>
        <tr r="AF35" s="338"/>
      </tp>
      <tp t="s">
        <v>#N/A N/A</v>
        <stp/>
        <stp>BDP|10277078346579288930</stp>
        <tr r="Q11" s="338"/>
      </tp>
      <tp t="s">
        <v>#N/A Requesting Data...4015626101</v>
        <stp/>
        <stp>BDP|12679894611876997952</stp>
        <tr r="S44" s="338"/>
      </tp>
      <tp t="s">
        <v>#N/A Requesting Data...3986970377</v>
        <stp/>
        <stp>BDP|12362248812136683317</stp>
        <tr r="AR22" s="2"/>
      </tp>
      <tp t="s">
        <v>#N/A Requesting Data...4248481676</v>
        <stp/>
        <stp>BDP|15308638561242100355</stp>
        <tr r="AD7" s="2"/>
        <tr r="V203" s="89"/>
        <tr r="V211" s="89"/>
      </tp>
      <tp t="s">
        <v>#N/A Requesting Data...3861705570</v>
        <stp/>
        <stp>BDP|16872480006000637658</stp>
        <tr r="E24" s="2"/>
      </tp>
      <tp t="s">
        <v>#N/A Requesting Data...3920063712</v>
        <stp/>
        <stp>BDP|17956776735294864366</stp>
        <tr r="E145" s="89"/>
      </tp>
      <tp t="s">
        <v>#N/A Requesting Data...4189945568</v>
        <stp/>
        <stp>BDP|13164210523337526031</stp>
        <tr r="E89" s="89"/>
      </tp>
      <tp t="s">
        <v>#N/A Requesting Data...4018428934</v>
        <stp/>
        <stp>BDP|10130888374289856216</stp>
        <tr r="U13" s="338"/>
      </tp>
      <tp t="s">
        <v>#N/A Requesting Data...3997382767</v>
        <stp/>
        <stp>BDP|11025769754705706214</stp>
        <tr r="V40" s="89"/>
      </tp>
      <tp t="s">
        <v>#N/A Requesting Data...4277882110</v>
        <stp/>
        <stp>BDP|12072061123567199335</stp>
        <tr r="X16" s="338"/>
        <tr r="X38" s="338"/>
      </tp>
      <tp t="s">
        <v>#N/A Requesting Data...4183899251</v>
        <stp/>
        <stp>BDP|10337841861653211939</stp>
        <tr r="AB40" s="1"/>
        <tr r="F14" s="446"/>
      </tp>
      <tp t="s">
        <v>#N/A Requesting Data...3882591245</v>
        <stp/>
        <stp>BDP|13510264833692721404</stp>
        <tr r="U49" s="338"/>
      </tp>
      <tp t="s">
        <v>#N/A Requesting Data...4112259344</v>
        <stp/>
        <stp>BDP|10643918097663219742</stp>
        <tr r="T14" s="2"/>
      </tp>
      <tp t="s">
        <v>#N/A N/A</v>
        <stp/>
        <stp>BDP|11243430201469561835</stp>
        <tr r="AI31" s="1"/>
        <tr r="AI32" s="1"/>
      </tp>
      <tp t="s">
        <v>#N/A Real Time</v>
        <stp/>
        <stp>BDP|1386421501419148260|22</stp>
        <stp>MP US 09/19/25 P46 Equity</stp>
        <stp>DELTA_MID_RT</stp>
        <tr r="W243" s="89"/>
      </tp>
      <tp t="e">
        <v>#N/A</v>
        <stp/>
        <stp>BDH|14787871165809047737</stp>
        <tr r="J10" s="252"/>
      </tp>
      <tp t="s">
        <v>#N/A N/A</v>
        <stp/>
        <stp>BDH|12082147248427393450</stp>
        <tr r="AR52" s="338"/>
        <tr r="AR15" s="338"/>
        <tr r="AR17" s="338"/>
        <tr r="AR44" s="338"/>
        <tr r="AR38" s="338"/>
        <tr r="AR16" s="338"/>
        <tr r="AR39" s="338"/>
      </tp>
      <tp>
        <v>22.05</v>
        <stp/>
        <stp>BDP|7023975285926683061|22</stp>
        <stp>MSFT US 03/20/26 P465 Equity</stp>
        <stp>bid</stp>
        <tr r="P20" s="2"/>
      </tp>
      <tp t="s">
        <v>#N/A Requesting Data...4120768058</v>
        <stp/>
        <stp>BDP|10508197528283416594</stp>
        <tr r="X48" s="338"/>
      </tp>
      <tp t="s">
        <v>#N/A N/A</v>
        <stp/>
        <stp>BDP|10976567873595722239</stp>
        <tr r="AV26" s="2"/>
        <tr r="AV27" s="2"/>
        <tr r="R7" s="89"/>
        <tr r="R8" s="89"/>
        <tr r="R19" s="89"/>
        <tr r="R20" s="89"/>
        <tr r="R195" s="89"/>
        <tr r="R197" s="89"/>
        <tr r="R14" s="89"/>
        <tr r="R13" s="89"/>
        <tr r="R196" s="89"/>
        <tr r="AV33" s="2"/>
        <tr r="AV32" s="2"/>
        <tr r="AV31" s="2"/>
        <tr r="AV28" s="2"/>
        <tr r="AV29" s="2"/>
        <tr r="AV30" s="2"/>
      </tp>
      <tp t="s">
        <v>#N/A Requesting Data...4091828270</v>
        <stp/>
        <stp>BDP|15688066863846340087</stp>
        <tr r="D28" s="446"/>
      </tp>
      <tp t="s">
        <v>#N/A Requesting Data...4134751228</v>
        <stp/>
        <stp>BDP|10174366559095309654</stp>
        <tr r="AA137" s="89"/>
        <tr r="Z137" s="89"/>
      </tp>
      <tp t="s">
        <v>#N/A Requesting Data...4226439239</v>
        <stp/>
        <stp>BDP|10361349057583872009</stp>
        <tr r="V39" s="89"/>
      </tp>
      <tp t="s">
        <v>#N/A Requesting Data...3981550406</v>
        <stp/>
        <stp>BDP|15767057305588506896</stp>
        <tr r="AH10" s="338"/>
        <tr r="AH11" s="338"/>
        <tr r="AH33" s="338"/>
      </tp>
      <tp t="s">
        <v>#N/A Requesting Data...4045332259</v>
        <stp/>
        <stp>BDP|14868045061080696708</stp>
        <tr r="V63" s="89"/>
      </tp>
      <tp t="s">
        <v>#N/A N/A</v>
        <stp/>
        <stp>BDP|12598914732268945550</stp>
        <tr r="E10" s="1"/>
      </tp>
      <tp t="s">
        <v>#N/A Requesting Data...3939367948</v>
        <stp/>
        <stp>BDP|10946231384896009942</stp>
        <tr r="N15" s="252"/>
        <tr r="N15" s="252"/>
      </tp>
      <tp t="s">
        <v>#N/A Requesting Data...3939990888</v>
        <stp/>
        <stp>BDP|10968744678995921066</stp>
        <tr r="C82" s="89"/>
      </tp>
      <tp t="s">
        <v>#N/A Requesting Data...4149019945</v>
        <stp/>
        <stp>BDP|11098096253680456149</stp>
        <tr r="P16" s="338"/>
        <tr r="P38" s="338"/>
      </tp>
      <tp t="s">
        <v>#N/A Requesting Data...4088730224</v>
        <stp/>
        <stp>BDP|12490577043850363694</stp>
        <tr r="D12" s="2"/>
        <tr r="C170" s="89"/>
        <tr r="C179" s="89"/>
      </tp>
      <tp t="s">
        <v>#N/A Requesting Data...4020775077</v>
        <stp/>
        <stp>BDP|10787623999933097918</stp>
        <tr r="L10" s="252"/>
        <tr r="L10" s="252"/>
      </tp>
      <tp t="s">
        <v>#N/A Requesting Data...4270499270</v>
        <stp/>
        <stp>BDP|12736980550379200202</stp>
        <tr r="O253" s="89"/>
      </tp>
      <tp t="s">
        <v>#N/A Requesting Data...3898999531</v>
        <stp/>
        <stp>BDP|15872646771885299421</stp>
        <tr r="F16" s="446"/>
      </tp>
      <tp t="s">
        <v>#N/A Requesting Data...3917827803</v>
        <stp/>
        <stp>BDP|15456938793609088996</stp>
        <tr r="AA234" s="89"/>
        <tr r="Z234" s="89"/>
      </tp>
      <tp t="s">
        <v>#N/A Requesting Data...4254206434</v>
        <stp/>
        <stp>BDP|17880720944415059422</stp>
        <tr r="E250" s="89"/>
      </tp>
      <tp t="s">
        <v>#N/A Requesting Data...3986913869</v>
        <stp/>
        <stp>BDP|17220718142881835059</stp>
        <tr r="F14" s="252"/>
      </tp>
      <tp t="s">
        <v>#N/A Requesting Data...3897758325</v>
        <stp/>
        <stp>BDP|11918335078837659785</stp>
        <tr r="AA204" s="89"/>
        <tr r="AA212" s="89"/>
        <tr r="Z204" s="89"/>
        <tr r="Z212" s="89"/>
      </tp>
      <tp t="s">
        <v>#N/A Requesting Data...4116143158</v>
        <stp/>
        <stp>BDP|12558430699342487846</stp>
        <tr r="E187" s="89"/>
      </tp>
      <tp t="s">
        <v>#N/A N/A</v>
        <stp/>
        <stp>BDP|15051140014688420859</stp>
        <tr r="AC12" s="1"/>
      </tp>
      <tp t="s">
        <v>#N/A Requesting Data...4233528333</v>
        <stp/>
        <stp>BDP|11160692723917345791</stp>
        <tr r="C169" s="89"/>
      </tp>
      <tp t="s">
        <v>#N/A Requesting Data...4101726273</v>
        <stp/>
        <stp>BDP|13738518813242630024</stp>
        <tr r="U55" s="338"/>
      </tp>
      <tp t="s">
        <v>#N/A Requesting Data...4232951248</v>
        <stp/>
        <stp>BDP|16068368952433220674</stp>
        <tr r="D145" s="89"/>
      </tp>
      <tp t="s">
        <v>#N/A Requesting Data...4139695617</v>
        <stp/>
        <stp>BDP|10646909745071508967</stp>
        <tr r="T39" s="89"/>
      </tp>
      <tp t="s">
        <v>#N/A Requesting Data...3920476890</v>
        <stp/>
        <stp>BDP|12804773501081882168</stp>
        <tr r="AA39" s="89"/>
        <tr r="Z39" s="89"/>
      </tp>
      <tp t="s">
        <v>#N/A Requesting Data...4037040698</v>
        <stp/>
        <stp>BDP|10830522917212474394</stp>
        <tr r="M6" s="252"/>
      </tp>
      <tp t="s">
        <v>#N/A Requesting Data...4270353155</v>
        <stp/>
        <stp>BDP|13449047331402957787</stp>
        <tr r="F17" s="2"/>
      </tp>
      <tp t="s">
        <v>#N/A Requesting Data...4005001450</v>
        <stp/>
        <stp>BDP|18084406293147533752</stp>
        <tr r="D25" s="2"/>
      </tp>
      <tp t="s">
        <v>#N/A Requesting Data...3969856046</v>
        <stp/>
        <stp>BDP|14342024613619901985</stp>
        <tr r="F32" s="446"/>
      </tp>
      <tp t="s">
        <v>#N/A Requesting Data...3980653030</v>
        <stp/>
        <stp>BDP|17458365234617070550</stp>
        <tr r="E26" s="89"/>
      </tp>
      <tp t="s">
        <v>#N/A Requesting Data...4099714330</v>
        <stp/>
        <stp>BDP|17882539857607640595</stp>
        <tr r="AG54" s="338"/>
      </tp>
      <tp t="s">
        <v>#N/A Requesting Data...4231713347</v>
        <stp/>
        <stp>BDP|13450917922399223467</stp>
        <tr r="G34" s="446"/>
      </tp>
      <tp t="s">
        <v>#N/A N/A</v>
        <stp/>
        <stp>BDP|12142735374617755031</stp>
        <tr r="AG13" s="1"/>
      </tp>
      <tp t="s">
        <v>#N/A Requesting Data...4230133626</v>
        <stp/>
        <stp>BDP|10511277652532461062</stp>
        <tr r="AA90" s="89"/>
        <tr r="Z90" s="89"/>
      </tp>
      <tp t="s">
        <v>#N/A Requesting Data...4190065863</v>
        <stp/>
        <stp>BDP|10502345237505392003</stp>
        <tr r="E242" s="89"/>
      </tp>
      <tp t="s">
        <v>#N/A Requesting Data...4050284940</v>
        <stp/>
        <stp>BDP|14655831860859350630</stp>
        <tr r="L13" s="338"/>
        <tr r="J13" s="338"/>
      </tp>
      <tp t="s">
        <v>#N/A Requesting Data...4194612976</v>
        <stp/>
        <stp>BDP|12932290900667287274</stp>
        <tr r="AR12" s="2"/>
      </tp>
      <tp t="s">
        <v>#N/A N/A</v>
        <stp/>
        <stp>BDP|18269255641489268206</stp>
        <tr r="AC30" s="1"/>
      </tp>
      <tp t="s">
        <v>#N/A N/A</v>
        <stp/>
        <stp>BDP|15660791077340487089</stp>
        <tr r="E1" s="1"/>
        <tr r="K31" s="1"/>
      </tp>
      <tp t="s">
        <v>#N/A Requesting Data...3924937981</v>
        <stp/>
        <stp>BDP|10749732335826116771</stp>
        <tr r="D224" s="89"/>
      </tp>
      <tp t="s">
        <v>#N/A Requesting Data...4163646454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Data...4247379676</v>
        <stp/>
        <stp>BDP|11838573161432005595</stp>
        <tr r="C187" s="89"/>
      </tp>
      <tp t="s">
        <v>#N/A Requesting Data...4161555484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Data...4179527041</v>
        <stp/>
        <stp>BDP|11370170641465778442</stp>
        <tr r="T12" s="2"/>
        <tr r="O170" s="89"/>
        <tr r="O179" s="89"/>
      </tp>
      <tp t="s">
        <v>#N/A N/A</v>
        <stp/>
        <stp>BDH|17384693510594153185</stp>
        <tr r="AS34" s="338"/>
        <tr r="AS35" s="338"/>
        <tr r="AS36" s="338"/>
        <tr r="AN50" s="338"/>
        <tr r="AS37" s="338"/>
        <tr r="AN51" s="338"/>
      </tp>
      <tp t="e">
        <v>#N/A</v>
        <stp/>
        <stp>BDH|14131773964710507045</stp>
        <tr r="J9" s="252"/>
      </tp>
      <tp t="s">
        <v>#N/A N/A</v>
        <stp/>
        <stp>BDH|14427913798618741903</stp>
        <tr r="AN18" s="338"/>
        <tr r="AN17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W10" s="252"/>
        <tr r="T10" s="252"/>
      </tp>
    </main>
    <main first="bofaddin.rtdserver">
      <tp>
        <v>15233.96</v>
        <stp/>
        <stp>BDP|9776891762487809350|22</stp>
        <stp>XIN9I Index</stp>
        <stp>LAST_PRICE</stp>
        <tr r="H11" s="252"/>
        <tr r="H11" s="252"/>
      </tp>
      <tp>
        <v>-0.22165763378143311</v>
        <stp/>
        <stp>BDP|8323102687325817784|22</stp>
        <stp>QQQ US 01/15/26 P621 Equity</stp>
        <stp>DELTA_MID_RT</stp>
        <tr r="W76" s="89"/>
      </tp>
      <tp t="s">
        <v>#N/A Real Time</v>
        <stp/>
        <stp>BDP|15884850902642085200|22</stp>
        <stp>RFSWZ4C3 2400 Index</stp>
        <stp>ask</stp>
        <tr r="L123" s="89"/>
      </tp>
      <tp>
        <v>265.76</v>
        <stp/>
        <stp>BDP|7062867511992634566|22</stp>
        <stp>IWM EQUITY</stp>
        <stp>LAST_PRICE</stp>
        <tr r="I8" s="1"/>
      </tp>
      <tp>
        <v>-0.21540346741676331</v>
        <stp/>
        <stp>BDP|16965813729943912763|22</stp>
        <stp>META US 04/17/26 C690 Equity</stp>
        <stp>theta_mid_rt</stp>
        <tr r="AN12" s="2"/>
      </tp>
      <tp>
        <v>33.56</v>
        <stp/>
        <stp>BDP|16778716474861008512|22</stp>
        <stp>ASHR US Equity</stp>
        <stp>LAST_PRICE</stp>
        <tr r="Z4" s="2"/>
      </tp>
      <tp t="s">
        <v>USD</v>
        <stp/>
        <stp>BDP|9713863465002422091|22</stp>
        <stp>AMAT US 01/16/26 P290 Equity</stp>
        <stp>QUOTED_CURRENCY_REALTIME</stp>
        <tr r="F62" s="89"/>
      </tp>
      <tp>
        <v>-0.21953512728214264</v>
        <stp/>
        <stp>BDP|14334277381563954133|22</stp>
        <stp>META US 04/17/26 P600 Equity</stp>
        <stp>theta_mid_rt</stp>
        <tr r="AN13" s="2"/>
      </tp>
      <tp>
        <v>0.90913861989974976</v>
        <stp/>
        <stp>BDP|7693333295143193813|22</stp>
        <stp>TSM US 01/16/26 C335 Equity</stp>
        <stp>DELTA_MID_RT</stp>
        <tr r="AF31" s="2"/>
        <tr r="W195" s="89"/>
      </tp>
      <tp t="s">
        <v>USD</v>
        <stp/>
        <stp>BDP|7007855469519400034|22</stp>
        <stp>MSFT US 02/13/26 C465 Equity</stp>
        <stp>QUOTED_CURRENCY_REALTIME</stp>
        <tr r="F235" s="89"/>
      </tp>
      <tp>
        <v>-4.2447339743375778E-2</v>
        <stp/>
        <stp>BDP|13749696635708035376|22</stp>
        <stp>NFLX US 03/20/26 P83 Equity</stp>
        <stp>theta_mid_rt</stp>
        <tr r="AN25" s="2"/>
      </tp>
      <tp>
        <v>219.1</v>
        <stp/>
        <stp>BDP|14695328540844976221|22</stp>
        <stp>GSENEPOW Equity</stp>
        <stp>LAST PRICE</stp>
        <tr r="G41" s="338"/>
        <tr r="G42" s="338"/>
      </tp>
      <tp>
        <v>-0.37214860320091248</v>
        <stp/>
        <stp>BDP|881815071269395294|22</stp>
        <stp>META US 04/17/26 P600 Equity</stp>
        <stp>DELTA_MID_RT</stp>
        <tr r="AF13" s="2"/>
        <tr r="W180" s="89"/>
      </tp>
      <tp>
        <v>0</v>
        <stp/>
        <stp>BDP|614684021956002900|22</stp>
        <stp>TSM US 01/16/26 P325 Equity</stp>
        <stp>theta_mid_rt</stp>
        <tr r="AN32" s="2"/>
      </tp>
      <tp t="s">
        <v>#N/A Real Time</v>
        <stp/>
        <stp>BDP|4480144096505489759|22</stp>
        <stp>MRYWZ4C4 2390 Index</stp>
        <stp>DELTA_MID_RT</stp>
        <tr r="W129" s="89"/>
      </tp>
      <tp>
        <v>327.01</v>
        <stp/>
        <stp>BDP|497348669375754624|22</stp>
        <stp>AMAT Equity</stp>
        <stp>LAST_PRICE</stp>
        <tr r="I36" s="1"/>
      </tp>
      <tp>
        <v>1358.57</v>
        <stp/>
        <stp>BDP|15490560954416168559|22</stp>
        <stp>ASML US Equity</stp>
        <stp>LAST_PRICE</stp>
        <tr r="S50" s="89"/>
        <tr r="S49" s="89"/>
      </tp>
      <tp t="s">
        <v>#N/A Real Time</v>
        <stp/>
        <stp>BDP|8671606719947634072|22</stp>
        <stp>4EM5P    6025 Index</stp>
        <stp>DELTA_MID_RT</stp>
        <tr r="W137" s="89"/>
      </tp>
      <tp>
        <v>-2.6180646382272243E-3</v>
        <stp/>
        <stp>BDP|3861495059700349310|22</stp>
        <stp>TSM US 01/16/26 P315 Equity</stp>
        <stp>DELTA_MID_RT</stp>
        <tr r="AF33" s="2"/>
        <tr r="W197" s="89"/>
      </tp>
      <tp>
        <v>-0.6852993369102478</v>
        <stp/>
        <stp>BDP|8369518914882815880|22</stp>
        <stp>QQQ US 01/15/26 P623 Equity</stp>
        <stp>DELTA_MID_RT</stp>
        <tr r="W68" s="89"/>
      </tp>
      <tp t="s">
        <v>#N/A Real Time</v>
        <stp/>
        <stp>BDP|2387402778293168161|22</stp>
        <stp>4OZ24 Index</stp>
        <stp>LAST_PRICE</stp>
        <tr r="S108" s="89"/>
      </tp>
      <tp t="s">
        <v>USD</v>
        <stp/>
        <stp>BDP|7761033039243477660|22</stp>
        <stp>AMAT US 02/20/26 C340 Equity</stp>
        <stp>QUOTED_CURRENCY_REALTIME</stp>
        <tr r="F34" s="89"/>
      </tp>
      <tp t="s">
        <v>#N/A Real Time</v>
        <stp/>
        <stp>BDP|11820070012775282534|22</stp>
        <stp>RTYWU5C3 2500 Index</stp>
        <stp>ask</stp>
        <tr r="L145" s="89"/>
      </tp>
      <tp>
        <v>351.71</v>
        <stp/>
        <stp>BDP|17019897193923426340|22</stp>
        <stp>AVGO US Equity</stp>
        <stp>LAST_PRICE</stp>
        <tr r="Z5" s="2"/>
        <tr r="Z6" s="2"/>
        <tr r="S222" s="89"/>
        <tr r="S224" s="89"/>
        <tr r="S254" s="89"/>
        <tr r="S223" s="89"/>
        <tr r="S225" s="89"/>
      </tp>
      <tp t="s">
        <v>USD</v>
        <stp/>
        <stp>BDP|1051047005765910697|22</stp>
        <stp>NFLX US 03/20/26 C104 Equity</stp>
        <stp>QUOTED_CURRENCY_REALTIME</stp>
        <tr r="G23" s="2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400.39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62.52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50" s="89"/>
      </tp>
      <tp t="s">
        <v>#N/A Requesting Data...4244793775</v>
        <stp/>
        <stp>BDP|3297967097008051</stp>
        <tr r="AA223" s="89"/>
        <tr r="Z223" s="89"/>
      </tp>
      <tp>
        <v>-0.19279135763645172</v>
        <stp/>
        <stp>BDP|12672802728808900930|22</stp>
        <stp>META US 04/17/26 P570 Equity</stp>
        <stp>theta_mid_rt</stp>
        <tr r="AN14" s="2"/>
      </tp>
      <tp>
        <v>328.3</v>
        <stp/>
        <stp>BDP|4205875099267338750|22</stp>
        <stp>V Equity</stp>
        <stp>LAST PRICE</stp>
        <tr r="G15" s="338"/>
        <tr r="G39" s="338"/>
        <tr r="I40" s="338"/>
      </tp>
      <tp>
        <v>342.4</v>
        <stp/>
        <stp>BDP|5454315708850008901|22</stp>
        <stp>TSM EQUITY</stp>
        <stp>LAST_PRICE</stp>
        <tr r="C3" s="1"/>
      </tp>
      <tp>
        <v>-0.56508588790893555</v>
        <stp/>
        <stp>BDP|15792950336144286205|22</stp>
        <stp>LITE US 02/20/26 C400 Equity</stp>
        <stp>theta_mid_rt</stp>
        <tr r="AN11" s="2"/>
      </tp>
      <tp t="s">
        <v>USD</v>
        <stp/>
        <stp>BDP|8132659213861327764|22</stp>
        <stp>AMAT US 02/06/26 C340 Equity</stp>
        <stp>QUOTED_CURRENCY_REALTIME</stp>
        <tr r="F33" s="89"/>
      </tp>
      <tp t="s">
        <v>USD</v>
        <stp/>
        <stp>BDP|2808392671408788250|22</stp>
        <stp>MSFT US 03/20/26 C490 Equity</stp>
        <stp>QUOTED_CURRENCY_REALTIME</stp>
        <tr r="G19" s="2"/>
      </tp>
      <tp t="s">
        <v>#N/A Real Time</v>
        <stp/>
        <stp>BDP|3037632444073250464|22</stp>
        <stp>AVGO US 10/03/25 P330 Equity</stp>
        <stp>QUOTED_CURRENCY_REALTIME</stp>
        <tr r="F254" s="89"/>
      </tp>
      <tp t="s">
        <v>USD</v>
        <stp/>
        <stp>BDP|5718330705965420367|22</stp>
        <stp>AVGO US 06/18/26 P300 Equity</stp>
        <stp>QUOTED_CURRENCY_REALTIME</stp>
        <tr r="F224" s="89"/>
      </tp>
      <tp>
        <v>1.45</v>
        <stp/>
        <stp>BDP|14260081003556741121|22</stp>
        <stp>EWT US 01/16/26 C66.2 Equity</stp>
        <stp>ask</stp>
        <tr r="L178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327.01</v>
        <stp/>
        <stp>BDP|14680776317739946594|22</stp>
        <stp>AMAT US Equity</stp>
        <stp>LAST_PRICE</stp>
        <tr r="S34" s="89"/>
        <tr r="S62" s="89"/>
        <tr r="S63" s="89"/>
        <tr r="S33" s="89"/>
        <tr r="S56" s="89"/>
        <tr r="S55" s="89"/>
        <tr r="Z22" s="2"/>
        <tr r="Z21" s="2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97.24</v>
        <stp/>
        <stp>BDP|8298849158053579169|22</stp>
        <stp>GDX  Equity</stp>
        <stp>LAST_PRICE</stp>
        <tr r="I20" s="1"/>
      </tp>
      <tp>
        <v>758000</v>
        <stp/>
        <stp>BDP|6431978350865048428|22</stp>
        <stp>000660 KS Equity</stp>
        <stp>LAST_PRICE</stp>
        <tr r="I26" s="1"/>
      </tp>
      <tp t="s">
        <v>USD</v>
        <stp/>
        <stp>BDP|8789910064232569805|22</stp>
        <stp>AMAT US 01/23/26 P290 Equity</stp>
        <stp>QUOTED_CURRENCY_REALTIME</stp>
        <tr r="G21" s="2"/>
        <tr r="F55" s="89"/>
      </tp>
      <tp>
        <v>-5.6496527045965195E-2</v>
        <stp/>
        <stp>BDP|15158621682476696755|22</stp>
        <stp>MRVL US 03/20/26 P75 Equity</stp>
        <stp>theta_mid_rt</stp>
        <tr r="AN17" s="2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BDP|5793744081546209980|22</stp>
        <stp>META US 04/17/26 C690 Equity</stp>
        <stp>QUOTED_CURRENCY_REALTIME</stp>
        <tr r="G12" s="2"/>
        <tr r="F170" s="89"/>
        <tr r="F17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>
        <v>362.75</v>
        <stp/>
        <stp>BDP|12429311880057526361|22</stp>
        <stp>MU EQUITY</stp>
        <stp>LAST_PRICE</stp>
        <tr r="C4" s="1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11.85</v>
        <stp/>
        <stp>BDP|959515516383838906|22</stp>
        <stp>AVGO US 06/18/26 P270 Equity</stp>
        <stp>ask</stp>
        <tr r="L225" s="89"/>
      </tp>
      <tp t="s">
        <v>USD</v>
        <stp/>
        <stp>BDP|3970030095933477348|22</stp>
        <stp>LITE US 02/20/26 C400 Equity</stp>
        <stp>QUOTED_CURRENCY_REALTIME</stp>
        <tr r="G11" s="2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USD</v>
        <stp/>
        <stp>BDP|10587825295239007605|22</stp>
        <stp>TSM US 03/20/26 C300 Equity</stp>
        <stp>QUOTED_CURRENCY_REALTIME</stp>
        <tr r="G30" s="2"/>
        <tr r="F7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6080.8867</v>
        <stp/>
        <stp>BDP|12063806539307343070|22</stp>
        <stp>H11137 Index</stp>
        <stp>LAST_PRICE</stp>
        <tr r="H13" s="252"/>
        <tr r="H13" s="252"/>
      </tp>
      <tp t="s">
        <v>USD</v>
        <stp/>
        <stp>BDP|6910709177562096717|22</stp>
        <stp>META US 02/13/26 C630 Equity</stp>
        <stp>QUOTED_CURRENCY_REALTIME</stp>
        <tr r="F233" s="89"/>
      </tp>
      <tp>
        <v>239.12</v>
        <stp/>
        <stp>BDP|11431942920512482031|22</stp>
        <stp>AMZN US Equity</stp>
        <stp>LAST_PRICE</stp>
        <tr r="S251" s="89"/>
        <tr r="S234" s="89"/>
      </tp>
      <tp t="s">
        <v>#N/A Invalid Security</v>
        <stp/>
        <stp>BDP|1643185524645579269|22</stp>
        <stp>KLAC US 01/23/26 C1600 Equity</stp>
        <stp>ask</stp>
        <tr r="L26" s="89"/>
      </tp>
      <tp>
        <v>621.26</v>
        <stp/>
        <stp>BDP|360499996244621952|22</stp>
        <stp>QQQ US Equity</stp>
        <stp>LAST_PRICE</stp>
        <tr r="S68" s="89"/>
        <tr r="S75" s="89"/>
        <tr r="S203" s="89"/>
        <tr r="S204" s="89"/>
        <tr r="S211" s="89"/>
        <tr r="S212" s="89"/>
        <tr r="S213" s="89"/>
        <tr r="S205" s="89"/>
        <tr r="S69" s="89"/>
        <tr r="S76" s="89"/>
        <tr r="Z7" s="2"/>
        <tr r="Z8" s="2"/>
        <tr r="Z9" s="2"/>
        <tr r="Z10" s="2"/>
      </tp>
      <tp t="s">
        <v>USD</v>
        <stp/>
        <stp>BDP|4440794906767049796|22</stp>
        <stp>META US 04/17/26 P570 Equity</stp>
        <stp>QUOTED_CURRENCY_REALTIME</stp>
        <tr r="G14" s="2"/>
      </tp>
      <tp t="s">
        <v>#N/A Real Time</v>
        <stp/>
        <stp>BDP|15463751634066228508|22</stp>
        <stp>MRYWZ4C4 2390 Index</stp>
        <stp>ask</stp>
        <tr r="L129" s="89"/>
      </tp>
      <tp>
        <v>1.95</v>
        <stp/>
        <stp>BDP|7471545347057439094|22</stp>
        <stp>ASML US 01/23/26 P1200 Equity</stp>
        <stp>ask</stp>
        <tr r="L49" s="89"/>
      </tp>
      <tp>
        <v>620.25</v>
        <stp/>
        <stp>BDP|12884552599081678750|22</stp>
        <stp>META US Equity</stp>
        <stp>LAST_PRICE</stp>
        <tr r="Z12" s="2"/>
        <tr r="Z13" s="2"/>
        <tr r="Z14" s="2"/>
        <tr r="S169" s="89"/>
        <tr r="S170" s="89"/>
        <tr r="S171" s="89"/>
        <tr r="S180" s="89"/>
        <tr r="S233" s="89"/>
        <tr r="S252" s="89"/>
        <tr r="S179" s="89"/>
      </tp>
      <tp t="s">
        <v>#N/A Real Time</v>
        <stp/>
        <stp>BDP|4397889419411968016|22</stp>
        <stp>AMZN US 10/03/25 P220 Equity</stp>
        <stp>QUOTED_CURRENCY_REALTIME</stp>
        <tr r="F251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-3.1395461410284042E-2</v>
        <stp/>
        <stp>BDP|14588396646094017920|22</stp>
        <stp>NFLX US 03/20/26 C104 Equity</stp>
        <stp>theta_mid_rt</stp>
        <tr r="AN23" s="2"/>
      </tp>
      <tp t="s">
        <v>USD</v>
        <stp/>
        <stp>BDP|10517002710019781904|22</stp>
        <stp>TSM US 03/20/26 C330 Equity</stp>
        <stp>QUOTED_CURRENCY_REALTIME</stp>
        <tr r="F8" s="89"/>
      </tp>
      <tp>
        <v>-6.1510510742664337E-2</v>
        <stp/>
        <stp>BDP|12438727553717188638|22</stp>
        <stp>MRVL US 03/20/26 P85 Equity</stp>
        <stp>theta_mid_rt</stp>
        <tr r="AN15" s="2"/>
      </tp>
      <tp>
        <v>0.05</v>
        <stp/>
        <stp>BDP|4931331422744178730|22</stp>
        <stp>ASML US 01/23/26 P1100 Equity</stp>
        <stp>bid</stp>
        <tr r="K50" s="89"/>
      </tp>
      <tp t="s">
        <v>USD</v>
        <stp/>
        <stp>BDP|13653475185267269899|22</stp>
        <stp>QQQ US 01/16/26 C633 Equity</stp>
        <stp>QUOTED_CURRENCY_REALTIME</stp>
        <tr r="F204" s="89"/>
        <tr r="F212" s="89"/>
        <tr r="G8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BDP|12936057370451495327|22</stp>
        <stp>TSM US 01/16/26 C335 Equity</stp>
        <stp>QUOTED_CURRENCY_REALTIME</stp>
        <tr r="G31" s="2"/>
        <tr r="F195" s="89"/>
      </tp>
      <tp>
        <v>-0.15770696103572845</v>
        <stp/>
        <stp>BDP|10245752736782328205|22</stp>
        <stp>MSFT US 03/20/26 C490 Equity</stp>
        <stp>theta_mid_rt</stp>
        <tr r="AN19" s="2"/>
      </tp>
      <tp t="s">
        <v>#N/A Real Time</v>
        <stp/>
        <stp>BDP|648824397668889970|22</stp>
        <stp>NVDA US 10/03/25 P160 Equity</stp>
        <stp>DELTA_MID_RT</stp>
        <tr r="W253" s="89"/>
      </tp>
      <tp t="s">
        <v>#N/A Real Time</v>
        <stp/>
        <stp>BDP|244486762209867984|22</stp>
        <stp>NVDA US 10/03/25 P160 Equity</stp>
        <stp>bid</stp>
        <tr r="K253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F169" s="89"/>
      </tp>
      <tp t="s">
        <v>#N/A Invalid Security</v>
        <stp/>
        <stp>BDP|7037856272586483839|22</stp>
        <stp>KLAC US 02/06/26 C1600 Equity</stp>
        <stp>ask</stp>
        <tr r="L27" s="89"/>
      </tp>
      <tp>
        <v>-9.452325850725174E-2</v>
        <stp/>
        <stp>BDP|16624195928833601507|22</stp>
        <stp>AMAT US 01/23/26 P290 Equity</stp>
        <stp>theta_mid_rt</stp>
        <tr r="AN21" s="2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>
        <v>621.26</v>
        <stp/>
        <stp>BDP|2689810960265066336|22</stp>
        <stp>QQQ EQUITY</stp>
        <stp>LAST_PRICE</stp>
        <tr r="I6" s="1"/>
      </tp>
      <tp t="s">
        <v>#N/A N/A</v>
        <stp/>
        <stp>BDH|2924874923957229350</stp>
        <tr r="AP13" s="338"/>
        <tr r="AP34" s="338"/>
      </tp>
      <tp t="s">
        <v>#N/A Requesting Data...4280058298</v>
        <stp/>
        <stp>BDP|3970119255888163378</stp>
        <tr r="L14" s="338"/>
        <tr r="H14" s="338"/>
        <tr r="L35" s="338"/>
        <tr r="H35" s="338"/>
      </tp>
      <tp t="s">
        <v>#N/A Requesting Data...4267847781</v>
        <stp/>
        <stp>BDP|6079579929065496810</stp>
        <tr r="O17" s="252"/>
      </tp>
      <tp t="s">
        <v>#N/A Requesting Data...4291915968</v>
        <stp/>
        <stp>BDP|7892942422180160079</stp>
        <tr r="AF29" s="338"/>
        <tr r="AF30" s="338"/>
      </tp>
      <tp t="s">
        <v>#N/A Requesting Data...4260425754</v>
        <stp/>
        <stp>BDP|2222944900643905476</stp>
        <tr r="C18" s="2"/>
      </tp>
      <tp t="s">
        <v>#N/A Requesting Data...4255499556</v>
        <stp/>
        <stp>BDP|6875767680954769102</stp>
        <tr r="AR6" s="2"/>
      </tp>
      <tp t="s">
        <v>#N/A N/A</v>
        <stp/>
        <stp>BDP|7500005297250850236</stp>
        <tr r="K1" s="1"/>
      </tp>
      <tp t="s">
        <v>#N/A Requesting Data...4281811338</v>
        <stp/>
        <stp>BDP|7828562231434179977</stp>
        <tr r="G30" s="446"/>
      </tp>
      <tp t="s">
        <v>#N/A N/A</v>
        <stp/>
        <stp>BDP|2783909228330441556</stp>
        <tr r="Q14" s="338"/>
      </tp>
      <tp t="s">
        <v>#N/A Requesting Data...4276001117</v>
        <stp/>
        <stp>BDP|5719360958046661910</stp>
        <tr r="U16" s="338"/>
        <tr r="U38" s="338"/>
      </tp>
      <tp t="s">
        <v>#N/A N/A</v>
        <stp/>
        <stp>BDP|8367283627072476679</stp>
        <tr r="AC31" s="1"/>
        <tr r="AC32" s="1"/>
      </tp>
      <tp t="s">
        <v>#N/A Requesting Data...4286357257</v>
        <stp/>
        <stp>BDP|6021078455249412694</stp>
        <tr r="AJ37" s="338"/>
      </tp>
      <tp t="s">
        <v>#N/A Requesting Data...4273852968</v>
        <stp/>
        <stp>BDP|2116301475429922329</stp>
        <tr r="E205" s="89"/>
        <tr r="E213" s="89"/>
      </tp>
      <tp t="s">
        <v>#N/A Requesting Data...4279152712</v>
        <stp/>
        <stp>BDP|1166102887343177783</stp>
        <tr r="C69" s="89"/>
        <tr r="C75" s="89"/>
      </tp>
      <tp t="s">
        <v>#N/A N/A</v>
        <stp/>
        <stp>BDP|4596394917382492801</stp>
        <tr r="AF10" s="1"/>
      </tp>
      <tp t="s">
        <v>#N/A N/A</v>
        <stp/>
        <stp>BDP|9335335511387856058</stp>
        <tr r="AG36" s="1"/>
      </tp>
      <tp t="s">
        <v>#N/A Requesting Data...4293625812</v>
        <stp/>
        <stp>BDP|6404917817581645389</stp>
        <tr r="O14" s="252"/>
      </tp>
      <tp t="s">
        <v>#N/A Requesting Data...4291888523</v>
        <stp/>
        <stp>BDP|4738998939235389797</stp>
        <tr r="F8" s="446"/>
      </tp>
      <tp t="s">
        <v>#N/A N/A</v>
        <stp/>
        <stp>BDP|5357847351561143559</stp>
        <tr r="AG21" s="1"/>
      </tp>
      <tp t="s">
        <v>#N/A N/A</v>
        <stp/>
        <stp>BDP|2282995976142786289</stp>
        <tr r="AV5" s="2"/>
        <tr r="AV6" s="2"/>
        <tr r="R222" s="89"/>
        <tr r="R224" s="89"/>
        <tr r="R254" s="89"/>
        <tr r="R223" s="89"/>
        <tr r="R225" s="89"/>
      </tp>
      <tp t="s">
        <v>#N/A Requesting Data...4286662420</v>
        <stp/>
        <stp>BDP|8370148836023021531</stp>
        <tr r="AF35" s="1"/>
        <tr r="AF37" s="338"/>
      </tp>
      <tp t="s">
        <v>#N/A Requesting Data...4294856566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Data...4291787142</v>
        <stp/>
        <stp>BDP|5270872678817673187</stp>
        <tr r="O13" s="252"/>
      </tp>
      <tp t="s">
        <v>#N/A Requesting Data...4279505072</v>
        <stp/>
        <stp>BDP|4170746265879602068</stp>
        <tr r="V242" s="89"/>
      </tp>
      <tp t="s">
        <v>#N/A N/A</v>
        <stp/>
        <stp>BDP|2737330982055463026</stp>
        <tr r="AG35" s="1"/>
      </tp>
      <tp t="s">
        <v>#N/A Requesting Data...4290221384</v>
        <stp/>
        <stp>BDP|3098041072779459130</stp>
        <tr r="E170" s="89"/>
        <tr r="E179" s="89"/>
      </tp>
      <tp t="s">
        <v>#N/A Requesting Data...4293218387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Data...4289073987</v>
        <stp/>
        <stp>BDP|5489377534060375922</stp>
        <tr r="T145" s="89"/>
      </tp>
      <tp t="s">
        <v>#N/A Requesting Data...4292683922</v>
        <stp/>
        <stp>BDP|8229617246511068736</stp>
        <tr r="D23" s="2"/>
      </tp>
      <tp t="s">
        <v>#N/A Requesting Data...4287035439</v>
        <stp/>
        <stp>BDP|7547135630721272822</stp>
        <tr r="T29" s="338"/>
      </tp>
      <tp t="s">
        <v>#N/A Requesting Data...4292760844</v>
        <stp/>
        <stp>BDP|9515949913399601436</stp>
        <tr r="G25" s="446"/>
      </tp>
      <tp t="s">
        <v>#N/A Requesting Data...4291615470</v>
        <stp/>
        <stp>BDP|4846675545659434390</stp>
        <tr r="E14" s="2"/>
      </tp>
      <tp t="s">
        <v>#N/A N/A</v>
        <stp/>
        <stp>BDP|9910242079158322806</stp>
        <tr r="Q52" s="338"/>
      </tp>
      <tp t="s">
        <v>#N/A Requesting Data...4293120636</v>
        <stp/>
        <stp>BDP|9712190854671951078</stp>
        <tr r="M16" s="252"/>
      </tp>
      <tp t="s">
        <v>#N/A Requesting Data...4289048754</v>
        <stp/>
        <stp>BDP|5511275398847971578</stp>
        <tr r="T45" s="338"/>
      </tp>
      <tp t="s">
        <v>#N/A Requesting Data...4291793118</v>
        <stp/>
        <stp>BDP|7331929777222298704</stp>
        <tr r="C251" s="89"/>
      </tp>
      <tp t="s">
        <v>#N/A Requesting Data...4290853484</v>
        <stp/>
        <stp>BDP|2011803046714589663</stp>
        <tr r="AA233" s="89"/>
        <tr r="Z233" s="89"/>
      </tp>
      <tp t="s">
        <v>#N/A Requesting Data...4292580788</v>
        <stp/>
        <stp>BDP|4040720881186658103</stp>
        <tr r="O178" s="89"/>
      </tp>
      <tp t="s">
        <v>#N/A N/A</v>
        <stp/>
        <stp>BDP|3373615726682458956</stp>
        <tr r="Q49" s="338"/>
      </tp>
      <tp>
        <v>86.14</v>
        <stp/>
        <stp>BDP|7394371982457470369|22</stp>
        <stp>KBWB Equity</stp>
        <stp>LAST PRICE</stp>
        <tr r="G52" s="338"/>
        <tr r="G53" s="338"/>
        <tr r="G54" s="338"/>
      </tp>
      <tp>
        <v>27.6</v>
        <stp/>
        <stp>BDP|17536664525041773105|22</stp>
        <stp>TSM US 03/20/26 C330 Equity</stp>
        <stp>bid</stp>
        <tr r="K8" s="89"/>
      </tp>
      <tp t="s">
        <v>#N/A Real Time</v>
        <stp/>
        <stp>BDP|16474195993008164556|22</stp>
        <stp>META US 10/03/25 P730 Equity</stp>
        <stp>QUOTED_CURRENCY_REALTIME</stp>
        <tr r="F252" s="89"/>
      </tp>
      <tp t="s">
        <v>#N/A Requesting Data...492620702</v>
        <stp/>
        <stp>BDP|5415224161148491497</stp>
        <tr r="O187" s="89"/>
      </tp>
      <tp t="s">
        <v>#N/A Requesting Data...2591687468</v>
        <stp/>
        <stp>BDP|9641015641826985650</stp>
        <tr r="U52" s="338"/>
      </tp>
      <tp t="s">
        <v>#N/A Requesting Data...4277220578</v>
        <stp/>
        <stp>BDP|4416699983256792133</stp>
        <tr r="T27" s="89"/>
      </tp>
      <tp t="s">
        <v>#N/A Requesting Data...2304272822</v>
        <stp/>
        <stp>BDP|6731818678664058062</stp>
        <tr r="C116" s="89"/>
      </tp>
      <tp t="s">
        <v>#N/A Requesting Data...1947675801</v>
        <stp/>
        <stp>BDP|3337761684491833019</stp>
        <tr r="F44" s="446"/>
      </tp>
      <tp t="s">
        <v>#N/A Requesting Data...2776706386</v>
        <stp/>
        <stp>BDP|4245700180187394193</stp>
        <tr r="E144" s="89"/>
      </tp>
      <tp t="s">
        <v>#N/A Requesting Data...3539947547</v>
        <stp/>
        <stp>BDP|3495898305846473056</stp>
        <tr r="C8" s="2"/>
      </tp>
      <tp t="s">
        <v>#N/A Requesting Data...3617910702</v>
        <stp/>
        <stp>BDP|2599954552966387584</stp>
        <tr r="V15" s="338"/>
        <tr r="V39" s="338"/>
      </tp>
      <tp t="s">
        <v>#N/A Requesting Data...3890004393</v>
        <stp/>
        <stp>BDP|6927294984968537987</stp>
        <tr r="C224" s="89"/>
      </tp>
      <tp t="s">
        <v>#N/A N/A</v>
        <stp/>
        <stp>BDP|9699474378527567053</stp>
        <tr r="AC27" s="1"/>
        <tr r="AC28" s="1"/>
      </tp>
      <tp t="s">
        <v>#N/A Requesting Data...2298386150</v>
        <stp/>
        <stp>BDP|4059296425981795825</stp>
        <tr r="T89" s="89"/>
      </tp>
      <tp t="s">
        <v>#N/A Requesting Data...2840668173</v>
        <stp/>
        <stp>BDP|9285178478804547660</stp>
        <tr r="C33" s="89"/>
      </tp>
      <tp t="s">
        <v>#N/A Requesting Data...3586177906</v>
        <stp/>
        <stp>BDP|7447730768218451347</stp>
        <tr r="T19" s="2"/>
      </tp>
      <tp t="s">
        <v>#N/A Requesting Data...666332226</v>
        <stp/>
        <stp>BDP|6822986114586808509</stp>
        <tr r="AA17" s="2"/>
      </tp>
      <tp t="s">
        <v>#N/A Requesting Data...998684816</v>
        <stp/>
        <stp>BDP|9592498748502103695</stp>
        <tr r="L7" s="252"/>
        <tr r="L7" s="252"/>
      </tp>
      <tp t="s">
        <v>#N/A Requesting Data...2434624870</v>
        <stp/>
        <stp>BDP|6754010884411976277</stp>
        <tr r="X44" s="338"/>
      </tp>
      <tp t="s">
        <v>#N/A Requesting Data...197392289</v>
        <stp/>
        <stp>BDP|9209213470442778399</stp>
        <tr r="T81" s="89"/>
      </tp>
      <tp t="s">
        <v>#N/A Requesting Data...1998454206</v>
        <stp/>
        <stp>BDP|4958570254160242959</stp>
        <tr r="T33" s="338"/>
      </tp>
      <tp t="s">
        <v>#N/A Requesting Data...3398075943</v>
        <stp/>
        <stp>BDP|4678905769292619449</stp>
        <tr r="AK29" s="338"/>
      </tp>
      <tp t="s">
        <v>#N/A Requesting Data...2362514544</v>
        <stp/>
        <stp>BDP|7223883239641187000</stp>
        <tr r="G16" s="446"/>
      </tp>
      <tp t="s">
        <v>#N/A Requesting Data...703893945</v>
        <stp/>
        <stp>BDP|5114854945934215018</stp>
        <tr r="AD12" s="2"/>
        <tr r="V170" s="89"/>
        <tr r="V179" s="89"/>
      </tp>
      <tp t="e">
        <v>#N/A</v>
        <stp/>
        <stp>BDH|6510200972726120845</stp>
        <tr r="T14" s="252"/>
        <tr r="W14" s="252"/>
      </tp>
      <tp t="s">
        <v>#N/A Requesting Data...162590281</v>
        <stp/>
        <stp>BDP|1509260362090596873</stp>
        <tr r="E34" s="89"/>
      </tp>
      <tp t="s">
        <v>#N/A Requesting Data...877037369</v>
        <stp/>
        <stp>BDP|8227558946176666242</stp>
        <tr r="D8" s="2"/>
        <tr r="C204" s="89"/>
        <tr r="C212" s="89"/>
      </tp>
      <tp t="s">
        <v>#N/A N/A</v>
        <stp/>
        <stp>BDP|2437941904510102664</stp>
        <tr r="AI29" s="1"/>
      </tp>
      <tp t="s">
        <v>#N/A Requesting Data...1094290168</v>
        <stp/>
        <stp>BDP|8023230975554206472</stp>
        <tr r="U33" s="338"/>
      </tp>
      <tp t="s">
        <v>#N/A Requesting Data...2435781935</v>
        <stp/>
        <stp>BDP|2832828567039648888</stp>
        <tr r="D4" s="2"/>
      </tp>
      <tp t="s">
        <v>#N/A Requesting Data...4202400713</v>
        <stp/>
        <stp>BDP|1449141764908407306</stp>
        <tr r="F11" s="446"/>
      </tp>
      <tp t="s">
        <v>#N/A Requesting Data...3034942173</v>
        <stp/>
        <stp>BDP|6113923539666992720</stp>
        <tr r="N14" s="252"/>
        <tr r="N14" s="252"/>
      </tp>
      <tp t="s">
        <v>#N/A Requesting Data...1102141895</v>
        <stp/>
        <stp>BDP|7951947862590616582</stp>
        <tr r="AF33" s="1"/>
        <tr r="AF13" s="338"/>
        <tr r="AF34" s="338"/>
      </tp>
      <tp t="s">
        <v>#N/A Requesting Data...1319584357</v>
        <stp/>
        <stp>BDP|9891481019803044282</stp>
        <tr r="G23" s="446"/>
      </tp>
      <tp t="s">
        <v>#N/A Requesting Data...4101359012</v>
        <stp/>
        <stp>BDP|8890689995642342808</stp>
        <tr r="V53" s="338"/>
      </tp>
      <tp t="s">
        <v>#N/A Requesting Data...425582167</v>
        <stp/>
        <stp>BDP|2455215735317653905</stp>
        <tr r="E223" s="89"/>
      </tp>
      <tp t="s">
        <v>#N/A Requesting Data...535677289</v>
        <stp/>
        <stp>BDP|3139775654244310872</stp>
        <tr r="D76" s="89"/>
      </tp>
      <tp t="s">
        <v>#N/A N/A</v>
        <stp/>
        <stp>BDP|1672936400533529679</stp>
        <tr r="R243" s="89"/>
        <tr r="R242" s="89"/>
      </tp>
      <tp t="s">
        <v>#N/A Requesting Data...1026763889</v>
        <stp/>
        <stp>BDP|9166486667196900003</stp>
        <tr r="E243" s="89"/>
      </tp>
      <tp t="s">
        <v>#N/A Requesting Data...249740287</v>
        <stp/>
        <stp>BDP|7922404159852375974</stp>
        <tr r="E252" s="89"/>
      </tp>
      <tp t="s">
        <v>#N/A Requesting Data...3013894895</v>
        <stp/>
        <stp>BDP|7612533417436704812</stp>
        <tr r="AJ13" s="338"/>
        <tr r="AJ34" s="338"/>
      </tp>
      <tp t="s">
        <v>#N/A Requesting Data...3241271763</v>
        <stp/>
        <stp>BDP|9574059420494792234</stp>
        <tr r="L41" s="338"/>
        <tr r="L31" s="338"/>
        <tr r="J31" s="338"/>
        <tr r="L33" s="338"/>
        <tr r="J33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Data...2835564450</v>
        <stp/>
        <stp>BDP|3007975292676340821</stp>
        <tr r="G24" s="446"/>
      </tp>
      <tp t="s">
        <v>#N/A Requesting Data...1210506657</v>
        <stp/>
        <stp>BDP|5665815221263095138</stp>
        <tr r="E95" s="89"/>
      </tp>
      <tp t="s">
        <v>#N/A Requesting Data...1555545003</v>
        <stp/>
        <stp>BDP|7440440854553856897</stp>
        <tr r="F25" s="2"/>
      </tp>
      <tp t="s">
        <v>#N/A Requesting Data...3610190829</v>
        <stp/>
        <stp>BDP|3465264199005605087</stp>
        <tr r="V250" s="89"/>
      </tp>
      <tp t="e">
        <v>#N/A</v>
        <stp/>
        <stp>BDH|2114060395467773106</stp>
        <tr r="J16" s="252"/>
      </tp>
      <tp t="s">
        <v>#N/A N/A</v>
        <stp/>
        <stp>BDH|9789378175144826489</stp>
        <tr r="AN29" s="338"/>
        <tr r="AN30" s="338"/>
      </tp>
      <tp>
        <v>1.4</v>
        <stp/>
        <stp>BDP|14976247254411066307|22</stp>
        <stp>NFLX US 03/20/26 C104 Equity</stp>
        <stp>mid</stp>
        <tr r="L23" s="2"/>
      </tp>
      <tp>
        <v>11.55</v>
        <stp/>
        <stp>BDP|18096733178424916458|22</stp>
        <stp>AVGO US 06/18/26 P270 Equity</stp>
        <stp>bid</stp>
        <tr r="K225" s="89"/>
      </tp>
      <tp>
        <v>38.700000000000003</v>
        <stp/>
        <stp>BDP|10089550128122679017|22</stp>
        <stp>TSM US 06/18/26 C340 Equity</stp>
        <stp>ask</stp>
        <tr r="Q26" s="2"/>
        <tr r="Q28" s="2"/>
        <tr r="L13" s="89"/>
      </tp>
      <tp t="s">
        <v>#N/A Requesting Data...1623629343</v>
        <stp/>
        <stp>BDP|5266989866390412427</stp>
        <tr r="D38" s="446"/>
      </tp>
      <tp t="s">
        <v>#N/A Requesting Data...3854429957</v>
        <stp/>
        <stp>BDP|9872151296976737961</stp>
        <tr r="C242" s="89"/>
      </tp>
      <tp t="s">
        <v>#N/A N/A</v>
        <stp/>
        <stp>BDP|8927228557595141478</stp>
        <tr r="R115" s="89"/>
        <tr r="R116" s="89"/>
      </tp>
      <tp t="s">
        <v>#N/A Requesting Data...2531499109</v>
        <stp/>
        <stp>BDP|5527710723047808956</stp>
        <tr r="T50" s="89"/>
      </tp>
      <tp t="s">
        <v>#N/A Requesting Data...64233935</v>
        <stp/>
        <stp>BDP|5586265622589882234</stp>
        <tr r="T187" s="89"/>
      </tp>
      <tp t="s">
        <v>#N/A Requesting Data...2109114592</v>
        <stp/>
        <stp>BDP|3507742477994476993</stp>
        <tr r="D40" s="89"/>
      </tp>
      <tp t="s">
        <v>#N/A Requesting Data...2008526177</v>
        <stp/>
        <stp>BDP|8518419899713251871</stp>
        <tr r="X8" s="338"/>
      </tp>
      <tp t="s">
        <v>#N/A Requesting Data...2417745840</v>
        <stp/>
        <stp>BDP|6375542897924166091</stp>
        <tr r="C109" s="89"/>
      </tp>
      <tp t="s">
        <v>#N/A Requesting Data...1094114046</v>
        <stp/>
        <stp>BDP|6865956502756622717</stp>
        <tr r="AH36" s="338"/>
        <tr r="AJ36" s="338"/>
      </tp>
      <tp t="s">
        <v>#N/A Requesting Data...760501402</v>
        <stp/>
        <stp>BDP|2379295593121097618</stp>
        <tr r="D44" s="446"/>
      </tp>
      <tp t="s">
        <v>#N/A Requesting Data...1225159095</v>
        <stp/>
        <stp>BDP|9349867885552045593</stp>
        <tr r="S48" s="338"/>
      </tp>
      <tp t="s">
        <v>#N/A N/A</v>
        <stp/>
        <stp>BDH|8995101257637685514</stp>
        <tr r="AS30" s="338"/>
      </tp>
      <tp t="s">
        <v>#N/A Requesting Data...572904883</v>
        <stp/>
        <stp>BDP|1210812459016425419</stp>
        <tr r="T169" s="89"/>
      </tp>
      <tp t="s">
        <v>#N/A N/A</v>
        <stp/>
        <stp>BDP|9071434972213640788</stp>
        <tr r="Q40" s="338"/>
      </tp>
      <tp t="s">
        <v>#N/A Requesting Data...167904271</v>
        <stp/>
        <stp>BDP|3116185742219750133</stp>
        <tr r="T109" s="89"/>
      </tp>
      <tp t="s">
        <v>#N/A Requesting Data...4086319619</v>
        <stp/>
        <stp>BDP|8244210653353723287</stp>
        <tr r="O34" s="89"/>
      </tp>
      <tp t="s">
        <v>#N/A Requesting Data...2678768560</v>
        <stp/>
        <stp>BDP|6381188458728835442</stp>
        <tr r="T235" s="89"/>
      </tp>
      <tp t="s">
        <v>#N/A N/A</v>
        <stp/>
        <stp>BDH|6904860386769138144</stp>
        <tr r="AS18" s="338"/>
      </tp>
      <tp t="s">
        <v>#N/A N/A</v>
        <stp/>
        <stp>BDP|8927803377951233812</stp>
        <tr r="AB160" s="89"/>
      </tp>
      <tp t="s">
        <v>#N/A Requesting Data...1493695746</v>
        <stp/>
        <stp>BDP|5839166486573091158</stp>
        <tr r="V254" s="89"/>
      </tp>
      <tp t="s">
        <v>#N/A Requesting Data...420638713</v>
        <stp/>
        <stp>BDP|7824751445003220972</stp>
        <tr r="C233" s="89"/>
      </tp>
      <tp t="s">
        <v>#N/A Requesting Data...171173415</v>
        <stp/>
        <stp>BDP|9104922632105284817</stp>
        <tr r="D20" s="89"/>
      </tp>
      <tp t="s">
        <v>#N/A Requesting Data...2407331982</v>
        <stp/>
        <stp>BDP|5796504129065876948</stp>
        <tr r="U8" s="338"/>
      </tp>
      <tp t="s">
        <v>#N/A Requesting Data...1061519871</v>
        <stp/>
        <stp>BDP|5334711267318453225</stp>
        <tr r="N10" s="252"/>
        <tr r="N10" s="252"/>
      </tp>
      <tp t="s">
        <v>#N/A N/A</v>
        <stp/>
        <stp>BDP|8778194253835698784</stp>
        <tr r="AB49" s="89"/>
        <tr r="AB50" s="89"/>
      </tp>
      <tp t="s">
        <v>#N/A Requesting Data...2012147912</v>
        <stp/>
        <stp>BDP|9233199299816659948</stp>
        <tr r="P11" s="252"/>
      </tp>
      <tp t="s">
        <v>#N/A N/A</v>
        <stp/>
        <stp>BDH|5173006431028203022</stp>
        <tr r="AS13" s="338"/>
      </tp>
      <tp t="s">
        <v>#N/A Requesting Data...2063239700</v>
        <stp/>
        <stp>BDP|2292616657717420814</stp>
        <tr r="AF31" s="338"/>
        <tr r="AF32" s="338"/>
      </tp>
      <tp t="s">
        <v>#N/A N/A</v>
        <stp/>
        <stp>BDP|1704402293557704529</stp>
        <tr r="K15" s="1"/>
        <tr r="K7" s="1"/>
      </tp>
      <tp t="s">
        <v>#N/A Requesting Data...2442739266</v>
        <stp/>
        <stp>BDP|4042472092244568314</stp>
        <tr r="V108" s="89"/>
      </tp>
      <tp t="s">
        <v>#N/A Requesting Data...2072083919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Data...1286410889</v>
        <stp/>
        <stp>BDP|5068380246295060987</stp>
        <tr r="P49" s="338"/>
      </tp>
      <tp t="e">
        <v>#N/A</v>
        <stp/>
        <stp>BDH|5674194540649995708</stp>
        <tr r="T17" s="252"/>
        <tr r="W17" s="252"/>
      </tp>
      <tp t="s">
        <v>#N/A Requesting Data...3982858780</v>
        <stp/>
        <stp>BDP|6562923680930375939</stp>
        <tr r="T11" s="338"/>
      </tp>
      <tp t="s">
        <v>#N/A Requesting Data...2827641303</v>
        <stp/>
        <stp>BDP|4719256686637012732</stp>
        <tr r="M19" s="252"/>
      </tp>
      <tp t="s">
        <v>#N/A Requesting Data...3498325178</v>
        <stp/>
        <stp>BDP|2644203280360986688</stp>
        <tr r="AB33" s="1"/>
        <tr r="F35" s="446"/>
      </tp>
      <tp t="s">
        <v>#N/A N/A</v>
        <stp/>
        <stp>BDH|3887840552495937506</stp>
        <tr r="AS29" s="338"/>
      </tp>
      <tp t="s">
        <v>#N/A Requesting Data...3916030435</v>
        <stp/>
        <stp>BDP|3687895063137929413</stp>
        <tr r="U51" s="338"/>
      </tp>
      <tp t="s">
        <v>#N/A N/A</v>
        <stp/>
        <stp>BDP|2377801165946064428</stp>
        <tr r="AI36" s="1"/>
      </tp>
      <tp t="s">
        <v>#N/A N/A</v>
        <stp/>
        <stp>BDH|2624032593527248202</stp>
        <tr r="AM31" s="338"/>
        <tr r="AM32" s="338"/>
      </tp>
      <tp t="s">
        <v>#N/A Requesting Data...825947325</v>
        <stp/>
        <stp>BDP|2866283045919885388</stp>
        <tr r="L18" s="338"/>
        <tr r="J18" s="338"/>
      </tp>
      <tp t="s">
        <v>#N/A Requesting Data...453466803</v>
        <stp/>
        <stp>BDP|2191861964986449420</stp>
        <tr r="E254" s="89"/>
      </tp>
      <tp t="s">
        <v>#N/A Requesting Data...2468051396</v>
        <stp/>
        <stp>BDP|8565804017506463936</stp>
        <tr r="L17" s="252"/>
        <tr r="L17" s="252"/>
      </tp>
      <tp>
        <v>21.13</v>
        <stp/>
        <stp>BDP|1056906607050736285|22</stp>
        <stp>CPNG Equity</stp>
        <stp>LAST PRICE</stp>
        <tr r="L7" s="446"/>
      </tp>
      <tp>
        <v>35.380000000000003</v>
        <stp/>
        <stp>BDP|8479129259841183337|22</stp>
        <stp>BP Equity</stp>
        <stp>LAST PRICE</stp>
        <tr r="G29" s="338"/>
        <tr r="G30" s="338"/>
      </tp>
      <tp>
        <v>-0.16789597272872925</v>
        <stp/>
        <stp>BDP|5526706154841928378|22</stp>
        <stp>MSFT US 03/20/26 P465 Equity</stp>
        <stp>theta_mid_rt</stp>
        <tr r="AN20" s="2"/>
      </tp>
      <tp>
        <v>342.4</v>
        <stp/>
        <stp>BDP|10734773146792366841|22</stp>
        <stp>TSM US Equity</stp>
        <stp>LAST_PRICE</stp>
        <tr r="Z26" s="2"/>
        <tr r="Z27" s="2"/>
        <tr r="S7" s="89"/>
        <tr r="S8" s="89"/>
        <tr r="S19" s="89"/>
        <tr r="S20" s="89"/>
        <tr r="S195" s="89"/>
        <tr r="S197" s="89"/>
        <tr r="S13" s="89"/>
        <tr r="S14" s="89"/>
        <tr r="S196" s="89"/>
        <tr r="Z33" s="2"/>
        <tr r="Z32" s="2"/>
        <tr r="Z31" s="2"/>
        <tr r="Z28" s="2"/>
        <tr r="Z29" s="2"/>
        <tr r="Z30" s="2"/>
      </tp>
      <tp t="s">
        <v>#N/A Requesting Data...3645028504</v>
        <stp/>
        <stp>BDP|6994101635518612305</stp>
        <tr r="O8" s="89"/>
      </tp>
      <tp t="s">
        <v>#N/A Requesting Data...1184674714</v>
        <stp/>
        <stp>BDP|3786323124408946521</stp>
        <tr r="D45" s="446"/>
      </tp>
      <tp t="s">
        <v>#N/A Requesting Data...2427767557</v>
        <stp/>
        <stp>BDP|7859159525229324216</stp>
        <tr r="C49" s="89"/>
      </tp>
      <tp t="s">
        <v>#N/A Requesting Data...2834985598</v>
        <stp/>
        <stp>BDP|8896143753810578305</stp>
        <tr r="F16" s="2"/>
      </tp>
      <tp t="s">
        <v>#N/A Requesting Data...2635436142</v>
        <stp/>
        <stp>BDP|9677592347374790342</stp>
        <tr r="F22" s="2"/>
      </tp>
      <tp t="s">
        <v>#N/A N/A</v>
        <stp/>
        <stp>BDP|2806504826139638334</stp>
        <tr r="AG33" s="1"/>
      </tp>
      <tp t="s">
        <v>#N/A Requesting Data...4101330142</v>
        <stp/>
        <stp>BDP|4784976331940308190</stp>
        <tr r="AA144" s="89"/>
        <tr r="Z144" s="89"/>
      </tp>
      <tp t="s">
        <v>#N/A Requesting Data...4176593622</v>
        <stp/>
        <stp>BDP|2131718523418809031</stp>
        <tr r="X9" s="338"/>
      </tp>
      <tp t="s">
        <v>#N/A N/A</v>
        <stp/>
        <stp>BDP|8119275495638947437</stp>
        <tr r="AI37" s="1"/>
      </tp>
      <tp t="s">
        <v>#N/A Requesting Data...3649746559</v>
        <stp/>
        <stp>BDP|4060140891760852341</stp>
        <tr r="T95" s="89"/>
      </tp>
      <tp t="s">
        <v>#N/A Requesting Data...2751262189</v>
        <stp/>
        <stp>BDP|2813557120398156228</stp>
        <tr r="E253" s="89"/>
      </tp>
      <tp t="s">
        <v>#N/A N/A</v>
        <stp/>
        <stp>BDP|1110263465193964954</stp>
        <tr r="AB122" s="89"/>
        <tr r="AB123" s="89"/>
      </tp>
      <tp t="s">
        <v>#N/A Requesting Data...3824767914</v>
        <stp/>
        <stp>BDP|2842170687233636700</stp>
        <tr r="AH13" s="338"/>
        <tr r="AH34" s="338"/>
      </tp>
      <tp t="s">
        <v>#N/A Requesting Data...1433383918</v>
        <stp/>
        <stp>BDP|1457483532620769970</stp>
        <tr r="L18" s="252"/>
        <tr r="L18" s="252"/>
      </tp>
      <tp t="s">
        <v>#N/A N/A</v>
        <stp/>
        <stp>BDH|9963290760156715495</stp>
        <tr r="AU42" s="338"/>
      </tp>
      <tp t="s">
        <v>#N/A Requesting Data...3379854570</v>
        <stp/>
        <stp>BDP|6268649388386345129</stp>
        <tr r="D144" s="89"/>
      </tp>
      <tp t="s">
        <v>#N/A Requesting Data...1526719256</v>
        <stp/>
        <stp>BDP|8154630115763023381</stp>
        <tr r="T52" s="338"/>
      </tp>
      <tp t="s">
        <v>#N/A Requesting Data...2499934582</v>
        <stp/>
        <stp>BDP|7576730522755872830</stp>
        <tr r="F38" s="446"/>
      </tp>
      <tp t="s">
        <v>#N/A Requesting Data...3607412654</v>
        <stp/>
        <stp>BDP|9507005719251486644</stp>
        <tr r="M10" s="252"/>
      </tp>
      <tp t="s">
        <v>#N/A N/A</v>
        <stp/>
        <stp>BDP|2423153713724810965</stp>
        <tr r="Q33" s="338"/>
      </tp>
      <tp t="s">
        <v>#N/A N/A</v>
        <stp/>
        <stp>BDP|3243919885914808926</stp>
        <tr r="AB14" s="1"/>
      </tp>
      <tp t="s">
        <v>#N/A Requesting Data...2264140799</v>
        <stp/>
        <stp>BDP|9539667201337640785</stp>
        <tr r="U36" s="338"/>
      </tp>
      <tp t="s">
        <v>#N/A Requesting Data...4102305084</v>
        <stp/>
        <stp>BDP|7446900777882759491</stp>
        <tr r="AF17" s="1"/>
        <tr r="AF16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8" s="1"/>
        <tr r="AC19" s="1"/>
      </tp>
      <tp t="s">
        <v>#N/A N/A</v>
        <stp/>
        <stp>BDP|8782158116286979106</stp>
        <tr r="AG41" s="1"/>
      </tp>
      <tp t="s">
        <v>#N/A Requesting Data...2024921094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Data...1418421432</v>
        <stp/>
        <stp>BDP|4065099833740136891</stp>
        <tr r="P42" s="338"/>
      </tp>
      <tp t="s">
        <v>#N/A Requesting Data...660346933</v>
        <stp/>
        <stp>BDP|6297532837576756937</stp>
        <tr r="AA252" s="89"/>
        <tr r="Z252" s="89"/>
      </tp>
      <tp t="s">
        <v>#N/A Requesting Data...3437835858</v>
        <stp/>
        <stp>BDP|8496510345395763350</stp>
        <tr r="D49" s="89"/>
      </tp>
      <tp t="s">
        <v>#N/A Requesting Data...2147479829</v>
        <stp/>
        <stp>BDP|5267619434148669720</stp>
        <tr r="AJ52" s="338"/>
        <tr r="AJ53" s="338"/>
        <tr r="AJ54" s="338"/>
      </tp>
      <tp t="s">
        <v>#N/A Requesting Data...1596155607</v>
        <stp/>
        <stp>BDP|8622760163721094706</stp>
        <tr r="Z82" s="89"/>
        <tr r="AA82" s="89"/>
      </tp>
      <tp t="s">
        <v>#N/A Requesting Data...2171302934</v>
        <stp/>
        <stp>BDP|7148106705448380141</stp>
        <tr r="V41" s="338"/>
      </tp>
      <tp t="s">
        <v>#N/A Requesting Data...2172384521</v>
        <stp/>
        <stp>BDP|1566983548630295344</stp>
        <tr r="AA15" s="2"/>
      </tp>
      <tp t="s">
        <v>#N/A Requesting Data...1151144908</v>
        <stp/>
        <stp>BDP|7511636250779138240</stp>
        <tr r="V40" s="338"/>
      </tp>
      <tp t="s">
        <v>#N/A Requesting Data...3545415160</v>
        <stp/>
        <stp>BDP|5576438787561382724</stp>
        <tr r="AJ10" s="338"/>
        <tr r="AJ11" s="338"/>
        <tr r="AJ33" s="338"/>
      </tp>
      <tp t="s">
        <v>#N/A Requesting Data...1831825799</v>
        <stp/>
        <stp>BDP|1371944730256623208</stp>
        <tr r="T137" s="89"/>
      </tp>
      <tp t="s">
        <v>#N/A Requesting Data...1229305835</v>
        <stp/>
        <stp>BDP|2475069015355307957</stp>
        <tr r="V82" s="89"/>
      </tp>
      <tp t="s">
        <v>#N/A Requesting Data...1295644745</v>
        <stp/>
        <stp>BDP|8553085138774321079</stp>
        <tr r="T123" s="89"/>
      </tp>
      <tp t="s">
        <v>#N/A Requesting Data...1709999449</v>
        <stp/>
        <stp>BDP|9274343827420648768</stp>
        <tr r="G10" s="446"/>
      </tp>
      <tp t="s">
        <v>#N/A Requesting Data...2723795625</v>
        <stp/>
        <stp>BDP|1937197186723171466</stp>
        <tr r="F26" s="2"/>
        <tr r="F28" s="2"/>
      </tp>
      <tp t="s">
        <v>#N/A Requesting Data...2782391308</v>
        <stp/>
        <stp>BDP|1136567666448935591</stp>
        <tr r="V37" s="338"/>
      </tp>
      <tp t="s">
        <v>#N/A N/A</v>
        <stp/>
        <stp>BDP|7385638697900780713</stp>
        <tr r="AB30" s="1"/>
      </tp>
      <tp t="s">
        <v>#N/A Requesting Data...4097813726</v>
        <stp/>
        <stp>BDP|1366767233159407337</stp>
        <tr r="V243" s="89"/>
      </tp>
      <tp t="s">
        <v>#N/A Requesting Data...1360154386</v>
        <stp/>
        <stp>BDP|2036830374436602479</stp>
        <tr r="U50" s="338"/>
      </tp>
      <tp t="s">
        <v>#N/A Requesting Data...391849847</v>
        <stp/>
        <stp>BDP|2051684642296878945</stp>
        <tr r="D26" s="89"/>
      </tp>
      <tp t="s">
        <v>#N/A Requesting Data...3419397221</v>
        <stp/>
        <stp>BDP|6317578591636076338</stp>
        <tr r="D138" s="89"/>
      </tp>
      <tp t="s">
        <v>#N/A Requesting Data...4209764799</v>
        <stp/>
        <stp>BDP|1370952567270052174</stp>
        <tr r="AJ8" s="338"/>
        <tr r="AJ9" s="338"/>
        <tr r="AH8" s="338"/>
        <tr r="AH9" s="338"/>
      </tp>
      <tp t="s">
        <v>#N/A Requesting Data...1992766019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N/A</v>
        <stp/>
        <stp>BDP|9461243956507277607</stp>
        <tr r="K40" s="1"/>
      </tp>
      <tp t="s">
        <v>#N/A N/A</v>
        <stp/>
        <stp>BDH|6318120475358001708</stp>
        <tr r="AR30" s="338"/>
      </tp>
      <tp t="s">
        <v>#N/A Requesting Data...1380738684</v>
        <stp/>
        <stp>BDP|6160662584120657700</stp>
        <tr r="G12" s="446"/>
      </tp>
      <tp t="s">
        <v>#N/A Requesting Data...892556785</v>
        <stp/>
        <stp>BDP|2050769895694328758</stp>
        <tr r="S7" s="252"/>
      </tp>
      <tp t="s">
        <v>#N/A Requesting Data...380510239</v>
        <stp/>
        <stp>BDP|9400166973232144257</stp>
        <tr r="AD13" s="2"/>
        <tr r="V180" s="89"/>
      </tp>
      <tp t="s">
        <v>#N/A Requesting Data...2123639018</v>
        <stp/>
        <stp>BDP|8759533260432150600</stp>
        <tr r="E56" s="89"/>
      </tp>
      <tp t="s">
        <v>#N/A N/A</v>
        <stp/>
        <stp>BDH|9512440355262237536</stp>
        <tr r="AR12" s="338"/>
      </tp>
      <tp>
        <v>351.71</v>
        <stp/>
        <stp>BDP|6093066913446547993|22</stp>
        <stp>AVGO Equity</stp>
        <stp>LAST_PRICE</stp>
        <tr r="I31" s="1"/>
        <tr r="I32" s="1"/>
      </tp>
      <tp>
        <v>37.799999999999997</v>
        <stp/>
        <stp>BDP|14476957307763141828|22</stp>
        <stp>TSM US 06/18/26 C340 Equity</stp>
        <stp>bid</stp>
        <tr r="P26" s="2"/>
        <tr r="P28" s="2"/>
        <tr r="K13" s="89"/>
      </tp>
      <tp>
        <v>691.66</v>
        <stp/>
        <stp>BDP|11764468863197025710|22</stp>
        <stp>SPY EQUITY</stp>
        <stp>LAST_PRICE</stp>
        <tr r="I4" s="1"/>
      </tp>
      <tp t="s">
        <v>#N/A Requesting Data...2910887386</v>
        <stp/>
        <stp>BDP|4983617041569093735</stp>
        <tr r="U10" s="338"/>
      </tp>
      <tp t="s">
        <v>#N/A N/A</v>
        <stp/>
        <stp>BDH|1472882134377198534</stp>
        <tr r="AR35" s="338"/>
        <tr r="AR36" s="338"/>
        <tr r="AM50" s="338"/>
        <tr r="AR37" s="338"/>
        <tr r="AM51" s="338"/>
        <tr r="AR34" s="338"/>
      </tp>
      <tp t="s">
        <v>#N/A Requesting Data...776856271</v>
        <stp/>
        <stp>BDP|1158468690973405781</stp>
        <tr r="AK18" s="338"/>
      </tp>
      <tp t="s">
        <v>#N/A N/A</v>
        <stp/>
        <stp>BDP|2898694498747321222</stp>
        <tr r="E3" s="1"/>
        <tr r="K33" s="1"/>
      </tp>
      <tp t="s">
        <v>#N/A Requesting Data...3302071509</v>
        <stp/>
        <stp>BDP|7526986475906100712</stp>
        <tr r="E123" s="89"/>
      </tp>
      <tp t="s">
        <v>#N/A Requesting Data...1255590727</v>
        <stp/>
        <stp>BDP|9064191480710005817</stp>
        <tr r="V16" s="338"/>
        <tr r="V38" s="338"/>
      </tp>
      <tp t="s">
        <v>#N/A Requesting Data...1665348471</v>
        <stp/>
        <stp>BDP|9490986995892939382</stp>
        <tr r="E13" s="89"/>
      </tp>
      <tp t="s">
        <v>#N/A Requesting Data...2318607515</v>
        <stp/>
        <stp>BDP|9119371270756838373</stp>
        <tr r="N18" s="252"/>
        <tr r="N18" s="252"/>
      </tp>
      <tp t="s">
        <v>#N/A Requesting Data...2153752674</v>
        <stp/>
        <stp>BDP|9669122229692219065</stp>
        <tr r="C31" s="2"/>
      </tp>
      <tp t="s">
        <v>#N/A N/A</v>
        <stp/>
        <stp>BDP|5010474986457760687</stp>
        <tr r="AC15" s="1"/>
      </tp>
      <tp t="s">
        <v>#N/A Requesting Data...2556186337</v>
        <stp/>
        <stp>BDP|6201270299844298101</stp>
        <tr r="O68" s="89"/>
      </tp>
      <tp t="s">
        <v>#N/A Requesting Data...1267282985</v>
        <stp/>
        <stp>BDP|8903788637142927602</stp>
        <tr r="AK30" s="338"/>
      </tp>
      <tp t="s">
        <v>#N/A Requesting Data...4248934809</v>
        <stp/>
        <stp>BDP|9657162411476734792</stp>
        <tr r="P47" s="338"/>
      </tp>
      <tp t="s">
        <v>#N/A N/A</v>
        <stp/>
        <stp>BDP|9333244719414698648</stp>
        <tr r="AG26" s="1"/>
      </tp>
      <tp t="s">
        <v>#N/A N/A</v>
        <stp/>
        <stp>BDH|5247489876678972696</stp>
        <tr r="AN14" s="338"/>
        <tr r="AN35" s="338"/>
      </tp>
      <tp t="s">
        <v>#N/A Requesting Data...3597257236</v>
        <stp/>
        <stp>BDP|9541693808182769518</stp>
        <tr r="D29" s="446"/>
      </tp>
      <tp t="s">
        <v>#N/A Requesting Data...2725470570</v>
        <stp/>
        <stp>BDP|6024155984106720147</stp>
        <tr r="D27" s="2"/>
        <tr r="D29" s="2"/>
        <tr r="C14" s="89"/>
      </tp>
      <tp t="s">
        <v>#N/A Requesting Data...1601339891</v>
        <stp/>
        <stp>BDP|2361913501277478452</stp>
        <tr r="E203" s="89"/>
        <tr r="E211" s="89"/>
      </tp>
      <tp t="s">
        <v>#N/A Requesting Data...3858452247</v>
        <stp/>
        <stp>BDP|6839173327418343594</stp>
        <tr r="F7" s="446"/>
      </tp>
      <tp t="s">
        <v>#N/A Requesting Data...1501880014</v>
        <stp/>
        <stp>BDP|7248503210943138805</stp>
        <tr r="D68" s="89"/>
      </tp>
      <tp t="s">
        <v>#N/A Requesting Data...1973283573</v>
        <stp/>
        <stp>BDP|5668869742685379426</stp>
        <tr r="AA222" s="89"/>
        <tr r="Z222" s="89"/>
      </tp>
      <tp t="s">
        <v>#N/A Requesting Data...3601468970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Requesting Data...4252409064</v>
        <stp/>
        <stp>BDP|5237225300886746967</stp>
        <tr r="AA129" s="89"/>
        <tr r="Z129" s="89"/>
      </tp>
      <tp t="s">
        <v>#N/A N/A</v>
        <stp/>
        <stp>BDP|5098111893277025237</stp>
        <tr r="AI18" s="1"/>
        <tr r="AI19" s="1"/>
      </tp>
      <tp t="s">
        <v>#N/A Requesting Data...2841602243</v>
        <stp/>
        <stp>BDP|3746009638598604087</stp>
        <tr r="AA136" s="89"/>
        <tr r="Z136" s="89"/>
      </tp>
      <tp t="s">
        <v>#N/A Requesting Data...3565821962</v>
        <stp/>
        <stp>BDP|7027987678572062314</stp>
        <tr r="AC34" s="1"/>
        <tr r="D36" s="446"/>
      </tp>
      <tp t="s">
        <v>#N/A N/A</v>
        <stp/>
        <stp>BDP|4320394938428234414</stp>
        <tr r="Q31" s="338"/>
      </tp>
      <tp t="s">
        <v>#N/A N/A</v>
        <stp/>
        <stp>BDP|2905052484777074595</stp>
        <tr r="Q34" s="338"/>
      </tp>
      <tp t="s">
        <v>#N/A Requesting Data...3575185639</v>
        <stp/>
        <stp>BDP|2739243071518004749</stp>
        <tr r="E138" s="89"/>
      </tp>
      <tp t="e">
        <v>#N/A</v>
        <stp/>
        <stp>BDH|7010958550111077231</stp>
        <tr r="T16" s="252"/>
        <tr r="W16" s="252"/>
      </tp>
      <tp t="s">
        <v>#N/A Requesting Data...1389638514</v>
        <stp/>
        <stp>BDP|9528506301481652565</stp>
        <tr r="AD14" s="2"/>
      </tp>
      <tp t="s">
        <v>#N/A Requesting Data...2722197582</v>
        <stp/>
        <stp>BDP|9450040674965070308</stp>
        <tr r="E27" s="2"/>
        <tr r="E29" s="2"/>
      </tp>
      <tp t="e">
        <v>#N/A</v>
        <stp/>
        <stp>BDH|2375673906255636901</stp>
        <tr r="W11" s="252"/>
        <tr r="T11" s="252"/>
      </tp>
      <tp t="s">
        <v>#N/A Requesting Data...3638655272</v>
        <stp/>
        <stp>BDP|8381275723499035928</stp>
        <tr r="T32" s="2"/>
        <tr r="O196" s="89"/>
      </tp>
      <tp t="s">
        <v>#N/A Requesting Data...2090650740</v>
        <stp/>
        <stp>BDP|7251233187166134321</stp>
        <tr r="C243" s="89"/>
      </tp>
      <tp t="s">
        <v>#N/A Requesting Data...2923142991</v>
        <stp/>
        <stp>BDP|4966904208460090549</stp>
        <tr r="AA242" s="89"/>
        <tr r="Z242" s="89"/>
      </tp>
      <tp t="s">
        <v>#N/A Real Time</v>
        <stp/>
        <stp>BDP|18108171964388545995|22</stp>
        <stp>MSFT US 10/03/25 P485 Equity</stp>
        <stp>bid</stp>
        <tr r="K249" s="89"/>
      </tp>
      <tp>
        <v>130.66</v>
        <stp/>
        <stp>BDP|1232203967796078876|22</stp>
        <stp>ABNB Equity</stp>
        <stp>LAST PRICE</stp>
        <tr r="I12" s="338"/>
      </tp>
      <tp>
        <v>35.71</v>
        <stp/>
        <stp>BDP|2650520762982825878|22</stp>
        <stp>KWEB Equity</stp>
        <stp>LAST_PRICE</stp>
        <tr r="H12" s="252"/>
        <tr r="H12" s="252"/>
      </tp>
      <tp>
        <v>4.7</v>
        <stp/>
        <stp>BDP|239012915816136366|22</stp>
        <stp>MRVL US 03/20/26 P75 Equity</stp>
        <stp>bid</stp>
        <tr r="P17" s="2"/>
      </tp>
      <tp t="s">
        <v>#N/A Requesting Data...2239882676</v>
        <stp/>
        <stp>BDP|2441593726955875997</stp>
        <tr r="L20" s="252"/>
        <tr r="L20" s="252"/>
      </tp>
      <tp t="s">
        <v>#N/A Requesting Data...1038831790</v>
        <stp/>
        <stp>BDP|8996292475495824173</stp>
        <tr r="O16" s="252"/>
      </tp>
      <tp t="s">
        <v>#N/A Requesting Data...1894202294</v>
        <stp/>
        <stp>BDP|8243135780729316187</stp>
        <tr r="E13" s="2"/>
      </tp>
      <tp t="s">
        <v>#N/A Requesting Data...2157977786</v>
        <stp/>
        <stp>BDP|9788785317823069539</stp>
        <tr r="C145" s="89"/>
      </tp>
      <tp t="s">
        <v>#N/A Requesting Data...652076042</v>
        <stp/>
        <stp>BDP|3993805876862168756</stp>
        <tr r="U45" s="338"/>
      </tp>
      <tp t="s">
        <v>#N/A Requesting Data...4209155782</v>
        <stp/>
        <stp>BDP|5562894851780567134</stp>
        <tr r="AA203" s="89"/>
        <tr r="AA211" s="89"/>
        <tr r="Z203" s="89"/>
        <tr r="Z211" s="89"/>
      </tp>
      <tp t="s">
        <v>#N/A Requesting Data...2083529953</v>
        <stp/>
        <stp>BDP|7887879354743458070</stp>
        <tr r="V234" s="89"/>
      </tp>
      <tp t="s">
        <v>#N/A Requesting Data...202611034</v>
        <stp/>
        <stp>BDP|5255036781235828107</stp>
        <tr r="D108" s="89"/>
      </tp>
      <tp t="s">
        <v>#N/A Requesting Data...1112058886</v>
        <stp/>
        <stp>BDP|5507910641525481482</stp>
        <tr r="O254" s="89"/>
      </tp>
      <tp t="s">
        <v>#N/A Requesting Data...1986717287</v>
        <stp/>
        <stp>BDP|9754162438145550750</stp>
        <tr r="E16" s="2"/>
      </tp>
      <tp t="s">
        <v>#N/A Requesting Data...1423935065</v>
        <stp/>
        <stp>BDP|2257884823860585153</stp>
        <tr r="C144" s="89"/>
      </tp>
      <tp t="s">
        <v>#N/A Requesting Data...2437194269</v>
        <stp/>
        <stp>BDP|2463897743725982291</stp>
        <tr r="F20" s="446"/>
      </tp>
      <tp t="s">
        <v>#N/A Requesting Data...2967456311</v>
        <stp/>
        <stp>BDP|9344561247696579794</stp>
        <tr r="AH15" s="338"/>
        <tr r="AH39" s="338"/>
        <tr r="AI40" s="338"/>
      </tp>
      <tp t="s">
        <v>#N/A Requesting Data...1079546975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N/A</v>
        <stp/>
        <stp>BDH|7381739299320221071</stp>
        <tr r="AU12" s="338"/>
      </tp>
      <tp t="s">
        <v>#N/A N/A</v>
        <stp/>
        <stp>BDH|8335996343968077455</stp>
        <tr r="AS45" s="338"/>
      </tp>
      <tp t="s">
        <v>#N/A Requesting Data...3641598758</v>
        <stp/>
        <stp>BDP|1693468674482928905</stp>
        <tr r="V249" s="89"/>
      </tp>
      <tp t="s">
        <v>#N/A Requesting Data...2902181169</v>
        <stp/>
        <stp>BDP|1918834507510755077</stp>
        <tr r="S8" s="338"/>
      </tp>
      <tp t="s">
        <v>#N/A N/A</v>
        <stp/>
        <stp>BDP|3087266777367014837</stp>
        <tr r="AI15" s="1"/>
      </tp>
      <tp t="s">
        <v>#N/A Requesting Data...4205144963</v>
        <stp/>
        <stp>BDP|1186915098941854922</stp>
        <tr r="P17" s="338"/>
      </tp>
      <tp t="s">
        <v>#N/A Requesting Data...2184078231</v>
        <stp/>
        <stp>BDP|3411193788855096676</stp>
        <tr r="AA27" s="2"/>
        <tr r="AA29" s="2"/>
        <tr r="T14" s="89"/>
      </tp>
      <tp t="s">
        <v>#N/A N/A</v>
        <stp/>
        <stp>BDP|5430386408488532737</stp>
        <tr r="AB109" s="89"/>
      </tp>
      <tp t="s">
        <v>#N/A N/A</v>
        <stp/>
        <stp>BDH|7301725594895186560</stp>
        <tr r="AM13" s="338"/>
        <tr r="AM34" s="338"/>
      </tp>
      <tp t="s">
        <v>#N/A N/A</v>
        <stp/>
        <stp>BDP|1209552834247328939</stp>
        <tr r="AC26" s="1"/>
      </tp>
      <tp t="s">
        <v>#N/A Requesting Data...3735538130</v>
        <stp/>
        <stp>BDP|9316566775525772740</stp>
        <tr r="O186" s="89"/>
      </tp>
      <tp t="s">
        <v>#N/A Requesting Data...4157440514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Data...260625506</v>
        <stp/>
        <stp>BDP|2048477006706491956</stp>
        <tr r="X33" s="338"/>
      </tp>
      <tp t="s">
        <v>#N/A Requesting Data...2248119365</v>
        <stp/>
        <stp>BDP|4401866454658402822</stp>
        <tr r="D203" s="89"/>
      </tp>
      <tp t="s">
        <v>#N/A Requesting Data...903107972</v>
        <stp/>
        <stp>BDP|9762563002360150543</stp>
        <tr r="P9" s="338"/>
      </tp>
      <tp t="s">
        <v>#N/A Requesting Data...3740093404</v>
        <stp/>
        <stp>BDP|1617406885725244177</stp>
        <tr r="Z68" s="89"/>
        <tr r="AA68" s="89"/>
      </tp>
      <tp t="s">
        <v>#N/A Requesting Data...305461571</v>
        <stp/>
        <stp>BDP|8690033388548820123</stp>
        <tr r="AJ14" s="338"/>
        <tr r="AJ35" s="338"/>
      </tp>
      <tp t="s">
        <v>#N/A Requesting Data...2185701860</v>
        <stp/>
        <stp>BDP|5400835087744406808</stp>
        <tr r="AG29" s="338"/>
      </tp>
      <tp t="s">
        <v>#N/A Requesting Data...576584389</v>
        <stp/>
        <stp>BDP|2272046972965931995</stp>
        <tr r="V188" s="89"/>
      </tp>
      <tp t="s">
        <v>#N/A Requesting Data...4077031375</v>
        <stp/>
        <stp>BDP|9280288157897826002</stp>
        <tr r="C138" s="89"/>
      </tp>
      <tp t="s">
        <v>#N/A Requesting Data...390531948</v>
        <stp/>
        <stp>BDP|6141864573737095712</stp>
        <tr r="T82" s="89"/>
      </tp>
      <tp t="s">
        <v>#N/A Requesting Data...2946362604</v>
        <stp/>
        <stp>BDP|8865039534922905038</stp>
        <tr r="L13" s="252"/>
        <tr r="L13" s="252"/>
      </tp>
      <tp t="s">
        <v>#N/A N/A</v>
        <stp/>
        <stp>BDP|8508395004434515685</stp>
        <tr r="AQ23" s="2"/>
        <tr r="AQ25" s="2"/>
        <tr r="AQ24" s="2"/>
        <tr r="AB186" s="89"/>
        <tr r="AB187" s="89"/>
        <tr r="AB188" s="89"/>
      </tp>
      <tp>
        <v>7.65</v>
        <stp/>
        <stp>BDP|15170082727718363189|22</stp>
        <stp>META US 04/17/26 C750 Equity</stp>
        <stp>bid</stp>
        <tr r="K169" s="89"/>
      </tp>
      <tp>
        <v>18.25</v>
        <stp/>
        <stp>BDP|14111141271769378618|22</stp>
        <stp>META US 04/17/26 C690 Equity</stp>
        <stp>ask</stp>
        <tr r="Q12" s="2"/>
        <tr r="L170" s="89"/>
        <tr r="L179" s="89"/>
      </tp>
      <tp>
        <v>10.25</v>
        <stp/>
        <stp>BDP|17384723732471398134|22</stp>
        <stp>AMZN US 02/13/26 C240 Equity</stp>
        <stp>ask</stp>
        <tr r="L234" s="89"/>
      </tp>
      <tp t="s">
        <v>#N/A N/A</v>
        <stp/>
        <stp>BDP|12169995077563309253|22</stp>
        <stp>QQQ US 01/16/26 C635 Equity</stp>
        <stp>bid</stp>
        <tr r="K203" s="89"/>
        <tr r="K211" s="89"/>
        <tr r="P7" s="2"/>
      </tp>
      <tp>
        <v>342.47</v>
        <stp/>
        <stp>BDP|18199450611944645778|22</stp>
        <stp>SOXX EQUITY</stp>
        <stp>LAST_PRICE</stp>
        <tr r="I2" s="1"/>
      </tp>
      <tp>
        <v>7.1</v>
        <stp/>
        <stp>BDP|17299008803570845370|22</stp>
        <stp>TSM US 01/16/26 C335 Equity</stp>
        <stp>bid</stp>
        <tr r="P31" s="2"/>
        <tr r="K195" s="89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Data...4264523550</v>
        <stp/>
        <stp>BDP|8490234008586700620</stp>
        <tr r="AA250" s="89"/>
        <tr r="Z250" s="89"/>
      </tp>
      <tp t="s">
        <v>#N/A Requesting Data...3547419679</v>
        <stp/>
        <stp>BDP|5587682882935341464</stp>
        <tr r="E90" s="89"/>
      </tp>
      <tp t="s">
        <v>#N/A Requesting Data...4278014033</v>
        <stp/>
        <stp>BDP|7230833674217968563</stp>
        <tr r="S36" s="338"/>
      </tp>
      <tp t="s">
        <v>#N/A Requesting Data...3898414155</v>
        <stp/>
        <stp>BDP|6870069184462452649</stp>
        <tr r="C10" s="2"/>
        <tr r="C9" s="2"/>
      </tp>
      <tp t="s">
        <v>#N/A Requesting Data...1150972448</v>
        <stp/>
        <stp>BDP|4614669274439881673</stp>
        <tr r="E5" s="2"/>
      </tp>
      <tp t="s">
        <v>#N/A N/A</v>
        <stp/>
        <stp>BDP|3603190722478324251</stp>
        <tr r="AI34" s="1"/>
      </tp>
      <tp t="s">
        <v>#N/A N/A</v>
        <stp/>
        <stp>BDP|1841797186795773188</stp>
        <tr r="AV11" s="2"/>
      </tp>
      <tp t="s">
        <v>#N/A N/A</v>
        <stp/>
        <stp>BDP|6392840872006556586</stp>
        <tr r="E8" s="1"/>
      </tp>
      <tp t="s">
        <v>#N/A Requesting Data...1869641146</v>
        <stp/>
        <stp>BDP|9284092877624060049</stp>
        <tr r="Z196" s="89"/>
        <tr r="AA196" s="89"/>
      </tp>
      <tp t="s">
        <v>#N/A Requesting Data...4059644854</v>
        <stp/>
        <stp>BDP|5263574927779802120</stp>
        <tr r="V45" s="338"/>
      </tp>
      <tp t="s">
        <v>#N/A Requesting Data...2196367605</v>
        <stp/>
        <stp>BDP|2344935394120970850</stp>
        <tr r="C108" s="89"/>
      </tp>
      <tp t="s">
        <v>#N/A Requesting Data...1387947885</v>
        <stp/>
        <stp>BDP|1305485589197843027</stp>
        <tr r="AJ17" s="338"/>
        <tr r="AJ18" s="338"/>
        <tr r="AH17" s="338"/>
        <tr r="AH18" s="338"/>
      </tp>
      <tp t="s">
        <v>#N/A Requesting Data...313640321</v>
        <stp/>
        <stp>BDP|9065585755010767336</stp>
        <tr r="F17" s="252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</tp>
      <tp t="s">
        <v>#N/A Requesting Data...3157410133</v>
        <stp/>
        <stp>BDP|7038982583049677518</stp>
        <tr r="T108" s="89"/>
      </tp>
      <tp t="s">
        <v>#N/A Requesting Data...3961997102</v>
        <stp/>
        <stp>BDP|1004337573258431787</stp>
        <tr r="L8" s="338"/>
        <tr r="L9" s="338"/>
        <tr r="H8" s="338"/>
        <tr r="H9" s="338"/>
      </tp>
      <tp t="s">
        <v>#N/A Requesting Data...536269694</v>
        <stp/>
        <stp>BDP|2913836118172985362</stp>
        <tr r="X47" s="338"/>
      </tp>
      <tp t="s">
        <v>#N/A N/A</v>
        <stp/>
        <stp>BDP|2658140518380678816</stp>
        <tr r="R101" s="89"/>
        <tr r="R102" s="89"/>
        <tr r="R95" s="89"/>
        <tr r="R96" s="89"/>
      </tp>
      <tp t="s">
        <v>#N/A N/A</v>
        <stp/>
        <stp>BDH|8642327424274931748</stp>
        <tr r="AN54" s="338"/>
        <tr r="AN53" s="338"/>
        <tr r="AN52" s="338"/>
      </tp>
      <tp t="s">
        <v>#N/A Requesting Data...3297044077</v>
        <stp/>
        <stp>BDP|2786473499167807238</stp>
        <tr r="AI45" s="338"/>
      </tp>
      <tp t="s">
        <v>#N/A N/A</v>
        <stp/>
        <stp>BDH|2746995304835903418</stp>
        <tr r="AU30" s="338"/>
      </tp>
      <tp t="s">
        <v>#N/A Requesting Data...1428424607</v>
        <stp/>
        <stp>BDP|9928781162902167014</stp>
        <tr r="AA171" s="89"/>
        <tr r="Z171" s="89"/>
      </tp>
      <tp t="s">
        <v>#N/A Requesting Data...1918270136</v>
        <stp/>
        <stp>BDP|6785747401219846296</stp>
        <tr r="S41" s="338"/>
      </tp>
      <tp t="s">
        <v>#N/A Requesting Data...3953112566</v>
        <stp/>
        <stp>BDP|9500211458423629792</stp>
        <tr r="V31" s="338"/>
      </tp>
      <tp t="s">
        <v>#N/A Requesting Data...4150930834</v>
        <stp/>
        <stp>BDP|3991525680666985223</stp>
        <tr r="C171" s="89"/>
      </tp>
      <tp t="s">
        <v>#N/A Requesting Data...872525001</v>
        <stp/>
        <stp>BDP|4587517495856843492</stp>
        <tr r="T16" s="338"/>
        <tr r="T38" s="338"/>
      </tp>
      <tp t="s">
        <v>#N/A N/A</v>
        <stp/>
        <stp>BDP|8471485932241814460</stp>
        <tr r="AB234" s="89"/>
        <tr r="AB251" s="89"/>
      </tp>
      <tp t="s">
        <v>#N/A N/A</v>
        <stp/>
        <stp>BDP|1509977030808674954</stp>
        <tr r="Q16" s="338"/>
        <tr r="Q38" s="338"/>
      </tp>
      <tp t="s">
        <v>#N/A N/A</v>
        <stp/>
        <stp>BDP|8582278211013363216</stp>
        <tr r="AI17" s="1"/>
        <tr r="AI16" s="1"/>
      </tp>
      <tp t="s">
        <v>#N/A N/A</v>
        <stp/>
        <stp>BDP|9833001038376039612</stp>
        <tr r="Q10" s="338"/>
      </tp>
      <tp t="s">
        <v>#N/A Requesting Data...3998801655</v>
        <stp/>
        <stp>BDP|9965794027725386324</stp>
        <tr r="AB24" s="1"/>
        <tr r="F26" s="446"/>
      </tp>
      <tp t="s">
        <v>#N/A N/A</v>
        <stp/>
        <stp>BDP|1354781798976465315</stp>
        <tr r="R40" s="89"/>
      </tp>
      <tp t="s">
        <v>#N/A Requesting Data...2552389538</v>
        <stp/>
        <stp>BDP|1269563299172286598</stp>
        <tr r="AD22" s="2"/>
        <tr r="V56" s="89"/>
      </tp>
      <tp t="s">
        <v>#N/A Requesting Data...3032915861</v>
        <stp/>
        <stp>BDP|1001769831296786978</stp>
        <tr r="AI45" s="338"/>
        <tr r="AK45" s="338"/>
      </tp>
      <tp t="s">
        <v>#N/A N/A</v>
        <stp/>
        <stp>BDP|6071344440549342208</stp>
        <tr r="Q53" s="338"/>
      </tp>
      <tp t="s">
        <v>#N/A Requesting Data...1176055336</v>
        <stp/>
        <stp>BDP|2779597998256859293</stp>
        <tr r="E188" s="89"/>
      </tp>
      <tp t="s">
        <v>#N/A N/A</v>
        <stp/>
        <stp>BDH|1146103656339784675</stp>
        <tr r="AU18" s="338"/>
      </tp>
      <tp t="s">
        <v>#N/A Requesting Data...4242651517</v>
        <stp/>
        <stp>BDP|3394479430858909693</stp>
        <tr r="C96" s="89"/>
      </tp>
      <tp t="s">
        <v>#N/A Requesting Data...1197468137</v>
        <stp/>
        <stp>BDP|4524000010539321624</stp>
        <tr r="V129" s="89"/>
      </tp>
      <tp t="s">
        <v>#N/A Requesting Data...1460048660</v>
        <stp/>
        <stp>BDP|8558300512371318103</stp>
        <tr r="D10" s="2"/>
        <tr r="D9" s="2"/>
        <tr r="C205" s="89"/>
        <tr r="C213" s="89"/>
      </tp>
      <tp t="s">
        <v>#N/A N/A</v>
        <stp/>
        <stp>BDH|2658646481514291256</stp>
        <tr r="AM12" s="338"/>
      </tp>
      <tp t="s">
        <v>#N/A Requesting Data...431998745</v>
        <stp/>
        <stp>BDP|4490739810029630148</stp>
        <tr r="F33" s="2"/>
      </tp>
      <tp t="s">
        <v>#N/A N/A</v>
        <stp/>
        <stp>BDP|2140911238616808459</stp>
        <tr r="AQ12" s="2"/>
        <tr r="AQ13" s="2"/>
        <tr r="AQ14" s="2"/>
        <tr r="AB169" s="89"/>
        <tr r="AB170" s="89"/>
        <tr r="AB171" s="89"/>
        <tr r="AB179" s="89"/>
        <tr r="AB180" s="89"/>
        <tr r="AB233" s="89"/>
        <tr r="AB252" s="89"/>
      </tp>
      <tp t="s">
        <v>#N/A Requesting Data...3596085803</v>
        <stp/>
        <stp>BDP|3332604227028093513</stp>
        <tr r="S13" s="338"/>
      </tp>
      <tp t="s">
        <v>#N/A Requesting Data...3663311948</v>
        <stp/>
        <stp>BDP|4698619147779427519</stp>
        <tr r="E233" s="89"/>
      </tp>
      <tp t="s">
        <v>#N/A Requesting Data...1602565560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Data...1188521614</v>
        <stp/>
        <stp>BDP|3948059027399786291</stp>
        <tr r="C102" s="89"/>
      </tp>
      <tp>
        <v>18.649999999999999</v>
        <stp/>
        <stp>BDP|13965893341883543451|22</stp>
        <stp>LITE US 02/20/26 C400 Equity</stp>
        <stp>mid</stp>
        <tr r="L11" s="2"/>
      </tp>
      <tp t="s">
        <v>#N/A Invalid Security</v>
        <stp/>
        <stp>BDP|12046926422584842304|22</stp>
        <stp>KLAC US 02/06/26 C1600 Equity</stp>
        <stp>bid</stp>
        <tr r="K27" s="89"/>
      </tp>
      <tp t="s">
        <v>#N/A Real Time</v>
        <stp/>
        <stp>BDP|11422101846013417478|22</stp>
        <stp>SPXW US 12/31/25 C6950 Index</stp>
        <stp>bid</stp>
        <tr r="K160" s="89"/>
      </tp>
      <tp>
        <v>38.25</v>
        <stp/>
        <stp>BDP|12794319931511644694|22</stp>
        <stp>TSM US 06/18/26 C340 Equity</stp>
        <stp>mid</stp>
        <tr r="L26" s="2"/>
        <tr r="L28" s="2"/>
      </tp>
      <tp t="s">
        <v>#N/A N/A</v>
        <stp/>
        <stp>BDP|2797874908098472962</stp>
        <tr r="AB38" s="1"/>
        <tr r="AB39" s="1"/>
      </tp>
      <tp t="s">
        <v>#N/A Requesting Data...1677035567</v>
        <stp/>
        <stp>BDP|6535458296649412984</stp>
        <tr r="T188" s="89"/>
      </tp>
      <tp t="s">
        <v>#N/A Requesting Data...318382326</v>
        <stp/>
        <stp>BDP|8888687617413548780</stp>
        <tr r="L54" s="338"/>
        <tr r="J54" s="338"/>
      </tp>
      <tp t="s">
        <v>#N/A Requesting Data...1482765025</v>
        <stp/>
        <stp>BDP|2329729297960563787</stp>
        <tr r="U42" s="338"/>
      </tp>
      <tp t="s">
        <v>#N/A Requesting Data...917851557</v>
        <stp/>
        <stp>BDP|5055978459833341163</stp>
        <tr r="S40" s="338"/>
      </tp>
      <tp t="s">
        <v>#N/A Requesting Data...2215756162</v>
        <stp/>
        <stp>BDP|9916250733583306071</stp>
        <tr r="V95" s="89"/>
      </tp>
      <tp t="s">
        <v>#N/A Requesting Data...2394457716</v>
        <stp/>
        <stp>BDP|2542844833310156281</stp>
        <tr r="E75" s="89"/>
      </tp>
      <tp t="s">
        <v>#N/A Requesting Data...2796807478</v>
        <stp/>
        <stp>BDP|4721614875256887832</stp>
        <tr r="AR15" s="2"/>
      </tp>
      <tp t="s">
        <v>#N/A Requesting Data...403146175</v>
        <stp/>
        <stp>BDP|2275607021765338885</stp>
        <tr r="E8" s="2"/>
      </tp>
      <tp t="s">
        <v>#N/A Requesting Data...3610938783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Data...1217891276</v>
        <stp/>
        <stp>BDP|4926041887351657654</stp>
        <tr r="D137" s="89"/>
      </tp>
      <tp t="s">
        <v>#N/A N/A</v>
        <stp/>
        <stp>BDP|9377061424987083785</stp>
        <tr r="AI38" s="1"/>
        <tr r="AI39" s="1"/>
      </tp>
      <tp t="s">
        <v>#N/A N/A</v>
        <stp/>
        <stp>BDP|9866940913692641877</stp>
        <tr r="AF23" s="1"/>
      </tp>
      <tp t="s">
        <v>#N/A Requesting Data...1060641052</v>
        <stp/>
        <stp>BDP|8737954890503872047</stp>
        <tr r="D33" s="446"/>
      </tp>
      <tp t="s">
        <v>#N/A Requesting Data...1169112417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Data...917012571</v>
        <stp/>
        <stp>BDP|4440081808298299792</stp>
        <tr r="AK42" s="338"/>
        <tr r="AI42" s="338"/>
      </tp>
      <tp t="s">
        <v>#N/A Requesting Data...1517563093</v>
        <stp/>
        <stp>BDP|6735248014207248991</stp>
        <tr r="T49" s="338"/>
      </tp>
      <tp t="s">
        <v>#N/A Requesting Data...3012867395</v>
        <stp/>
        <stp>BDP|2139028585213834226</stp>
        <tr r="AA123" s="89"/>
        <tr r="Z123" s="89"/>
      </tp>
      <tp t="s">
        <v>#N/A N/A</v>
        <stp/>
        <stp>BDP|3062590646899291014</stp>
        <tr r="AB153" s="89"/>
        <tr r="AB154" s="89"/>
      </tp>
      <tp t="s">
        <v>#N/A Requesting Data...1493799750</v>
        <stp/>
        <stp>BDP|4860326794961478469</stp>
        <tr r="C30" s="2"/>
      </tp>
      <tp t="s">
        <v>#N/A Requesting Data...1336068006</v>
        <stp/>
        <stp>BDP|8786342763721865752</stp>
        <tr r="P31" s="338"/>
      </tp>
      <tp t="s">
        <v>#N/A Requesting Data...711717428</v>
        <stp/>
        <stp>BDP|7001248851652159998</stp>
        <tr r="T34" s="338"/>
      </tp>
      <tp t="s">
        <v>#N/A Requesting Data...365223545</v>
        <stp/>
        <stp>BDP|2896129314990680953</stp>
        <tr r="V27" s="89"/>
      </tp>
      <tp t="s">
        <v>#N/A N/A</v>
        <stp/>
        <stp>BDP|1914533822549360466</stp>
        <tr r="K14" s="1"/>
      </tp>
      <tp t="s">
        <v>#N/A Requesting Data...2948244319</v>
        <stp/>
        <stp>BDP|8184963260888735426</stp>
        <tr r="AA180" s="89"/>
        <tr r="Z180" s="89"/>
      </tp>
      <tp t="s">
        <v>#N/A Invalid Security</v>
        <stp/>
        <stp>BDP|6339404083238257649|22</stp>
        <stp>-0,221296801545239 Index</stp>
        <stp>mid</stp>
        <tr r="L1" s="2"/>
      </tp>
      <tp t="s">
        <v>#N/A Requesting Data...3419059749</v>
        <stp/>
        <stp>BDP|7009075074579891280</stp>
        <tr r="AA33" s="2"/>
        <tr r="T197" s="89"/>
      </tp>
      <tp t="s">
        <v>#N/A Requesting Data...743883331</v>
        <stp/>
        <stp>BDP|5051274982791237548</stp>
        <tr r="D30" s="2"/>
        <tr r="C7" s="89"/>
      </tp>
      <tp t="s">
        <v>#N/A Requesting Data...3443813084</v>
        <stp/>
        <stp>BDP|9762687753917905669</stp>
        <tr r="T12" s="338"/>
      </tp>
      <tp t="s">
        <v>#N/A N/A</v>
        <stp/>
        <stp>BDP|2220703499371845606</stp>
        <tr r="R253" s="89"/>
      </tp>
      <tp t="s">
        <v>#N/A Requesting Data...3611431184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N/A</v>
        <stp/>
        <stp>BDH|9142471718907979049</stp>
        <tr r="AP36" s="338"/>
      </tp>
      <tp t="s">
        <v>#N/A Requesting Data...1856270558</v>
        <stp/>
        <stp>BDP|6241611932378988086</stp>
        <tr r="G42" s="446"/>
      </tp>
      <tp t="s">
        <v>#N/A Requesting Data...1344430027</v>
        <stp/>
        <stp>BDP|7985659615982817917</stp>
        <tr r="V36" s="338"/>
      </tp>
      <tp t="s">
        <v>#N/A Requesting Data...410850815</v>
        <stp/>
        <stp>BDP|3686904656286506250</stp>
        <tr r="O69" s="89"/>
        <tr r="O75" s="89"/>
      </tp>
      <tp t="s">
        <v>#N/A Requesting Data...4133196304</v>
        <stp/>
        <stp>BDP|8637443246353684034</stp>
        <tr r="T51" s="338"/>
      </tp>
      <tp t="s">
        <v>#N/A Requesting Data...3834881629</v>
        <stp/>
        <stp>BDP|7254106586446704322</stp>
        <tr r="AA55" s="89"/>
        <tr r="Z55" s="89"/>
      </tp>
      <tp t="s">
        <v>#N/A N/A</v>
        <stp/>
        <stp>BDP|8959047049495095258</stp>
        <tr r="AV18" s="2"/>
        <tr r="AV19" s="2"/>
        <tr r="AV20" s="2"/>
        <tr r="R249" s="89"/>
        <tr r="R235" s="89"/>
      </tp>
      <tp t="s">
        <v>#N/A Requesting Data...3479971473</v>
        <stp/>
        <stp>BDP|5187006175490775958</stp>
        <tr r="N7" s="252"/>
        <tr r="N7" s="252"/>
      </tp>
      <tp t="s">
        <v>#N/A Requesting Data...2748000030</v>
        <stp/>
        <stp>BDP|2612160096671704068</stp>
        <tr r="D31" s="446"/>
      </tp>
      <tp t="s">
        <v>#N/A N/A</v>
        <stp/>
        <stp>BDP|7517755008088933364</stp>
        <tr r="AG18" s="1"/>
        <tr r="AG19" s="1"/>
      </tp>
      <tp t="s">
        <v>#N/A Requesting Data...1178397616</v>
        <stp/>
        <stp>BDP|4718173344583097938</stp>
        <tr r="F16" s="252"/>
      </tp>
      <tp t="s">
        <v>#N/A Requesting Data...4039595461</v>
        <stp/>
        <stp>BDP|9318183699928316256</stp>
        <tr r="D43" s="446"/>
      </tp>
      <tp t="s">
        <v>#N/A Requesting Data...3372960010</v>
        <stp/>
        <stp>BDP|2397389796744963701</stp>
        <tr r="AK42" s="338"/>
      </tp>
      <tp t="s">
        <v>#N/A Requesting Data...3825408991</v>
        <stp/>
        <stp>BDP|9352295318971282043</stp>
        <tr r="T102" s="89"/>
      </tp>
      <tp t="s">
        <v>#N/A Requesting Data...2460774029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Data...1879228348</v>
        <stp/>
        <stp>BDP|4946496227111068830</stp>
        <tr r="T101" s="89"/>
      </tp>
      <tp t="s">
        <v>#N/A Requesting Data...771173851</v>
        <stp/>
        <stp>BDP|4411149358442996952</stp>
        <tr r="O11" s="252"/>
      </tp>
      <tp t="s">
        <v>#N/A Requesting Data...3980250983</v>
        <stp/>
        <stp>BDP|8633363721614159645</stp>
        <tr r="G8" s="446"/>
      </tp>
      <tp t="s">
        <v>#N/A Requesting Data...3798830611</v>
        <stp/>
        <stp>BDP|3529759684584753366</stp>
        <tr r="T250" s="89"/>
      </tp>
      <tp t="s">
        <v>#N/A Requesting Data...707504078</v>
        <stp/>
        <stp>BDP|2191174097923442203</stp>
        <tr r="AA31" s="2"/>
        <tr r="T195" s="89"/>
      </tp>
      <tp>
        <v>19.899999999999999</v>
        <stp/>
        <stp>BDP|16895049281307982456|22</stp>
        <stp>AVGO US 06/18/26 P300 Equity</stp>
        <stp>ask</stp>
        <tr r="L224" s="89"/>
      </tp>
      <tp t="s">
        <v>#N/A Real Time</v>
        <stp/>
        <stp>BDP|17619682917577655816|22</stp>
        <stp>ORCL US 10/03/25 P285 Equity</stp>
        <stp>ask</stp>
        <tr r="L250" s="89"/>
      </tp>
      <tp>
        <v>80.459999999999994</v>
        <stp/>
        <stp>BDP|2279876738225149449|22</stp>
        <stp>MRVL US Equity</stp>
        <stp>LAST_PRICE</stp>
        <tr r="Z15" s="2"/>
        <tr r="Z16" s="2"/>
        <tr r="Z17" s="2"/>
      </tp>
      <tp>
        <v>0.25</v>
        <stp/>
        <stp>BDP|16321192409833246773|22</stp>
        <stp>ASML US 01/23/26 P1100 Equity</stp>
        <stp>ask</stp>
        <tr r="L50" s="89"/>
      </tp>
      <tp>
        <v>-0.43524041771888733</v>
        <stp/>
        <stp>BDP|1393123865485650562|22</stp>
        <stp>MRVL US 03/20/26 P80 Equity</stp>
        <stp>DELTA_MID_RT</stp>
        <tr r="AF16" s="2"/>
      </tp>
      <tp t="s">
        <v>USD</v>
        <stp/>
        <stp>BDP|18066360386399124696|22</stp>
        <stp>AMZN US 02/13/26 C240 Equity</stp>
        <stp>QUOTED_CURRENCY_REALTIME</stp>
        <tr r="F234" s="89"/>
      </tp>
      <tp t="s">
        <v>#N/A N/A</v>
        <stp/>
        <stp>BDP|9669031297401111598</stp>
        <tr r="AG30" s="1"/>
      </tp>
      <tp t="s">
        <v>#N/A Requesting Data...3087601069</v>
        <stp/>
        <stp>BDP|5437194871183662400</stp>
        <tr r="C63" s="89"/>
      </tp>
      <tp t="s">
        <v>#N/A N/A</v>
        <stp/>
        <stp>BDP|4283940605309327082</stp>
        <tr r="AV4" s="2"/>
      </tp>
      <tp t="s">
        <v>#N/A Requesting Data...830682202</v>
        <stp/>
        <stp>BDP|8181530094431771194</stp>
        <tr r="C252" s="89"/>
      </tp>
      <tp t="s">
        <v>#N/A Requesting Data...1321736867</v>
        <stp/>
        <stp>BDP|7846163779046776380</stp>
        <tr r="V8" s="338"/>
      </tp>
      <tp t="s">
        <v>#N/A Requesting Data...2888422888</v>
        <stp/>
        <stp>BDP|4966659791349467604</stp>
        <tr r="AF15" s="1"/>
        <tr r="AG45" s="338"/>
      </tp>
      <tp t="s">
        <v>#N/A Requesting Data...4156578956</v>
        <stp/>
        <stp>BDP|2906346500884364176</stp>
        <tr r="AJ31" s="338"/>
        <tr r="AJ32" s="338"/>
      </tp>
      <tp t="s">
        <v>#N/A Requesting Data...1754276874</v>
        <stp/>
        <stp>BDP|3419727698730200952</stp>
        <tr r="AR4" s="2"/>
      </tp>
      <tp t="s">
        <v>#N/A Requesting Data...2675820589</v>
        <stp/>
        <stp>BDP|6899414930851030473</stp>
        <tr r="V50" s="89"/>
      </tp>
      <tp t="s">
        <v>#N/A N/A</v>
        <stp/>
        <stp>BDP|1105691956700330633</stp>
        <tr r="AG31" s="1"/>
        <tr r="AG32" s="1"/>
      </tp>
      <tp t="s">
        <v>#N/A N/A</v>
        <stp/>
        <stp>BDH|7027783476027467440</stp>
        <tr r="AN42" s="338"/>
        <tr r="AN41" s="338"/>
      </tp>
      <tp t="s">
        <v>#N/A Requesting Data...1337750600</v>
        <stp/>
        <stp>BDP|7494523709231730773</stp>
        <tr r="F31" s="446"/>
      </tp>
      <tp t="s">
        <v>#N/A N/A</v>
        <stp/>
        <stp>BDP|2743037479982482367</stp>
        <tr r="AF37" s="1"/>
      </tp>
      <tp t="s">
        <v>#N/A N/A</v>
        <stp/>
        <stp>BDH|6719723666784524792</stp>
        <tr r="AS11" s="338"/>
      </tp>
      <tp t="s">
        <v>#N/A Requesting Data...4177733724</v>
        <stp/>
        <stp>BDP|9847286686473857422</stp>
        <tr r="C25" s="2"/>
      </tp>
      <tp t="s">
        <v>#N/A Requesting Data...3723241767</v>
        <stp/>
        <stp>BDP|4436704469781548059</stp>
        <tr r="C62" s="89"/>
      </tp>
      <tp t="s">
        <v>#N/A Requesting Data...1134792491</v>
        <stp/>
        <stp>BDP|8549451961438864644</stp>
        <tr r="AJ55" s="338"/>
        <tr r="AK14" s="338"/>
        <tr r="AK55" s="338"/>
      </tp>
      <tp t="s">
        <v>#N/A Requesting Data...2351563083</v>
        <stp/>
        <stp>BDP|9945382899790540700</stp>
        <tr r="AA138" s="89"/>
        <tr r="Z138" s="89"/>
      </tp>
      <tp t="s">
        <v>#N/A Requesting Data...3612963392</v>
        <stp/>
        <stp>BDP|1051127841111916176</stp>
        <tr r="P16" s="252"/>
      </tp>
      <tp t="s">
        <v>#N/A Requesting Data...1509133392</v>
        <stp/>
        <stp>BDP|4663108797361832948</stp>
        <tr r="T243" s="89"/>
      </tp>
      <tp t="s">
        <v>#N/A Requesting Data...4037255057</v>
        <stp/>
        <stp>BDP|2199559048282875569</stp>
        <tr r="AI18" s="338"/>
      </tp>
      <tp t="s">
        <v>#N/A Requesting Data...3187517921</v>
        <stp/>
        <stp>BDP|4374742715501301730</stp>
        <tr r="N16" s="252"/>
        <tr r="N16" s="252"/>
      </tp>
      <tp t="s">
        <v>#N/A Requesting Data...2705586690</v>
        <stp/>
        <stp>BDP|3004206956470481008</stp>
        <tr r="AA20" s="89"/>
        <tr r="Z20" s="89"/>
      </tp>
      <tp t="s">
        <v>#N/A Requesting Data...2047719026</v>
        <stp/>
        <stp>BDP|8764335623844685936</stp>
        <tr r="T225" s="89"/>
      </tp>
      <tp t="s">
        <v>#N/A Requesting Data...4064069912</v>
        <stp/>
        <stp>BDP|1615244074723761330</stp>
        <tr r="T36" s="338"/>
      </tp>
      <tp t="s">
        <v>#N/A Requesting Data...978148519</v>
        <stp/>
        <stp>BDP|1689501637441437267</stp>
        <tr r="E153" s="89"/>
        <tr r="E154" s="89"/>
      </tp>
      <tp t="s">
        <v>#N/A Requesting Data...1074952845</v>
        <stp/>
        <stp>BDP|8326860540126523632</stp>
        <tr r="E129" s="89"/>
      </tp>
      <tp t="s">
        <v>#N/A Requesting Data...2245913187</v>
        <stp/>
        <stp>BDP|5790626169004593599</stp>
        <tr r="F40" s="446"/>
      </tp>
      <tp t="s">
        <v>#N/A Requesting Data...2418161513</v>
        <stp/>
        <stp>BDP|9726257024364768910</stp>
        <tr r="O19" s="252"/>
      </tp>
      <tp t="s">
        <v>#N/A Requesting Data...1223996143</v>
        <stp/>
        <stp>BDP|3121965407037939996</stp>
        <tr r="T10" s="338"/>
      </tp>
      <tp t="s">
        <v>#N/A N/A</v>
        <stp/>
        <stp>BDH|7788687113942409689</stp>
        <tr r="AS52" s="338"/>
        <tr r="AS15" s="338"/>
        <tr r="AS17" s="338"/>
        <tr r="AS38" s="338"/>
        <tr r="AS44" s="338"/>
        <tr r="AS16" s="338"/>
        <tr r="AS39" s="338"/>
      </tp>
      <tp t="s">
        <v>#N/A Requesting Data...2015322697</v>
        <stp/>
        <stp>BDP|6006028351715170233</stp>
        <tr r="F30" s="2"/>
      </tp>
      <tp t="s">
        <v>#N/A Requesting Data...811713952</v>
        <stp/>
        <stp>BDP|2781273192095754848</stp>
        <tr r="P37" s="338"/>
      </tp>
      <tp t="s">
        <v>#N/A Requesting Data...575400014</v>
        <stp/>
        <stp>BDP|5028796441871860363</stp>
        <tr r="D6" s="2"/>
        <tr r="C223" s="89"/>
      </tp>
      <tp t="s">
        <v>#N/A Requesting Data...2686837557</v>
        <stp/>
        <stp>BDP|5440482774885960773</stp>
        <tr r="AH36" s="338"/>
      </tp>
      <tp t="s">
        <v>#N/A Requesting Data...4109669121</v>
        <stp/>
        <stp>BDP|8903483087139985997</stp>
        <tr r="S8" s="252"/>
      </tp>
      <tp t="s">
        <v>#N/A Requesting Data...3551676825</v>
        <stp/>
        <stp>BDP|1490932935796586918</stp>
        <tr r="T19" s="89"/>
      </tp>
      <tp t="s">
        <v>#N/A Requesting Data...654335340</v>
        <stp/>
        <stp>BDP|2357040805921494704</stp>
        <tr r="AJ10" s="338"/>
        <tr r="AJ11" s="338"/>
        <tr r="AJ33" s="338"/>
      </tp>
      <tp t="s">
        <v>#N/A Requesting Data...3493165428</v>
        <stp/>
        <stp>BDP|7928439714665118399</stp>
        <tr r="AR14" s="2"/>
      </tp>
      <tp t="s">
        <v>#N/A Requesting Data...1118696216</v>
        <stp/>
        <stp>BDP|2785695221570324283</stp>
        <tr r="O188" s="89"/>
      </tp>
      <tp t="s">
        <v>#N/A Requesting Data...2470519867</v>
        <stp/>
        <stp>BDP|1913639431982971268</stp>
        <tr r="V122" s="89"/>
      </tp>
      <tp t="s">
        <v>#N/A Requesting Data...2229247685</v>
        <stp/>
        <stp>BDP|8103428543709687520</stp>
        <tr r="G5" s="446"/>
        <tr r="G6" s="446"/>
      </tp>
      <tp t="s">
        <v>#N/A Requesting Data...1684867115</v>
        <stp/>
        <stp>BDP|5430094244624859152</stp>
        <tr r="D34" s="446"/>
      </tp>
      <tp t="s">
        <v>#N/A Requesting Data...1430101302</v>
        <stp/>
        <stp>BDP|5284294530751812164</stp>
        <tr r="AI12" s="338"/>
      </tp>
      <tp t="s">
        <v>#N/A Requesting Data...3677541049</v>
        <stp/>
        <stp>BDP|2593154816901666757</stp>
        <tr r="N13" s="252"/>
        <tr r="N13" s="252"/>
      </tp>
      <tp t="s">
        <v>#N/A Requesting Data...2414965396</v>
        <stp/>
        <stp>BDP|9638513960499697749</stp>
        <tr r="T46" s="338"/>
      </tp>
      <tp t="s">
        <v>#N/A Requesting Data...4225537692</v>
        <stp/>
        <stp>BDP|1095799839766349765</stp>
        <tr r="AR13" s="2"/>
      </tp>
      <tp t="s">
        <v>#N/A Requesting Data...2621274167</v>
        <stp/>
        <stp>BDP|8355294893663412480</stp>
        <tr r="O76" s="89"/>
      </tp>
      <tp t="s">
        <v>#N/A N/A</v>
        <stp/>
        <stp>BDH|2083706565180787772</stp>
        <tr r="AR13" s="338"/>
      </tp>
      <tp>
        <v>23.4</v>
        <stp/>
        <stp>BDP|13865712707283630233|22</stp>
        <stp>META US 02/13/26 C630 Equity</stp>
        <stp>bid</stp>
        <tr r="K233" s="89"/>
      </tp>
      <tp>
        <v>620.25</v>
        <stp/>
        <stp>BDP|3807768373389777345|22</stp>
        <stp>META Equity</stp>
        <stp>LAST_PRICE</stp>
        <tr r="I24" s="1"/>
      </tp>
      <tp>
        <v>104.28</v>
        <stp/>
        <stp>BDP|4389152314038046903|22</stp>
        <stp>QQQE Equity</stp>
        <stp>LAST_PRICE</stp>
        <tr r="I15" s="1"/>
      </tp>
      <tp>
        <v>97.24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#N/A N/A</v>
        <stp/>
        <stp>BDP|1163242074811817033</stp>
        <tr r="R251" s="89"/>
        <tr r="R234" s="89"/>
      </tp>
      <tp t="s">
        <v>#N/A Requesting Data...3209753620</v>
        <stp/>
        <stp>BDP|2926137671092226333</stp>
        <tr r="P14" s="252"/>
      </tp>
      <tp t="s">
        <v>#N/A Requesting Data...2379870092</v>
        <stp/>
        <stp>BDP|4780459414043985746</stp>
        <tr r="S33" s="338"/>
      </tp>
      <tp t="s">
        <v>#N/A Requesting Data...3992364739</v>
        <stp/>
        <stp>BDP|3715220583989463590</stp>
        <tr r="AB25" s="1"/>
        <tr r="F30" s="446"/>
      </tp>
      <tp t="s">
        <v>#N/A Requesting Data...932251667</v>
        <stp/>
        <stp>BDP|3983744460122577503</stp>
        <tr r="AF31" s="1"/>
        <tr r="AF32" s="1"/>
        <tr r="AF36" s="338"/>
      </tp>
      <tp t="s">
        <v>#N/A Requesting Data...611125867</v>
        <stp/>
        <stp>BDP|8403826222750594793</stp>
        <tr r="E196" s="89"/>
      </tp>
      <tp t="s">
        <v>#N/A Requesting Data...3564949260</v>
        <stp/>
        <stp>BDP|5013605744345919757</stp>
        <tr r="D20" s="2"/>
      </tp>
      <tp t="s">
        <v>#N/A Requesting Data...2889468034</v>
        <stp/>
        <stp>BDP|5308081551174601141</stp>
        <tr r="U11" s="338"/>
      </tp>
      <tp t="s">
        <v>#N/A N/A</v>
        <stp/>
        <stp>BDP|2727398900915620104</stp>
        <tr r="Q9" s="338"/>
      </tp>
      <tp t="s">
        <v>#N/A N/A</v>
        <stp/>
        <stp>BDP|3051431949301095732</stp>
        <tr r="AB37" s="1"/>
      </tp>
      <tp t="s">
        <v>#N/A Requesting Data...1341226221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Data...3274304720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Data...3589526321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Data...1729157317</v>
        <stp/>
        <stp>BDP|2680507519705077633</stp>
        <tr r="C253" s="89"/>
      </tp>
      <tp t="s">
        <v>#N/A Requesting Data...1606713732</v>
        <stp/>
        <stp>BDP|8626964800726479283</stp>
        <tr r="T17" s="338"/>
      </tp>
      <tp t="s">
        <v>#N/A N/A</v>
        <stp/>
        <stp>BDP|7410592363259611858</stp>
        <tr r="K2" s="1"/>
      </tp>
      <tp t="s">
        <v>#N/A Requesting Data...2968772842</v>
        <stp/>
        <stp>BDP|5849251579912033793</stp>
        <tr r="D63" s="89"/>
      </tp>
      <tp t="s">
        <v>#N/A Requesting Data...561740076</v>
        <stp/>
        <stp>BDP|6689657087039171489</stp>
        <tr r="D50" s="89"/>
      </tp>
      <tp t="s">
        <v>#N/A Requesting Data...2025825801</v>
        <stp/>
        <stp>BDP|6453493511390892665</stp>
        <tr r="T31" s="338"/>
      </tp>
      <tp t="s">
        <v>#N/A N/A</v>
        <stp/>
        <stp>BDP|1589468757956595330</stp>
        <tr r="AB15" s="1"/>
      </tp>
      <tp t="s">
        <v>#N/A Requesting Data...4082557046</v>
        <stp/>
        <stp>BDP|1933423945534840047</stp>
        <tr r="AK9" s="338"/>
      </tp>
      <tp t="s">
        <v>#N/A Requesting Data...2024863316</v>
        <stp/>
        <stp>BDP|4087771710803757431</stp>
        <tr r="X54" s="338"/>
      </tp>
      <tp t="s">
        <v>#N/A Requesting Data...3723371730</v>
        <stp/>
        <stp>BDP|5606617135013296639</stp>
        <tr r="D14" s="2"/>
      </tp>
      <tp t="s">
        <v>#N/A Requesting Data...3097363947</v>
        <stp/>
        <stp>BDP|7419327903193598239</stp>
        <tr r="AJ15" s="338"/>
        <tr r="AJ39" s="338"/>
        <tr r="AK40" s="338"/>
      </tp>
      <tp t="s">
        <v>#N/A N/A</v>
        <stp/>
        <stp>BDP|9525835047501594141</stp>
        <tr r="AG22" s="1"/>
      </tp>
      <tp t="s">
        <v>#N/A N/A</v>
        <stp/>
        <stp>BDP|9212642566604321834</stp>
        <tr r="R89" s="89"/>
        <tr r="R90" s="89"/>
      </tp>
      <tp t="s">
        <v>#N/A N/A</v>
        <stp/>
        <stp>BDP|7337309723996972590</stp>
        <tr r="K41" s="1"/>
      </tp>
      <tp t="s">
        <v>#N/A Requesting Data...3861872362</v>
        <stp/>
        <stp>BDP|1252039566197775513</stp>
        <tr r="AK54" s="338"/>
      </tp>
      <tp t="s">
        <v>#N/A N/A</v>
        <stp/>
        <stp>BDP|6695752411146080338</stp>
        <tr r="AG27" s="1"/>
        <tr r="AG28" s="1"/>
      </tp>
      <tp t="s">
        <v>#N/A Requesting Data...859856868</v>
        <stp/>
        <stp>BDP|9107847052373360258</stp>
        <tr r="C12" s="2"/>
      </tp>
      <tp t="s">
        <v>#N/A Requesting Data...678554457</v>
        <stp/>
        <stp>BDP|1340430251865159018</stp>
        <tr r="C122" s="89"/>
      </tp>
      <tp t="s">
        <v>#N/A N/A</v>
        <stp/>
        <stp>BDH|5732557044825167460</stp>
        <tr r="AU11" s="338"/>
      </tp>
      <tp t="s">
        <v>#N/A Requesting Data...1771648489</v>
        <stp/>
        <stp>BDP|6397811860628218562</stp>
        <tr r="O40" s="89"/>
      </tp>
      <tp t="s">
        <v>#N/A Requesting Data...1581565254</v>
        <stp/>
        <stp>BDP|3777685039867817484</stp>
        <tr r="E20" s="89"/>
      </tp>
      <tp t="s">
        <v>#N/A N/A</v>
        <stp/>
        <stp>BDP|3531766210442590208</stp>
        <tr r="AF21" s="1"/>
      </tp>
      <tp t="s">
        <v>#N/A Requesting Data...3248148570</v>
        <stp/>
        <stp>BDP|6124212647123164610</stp>
        <tr r="AA109" s="89"/>
        <tr r="Z109" s="89"/>
      </tp>
      <tp t="s">
        <v>#N/A Requesting Data...2832233632</v>
        <stp/>
        <stp>BDP|2987580469143878743</stp>
        <tr r="AA115" s="89"/>
        <tr r="Z115" s="89"/>
      </tp>
      <tp t="s">
        <v>#N/A Requesting Data...443699057</v>
        <stp/>
        <stp>BDP|4033619350390538205</stp>
        <tr r="E197" s="89"/>
      </tp>
      <tp t="s">
        <v>#N/A Requesting Data...945149866</v>
        <stp/>
        <stp>BDP|7460910680203620073</stp>
        <tr r="E26" s="2"/>
        <tr r="E28" s="2"/>
      </tp>
      <tp t="s">
        <v>#N/A N/A</v>
        <stp/>
        <stp>BDH|6350581122182589681</stp>
        <tr r="AS32" s="338"/>
        <tr r="AS46" s="338"/>
        <tr r="AS50" s="338"/>
        <tr r="AS8" s="338"/>
      </tp>
      <tp t="s">
        <v>#N/A Requesting Data...546898609</v>
        <stp/>
        <stp>BDP|1785534484179509007</stp>
        <tr r="U37" s="338"/>
      </tp>
      <tp t="s">
        <v>#N/A Requesting Data...2475047946</v>
        <stp/>
        <stp>BDP|2813493497959311307</stp>
        <tr r="AA178" s="89"/>
        <tr r="Z178" s="89"/>
      </tp>
      <tp t="s">
        <v>#N/A Real Time</v>
        <stp/>
        <stp>BDP|16483041364426568359|22</stp>
        <stp>NVDA US 10/03/25 P160 Equity</stp>
        <stp>ask</stp>
        <tr r="L253" s="89"/>
      </tp>
      <tp>
        <v>22.25</v>
        <stp/>
        <stp>BDP|16902259978573716312|22</stp>
        <stp>MSFT US 03/20/26 P465 Equity</stp>
        <stp>ask</stp>
        <tr r="Q20" s="2"/>
      </tp>
      <tp t="s">
        <v>USD</v>
        <stp/>
        <stp>BDP|397487976034915571|22</stp>
        <stp>TSM US 06/18/26 C380 Equity</stp>
        <stp>QUOTED_CURRENCY_REALTIME</stp>
        <tr r="G27" s="2"/>
        <tr r="G29" s="2"/>
        <tr r="F14" s="89"/>
      </tp>
      <tp>
        <v>255.53</v>
        <stp/>
        <stp>BDP|4350104393385922955|22</stp>
        <stp>AAPL Equity</stp>
        <stp>LAST PRICE</stp>
        <tr r="I11" s="338"/>
      </tp>
      <tp>
        <v>-0.13668623566627502</v>
        <stp/>
        <stp>BDP|4567417713158786157|22</stp>
        <stp>AVGO US 06/18/26 C410 Equity</stp>
        <stp>theta_mid_rt</stp>
        <tr r="AN5" s="2"/>
      </tp>
      <tp t="s">
        <v>#N/A Requesting Data...1522222329</v>
        <stp/>
        <stp>BDP|9823698439132005823</stp>
        <tr r="M12" s="252"/>
      </tp>
      <tp t="s">
        <v>#N/A Requesting Data...717068922</v>
        <stp/>
        <stp>BDP|3841182258277076628</stp>
        <tr r="E30" s="2"/>
      </tp>
      <tp t="s">
        <v>#N/A Requesting Data...1293763234</v>
        <stp/>
        <stp>BDP|3019690065241065465</stp>
        <tr r="AI48" s="338"/>
        <tr r="AI49" s="338"/>
      </tp>
      <tp t="s">
        <v>#N/A Requesting Data...3523847198</v>
        <stp/>
        <stp>BDP|7188757863485888551</stp>
        <tr r="G39" s="446"/>
      </tp>
      <tp t="s">
        <v>#N/A Requesting Data...2162650896</v>
        <stp/>
        <stp>BDP|6357706968437215632</stp>
        <tr r="S51" s="338"/>
      </tp>
      <tp t="s">
        <v>#N/A Requesting Data...2650107376</v>
        <stp/>
        <stp>BDP|6344868389439270954</stp>
        <tr r="D33" s="89"/>
      </tp>
      <tp t="s">
        <v>#N/A Requesting Data...779206578</v>
        <stp/>
        <stp>BDP|2912249135106636351</stp>
        <tr r="E171" s="89"/>
      </tp>
      <tp t="s">
        <v>#N/A Requesting Data...4058772632</v>
        <stp/>
        <stp>BDP|1443585917713323038</stp>
        <tr r="L30" s="338"/>
        <tr r="J30" s="338"/>
      </tp>
      <tp t="s">
        <v>#N/A Requesting Data...1596216536</v>
        <stp/>
        <stp>BDP|9040986355516417529</stp>
        <tr r="C27" s="89"/>
      </tp>
      <tp t="s">
        <v>#N/A Requesting Data...1223839873</v>
        <stp/>
        <stp>BDP|5276161858584454335</stp>
        <tr r="D31" s="2"/>
        <tr r="C195" s="89"/>
      </tp>
      <tp t="s">
        <v>#N/A Requesting Data...2535189565</v>
        <stp/>
        <stp>BDP|4646626558147768607</stp>
        <tr r="T144" s="89"/>
      </tp>
      <tp t="s">
        <v>#N/A Requesting Data...1375215688</v>
        <stp/>
        <stp>BDP|9958243614845156906</stp>
        <tr r="AK30" s="338"/>
        <tr r="AI30" s="338"/>
      </tp>
      <tp t="s">
        <v>#N/A Requesting Data...3781069033</v>
        <stp/>
        <stp>BDP|3175608666544602195</stp>
        <tr r="T171" s="89"/>
      </tp>
      <tp t="s">
        <v>#N/A Requesting Data...1571427154</v>
        <stp/>
        <stp>BDP|1754575979255457051</stp>
        <tr r="G14" s="446"/>
      </tp>
      <tp t="s">
        <v>#N/A N/A</v>
        <stp/>
        <stp>BDH|5646459794308967661</stp>
        <tr r="AU37" s="338"/>
        <tr r="AU35" s="338"/>
        <tr r="AP51" s="338"/>
        <tr r="AU36" s="338"/>
        <tr r="AU34" s="338"/>
        <tr r="AP50" s="338"/>
      </tp>
      <tp t="s">
        <v>#N/A Requesting Data...631508280</v>
        <stp/>
        <stp>BDP|7065204913884869622</stp>
        <tr r="O242" s="89"/>
      </tp>
      <tp t="s">
        <v>#N/A N/A</v>
        <stp/>
        <stp>BDP|5235064149062474501</stp>
        <tr r="Q8" s="338"/>
      </tp>
      <tp t="s">
        <v>#N/A N/A</v>
        <stp/>
        <stp>BDP|5130174576111125487</stp>
        <tr r="K35" s="1"/>
      </tp>
      <tp t="s">
        <v>#N/A Requesting Data...730600932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Data...3240304889</v>
        <stp/>
        <stp>BDP|6095484704072209604</stp>
        <tr r="AJ13" s="338"/>
        <tr r="AJ34" s="338"/>
      </tp>
      <tp t="s">
        <v>#N/A Requesting Data...2820195503</v>
        <stp/>
        <stp>BDP|6921540255739678909</stp>
        <tr r="AK32" s="338"/>
        <tr r="AK46" s="338"/>
        <tr r="AK50" s="338"/>
        <tr r="AK8" s="338"/>
      </tp>
      <tp t="s">
        <v>#N/A Requesting Data...959278322</v>
        <stp/>
        <stp>BDP|5836174453674625345</stp>
        <tr r="V34" s="338"/>
      </tp>
      <tp t="s">
        <v>#N/A N/A</v>
        <stp/>
        <stp>BDH|4773306217369656983</stp>
        <tr r="AS54" s="338"/>
      </tp>
      <tp t="s">
        <v>#N/A N/A</v>
        <stp/>
        <stp>BDH|7603033368120191723</stp>
        <tr r="AM47" s="338"/>
        <tr r="AM48" s="338"/>
        <tr r="AR53" s="338"/>
        <tr r="AM44" s="338"/>
        <tr r="AR10" s="338"/>
      </tp>
      <tp t="s">
        <v>#N/A N/A</v>
        <stp/>
        <stp>BDH|5212933572004569988</stp>
        <tr r="AM36" s="338"/>
      </tp>
      <tp t="s">
        <v>#N/A Requesting Data...4161062531</v>
        <stp/>
        <stp>BDP|6914181187250139988</stp>
        <tr r="AA6" s="2"/>
        <tr r="T223" s="89"/>
      </tp>
      <tp t="s">
        <v>#N/A Requesting Data...2642959023</v>
        <stp/>
        <stp>BDP|2338594160066491111</stp>
        <tr r="AR30" s="2"/>
      </tp>
      <tp t="s">
        <v>#N/A N/A</v>
        <stp/>
        <stp>BDP|4812047156012255576</stp>
        <tr r="AB81" s="89"/>
      </tp>
      <tp t="s">
        <v>#N/A N/A</v>
        <stp/>
        <stp>BDH|1676258661074496796</stp>
        <tr r="AN47" s="338"/>
        <tr r="AS53" s="338"/>
        <tr r="AN44" s="338"/>
        <tr r="AN48" s="338"/>
        <tr r="AS10" s="338"/>
      </tp>
      <tp t="s">
        <v>#N/A Requesting Data...608929681</v>
        <stp/>
        <stp>BDP|3930578222146831483</stp>
        <tr r="G43" s="446"/>
      </tp>
      <tp t="s">
        <v>#N/A Requesting Data...3304425736</v>
        <stp/>
        <stp>BDP|1796976268448721036</stp>
        <tr r="E14" s="89"/>
      </tp>
      <tp t="s">
        <v>#N/A N/A</v>
        <stp/>
        <stp>BDP|8403728728339567278</stp>
        <tr r="AC41" s="1"/>
      </tp>
      <tp t="s">
        <v>#N/A Requesting Data...3129323277</v>
        <stp/>
        <stp>BDP|9880395878588381367</stp>
        <tr r="AA188" s="89"/>
        <tr r="Z188" s="89"/>
      </tp>
      <tp t="s">
        <v>#N/A Requesting Data...3382038273</v>
        <stp/>
        <stp>BDP|3166087990788095446</stp>
        <tr r="G21" s="446"/>
      </tp>
      <tp t="s">
        <v>#N/A Requesting Data...3500591456</v>
        <stp/>
        <stp>BDP|4996607430791175657</stp>
        <tr r="T122" s="89"/>
      </tp>
      <tp t="s">
        <v>#N/A Requesting Data...2961792706</v>
        <stp/>
        <stp>BDP|3807948298497989200</stp>
        <tr r="P45" s="338"/>
      </tp>
      <tp t="s">
        <v>#N/A Requesting Data...3081317464</v>
        <stp/>
        <stp>BDP|6469126185579640087</stp>
        <tr r="F31" s="2"/>
      </tp>
      <tp t="s">
        <v>#N/A Requesting Data...1472658386</v>
        <stp/>
        <stp>BDP|5238012338866927602</stp>
        <tr r="D32" s="2"/>
        <tr r="C196" s="89"/>
      </tp>
      <tp t="s">
        <v>#N/A Requesting Data...2083064898</v>
        <stp/>
        <stp>BDP|2924047099948422524</stp>
        <tr r="D196" s="89"/>
      </tp>
      <tp t="s">
        <v>#N/A N/A</v>
        <stp/>
        <stp>BDP|4148348666006447154</stp>
        <tr r="AF22" s="1"/>
      </tp>
      <tp t="s">
        <v>#N/A Requesting Data...3259153763</v>
        <stp/>
        <stp>BDP|2876687939266845739</stp>
        <tr r="AA20" s="2"/>
      </tp>
      <tp t="s">
        <v>#N/A N/A</v>
        <stp/>
        <stp>BDP|9242806905375372266</stp>
        <tr r="R122" s="89"/>
        <tr r="R123" s="89"/>
      </tp>
      <tp t="s">
        <v>#N/A Requesting Data...2228464306</v>
        <stp/>
        <stp>BDP|3531676896459233342</stp>
        <tr r="G35" s="446"/>
      </tp>
      <tp t="s">
        <v>#N/A Requesting Data...476280337</v>
        <stp/>
        <stp>BDP|9850960325197941300</stp>
        <tr r="AF16" s="338"/>
        <tr r="AF38" s="338"/>
        <tr r="AF40" s="338"/>
      </tp>
      <tp t="s">
        <v>#N/A Requesting Data...2404082537</v>
        <stp/>
        <stp>BDP|6363186864423553482</stp>
        <tr r="D205" s="89"/>
      </tp>
      <tp t="s">
        <v>#N/A Requesting Data...1834169662</v>
        <stp/>
        <stp>BDP|6405522765572861193</stp>
        <tr r="E195" s="89"/>
      </tp>
      <tp t="s">
        <v>#N/A Requesting Data...2872416890</v>
        <stp/>
        <stp>BDP|1831578601782415092</stp>
        <tr r="V18" s="338"/>
      </tp>
      <tp t="s">
        <v>#N/A N/A</v>
        <stp/>
        <stp>BDP|3400335775448774956</stp>
        <tr r="AF36" s="1"/>
      </tp>
      <tp t="s">
        <v>#N/A Requesting Data...2270673126</v>
        <stp/>
        <stp>BDP|5315552559291956278</stp>
        <tr r="AA22" s="2"/>
        <tr r="T56" s="89"/>
      </tp>
      <tp t="s">
        <v>#N/A Requesting Data...3175201065</v>
        <stp/>
        <stp>BDP|9650470625011320866</stp>
        <tr r="AA225" s="89"/>
        <tr r="Z225" s="89"/>
      </tp>
      <tp t="s">
        <v>#N/A Requesting Data...1803022890</v>
        <stp/>
        <stp>BDP|9271742846914689876</stp>
        <tr r="S15" s="338"/>
        <tr r="S39" s="338"/>
      </tp>
      <tp t="s">
        <v>#N/A Requesting Data...4028825520</v>
        <stp/>
        <stp>BDP|1183356610207551274</stp>
        <tr r="T27" s="2"/>
        <tr r="T29" s="2"/>
        <tr r="O14" s="89"/>
      </tp>
      <tp t="s">
        <v>#N/A Requesting Data...3345697642</v>
        <stp/>
        <stp>BDP|3672362430114067167</stp>
        <tr r="T14" s="338"/>
      </tp>
      <tp t="s">
        <v>#N/A Requesting Data...2430707769</v>
        <stp/>
        <stp>BDP|2714917007269668409</stp>
        <tr r="M8" s="252"/>
      </tp>
      <tp t="s">
        <v>#N/A Requesting Data...3763269223</v>
        <stp/>
        <stp>BDP|3066523942234581020</stp>
        <tr r="AR33" s="2"/>
      </tp>
      <tp t="s">
        <v>#N/A Requesting Data...2010540032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Data...2010532145</v>
        <stp/>
        <stp>BDP|8408000722589740564</stp>
        <tr r="T68" s="89"/>
      </tp>
      <tp t="s">
        <v>#N/A Requesting Data...3297122058</v>
        <stp/>
        <stp>BDP|8885961869603230210</stp>
        <tr r="AK32" s="338"/>
        <tr r="AK46" s="338"/>
        <tr r="AK50" s="338"/>
        <tr r="AK8" s="338"/>
      </tp>
      <tp t="s">
        <v>#N/A Requesting Data...3748300368</v>
        <stp/>
        <stp>BDP|5769981822101030995</stp>
        <tr r="T96" s="89"/>
      </tp>
      <tp t="s">
        <v>#N/A Requesting Data...2781253508</v>
        <stp/>
        <stp>BDP|8318036623599634512</stp>
        <tr r="D225" s="89"/>
      </tp>
      <tp t="s">
        <v>#N/A Requesting Data...3808087177</v>
        <stp/>
        <stp>BDP|3165250577650459020</stp>
        <tr r="AA34" s="89"/>
        <tr r="Z34" s="89"/>
      </tp>
      <tp t="s">
        <v>#N/A Requesting Data...684021807</v>
        <stp/>
        <stp>BDP|7214956164048318650</stp>
        <tr r="U34" s="338"/>
      </tp>
      <tp t="s">
        <v>#N/A N/A</v>
        <stp/>
        <stp>BDH|4175600970677708435</stp>
        <tr r="AS9" s="338"/>
      </tp>
      <tp t="s">
        <v>#N/A Real Time</v>
        <stp/>
        <stp>BDP|16774619056895954310|22</stp>
        <stp>MSFT US 10/03/25 P485 Equity</stp>
        <stp>ask</stp>
        <tr r="L249" s="89"/>
      </tp>
      <tp>
        <v>620.25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 t="s">
        <v>#N/A Invalid Security</v>
        <stp/>
        <stp>BDP|12518361032303003354|22</stp>
        <stp>KLAC US 01/23/26 C1600 Equity</stp>
        <stp>bid</stp>
        <tr r="K26" s="89"/>
      </tp>
      <tp>
        <v>-0.13909526169300079</v>
        <stp/>
        <stp>BDP|8795046347241444117|22</stp>
        <stp>AVGO US 06/18/26 C350 Equity</stp>
        <stp>theta_mid_rt</stp>
        <tr r="AN6" s="2"/>
      </tp>
      <tp t="s">
        <v>USD</v>
        <stp/>
        <stp>BDP|15745457023546852571|22</stp>
        <stp>NFLX US 03/20/26 P83 Equity</stp>
        <stp>QUOTED_CURRENCY_REALTIME</stp>
        <tr r="G25" s="2"/>
      </tp>
      <tp t="s">
        <v>#N/A Requesting Data...3756872300</v>
        <stp/>
        <stp>BDP|4283425441594897730</stp>
        <tr r="AA170" s="89"/>
        <tr r="AA179" s="89"/>
        <tr r="Z170" s="89"/>
        <tr r="Z179" s="89"/>
      </tp>
      <tp t="s">
        <v>#N/A Requesting Data...2989669619</v>
        <stp/>
        <stp>BDP|4245799967772009077</stp>
        <tr r="D37" s="446"/>
      </tp>
      <tp t="s">
        <v>#N/A Requesting Data...2823346677</v>
        <stp/>
        <stp>BDP|8970836561946482743</stp>
        <tr r="T252" s="89"/>
      </tp>
      <tp t="s">
        <v>#N/A Requesting Data...2479140025</v>
        <stp/>
        <stp>BDP|2863781781368349292</stp>
        <tr r="AJ16" s="338"/>
        <tr r="AJ38" s="338"/>
        <tr r="AJ40" s="338"/>
      </tp>
      <tp t="s">
        <v>#N/A N/A</v>
        <stp/>
        <stp>BDH|6603587813623240646</stp>
        <tr r="AP45" s="338"/>
        <tr r="AU33" s="338"/>
        <tr r="AU31" s="338"/>
        <tr r="AP46" s="338"/>
        <tr r="AP49" s="338"/>
        <tr r="AU51" s="338"/>
        <tr r="AU41" s="338"/>
        <tr r="AU47" s="338"/>
      </tp>
      <tp t="s">
        <v>#N/A Requesting Data...1198793663</v>
        <stp/>
        <stp>BDP|9413232260152715883</stp>
        <tr r="D33" s="2"/>
        <tr r="C197" s="89"/>
      </tp>
      <tp t="s">
        <v>#N/A Requesting Data...925873843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Data...1626733593</v>
        <stp/>
        <stp>BDP|4897361001360642018</stp>
        <tr r="T48" s="338"/>
      </tp>
      <tp t="s">
        <v>#N/A N/A</v>
        <stp/>
        <stp>BDP|6577894425722203925</stp>
        <tr r="AI35" s="1"/>
      </tp>
      <tp t="s">
        <v>#N/A Requesting Data...2212824737</v>
        <stp/>
        <stp>BDP|5289094940154690244</stp>
        <tr r="S14" s="338"/>
      </tp>
      <tp t="s">
        <v>#N/A Requesting Data...3815269817</v>
        <stp/>
        <stp>BDP|1707015801081904771</stp>
        <tr r="S11" s="338"/>
      </tp>
      <tp t="s">
        <v>#N/A N/A</v>
        <stp/>
        <stp>BDP|5947737455944304421</stp>
        <tr r="AB35" s="1"/>
      </tp>
      <tp t="s">
        <v>#N/A Requesting Data...1398254529</v>
        <stp/>
        <stp>BDP|1510584037002581204</stp>
        <tr r="T115" s="89"/>
      </tp>
      <tp t="s">
        <v>#N/A Requesting Data...622360112</v>
        <stp/>
        <stp>BDP|2412545287880145891</stp>
        <tr r="AA249" s="89"/>
        <tr r="Z249" s="89"/>
      </tp>
      <tp t="s">
        <v>#N/A Requesting Data...1513469884</v>
        <stp/>
        <stp>BDP|6917157052941035414</stp>
        <tr r="AK54" s="338"/>
      </tp>
      <tp t="s">
        <v>#N/A Requesting Data...637496336</v>
        <stp/>
        <stp>BDP|7903719114714371204</stp>
        <tr r="AA7" s="2"/>
        <tr r="T203" s="89"/>
        <tr r="T211" s="89"/>
      </tp>
      <tp t="s">
        <v>#N/A Requesting Data...2096023185</v>
        <stp/>
        <stp>BDP|1092378379464484650</stp>
        <tr r="G9" s="446"/>
      </tp>
      <tp t="s">
        <v>#N/A Requesting Data...3601275186</v>
        <stp/>
        <stp>BDP|5346594685016575959</stp>
        <tr r="AI18" s="338"/>
        <tr r="AK18" s="338"/>
      </tp>
      <tp t="s">
        <v>#N/A Requesting Data...3769362396</v>
        <stp/>
        <stp>BDP|5675170649634239369</stp>
        <tr r="E109" s="89"/>
      </tp>
      <tp t="s">
        <v>#N/A Requesting Data...3103785109</v>
        <stp/>
        <stp>BDP|6652393212940572345</stp>
        <tr r="AA195" s="89"/>
        <tr r="Z195" s="89"/>
      </tp>
      <tp t="s">
        <v>#N/A Requesting Data...3964773676</v>
        <stp/>
        <stp>BDP|7675645627431897518</stp>
        <tr r="C26" s="2"/>
        <tr r="C28" s="2"/>
      </tp>
      <tp t="s">
        <v>#N/A N/A</v>
        <stp/>
        <stp>BDH|3170066190005890837</stp>
        <tr r="AP42" s="338"/>
        <tr r="AP41" s="338"/>
      </tp>
      <tp t="s">
        <v>#N/A Requesting Data...1752209160</v>
        <stp/>
        <stp>BDP|3706549500372914371</stp>
        <tr r="E136" s="89"/>
      </tp>
      <tp t="s">
        <v>#N/A N/A</v>
        <stp/>
        <stp>BDP|5312075309057886586</stp>
        <tr r="AI40" s="1"/>
      </tp>
      <tp t="s">
        <v>#N/A Requesting Data...4024308347</v>
        <stp/>
        <stp>BDP|7107626834487292286</stp>
        <tr r="L11" s="252"/>
        <tr r="L11" s="252"/>
      </tp>
      <tp t="s">
        <v>#N/A Requesting Data...3593183240</v>
        <stp/>
        <stp>BDP|8336092558638833275</stp>
        <tr r="M18" s="252"/>
      </tp>
      <tp t="s">
        <v>#N/A Requesting Data...1893750211</v>
        <stp/>
        <stp>BDP|9915235999563683689</stp>
        <tr r="E62" s="89"/>
      </tp>
      <tp t="s">
        <v>#N/A Requesting Data...1988014235</v>
        <stp/>
        <stp>BDP|2787535871500884705</stp>
        <tr r="S35" s="338"/>
      </tp>
      <tp t="s">
        <v>#N/A N/A</v>
        <stp/>
        <stp>BDP|3340874033607802822</stp>
        <tr r="AB20" s="1"/>
      </tp>
      <tp t="s">
        <v>#N/A N/A</v>
        <stp/>
        <stp>BDP|7341491708322758684</stp>
        <tr r="AB144" s="89"/>
        <tr r="AB145" s="89"/>
      </tp>
      <tp t="s">
        <v>#N/A Requesting Data...3229461625</v>
        <stp/>
        <stp>BDP|1288906989993060491</stp>
        <tr r="X49" s="338"/>
      </tp>
      <tp t="s">
        <v>#N/A Requesting Data...3599309561</v>
        <stp/>
        <stp>BDP|1838788847701622427</stp>
        <tr r="AA27" s="89"/>
        <tr r="Z27" s="89"/>
      </tp>
      <tp t="s">
        <v>#N/A Requesting Data...3856456448</v>
        <stp/>
        <stp>BDP|6679731277588437958</stp>
        <tr r="E178" s="89"/>
      </tp>
      <tp t="s">
        <v>#N/A Requesting Data...1394594529</v>
        <stp/>
        <stp>BDP|8185611637538225266</stp>
        <tr r="C14" s="2"/>
      </tp>
      <tp t="s">
        <v>#N/A Requesting Data...4045146602</v>
        <stp/>
        <stp>BDP|5938177747656903132</stp>
        <tr r="S55" s="338"/>
      </tp>
      <tp t="s">
        <v>#N/A Requesting Data...3432250849</v>
        <stp/>
        <stp>BDP|4769909760714788835</stp>
        <tr r="AR7" s="2"/>
      </tp>
      <tp t="s">
        <v>#N/A Requesting Data...2251643363</v>
        <stp/>
        <stp>BDP|1855721819082945297</stp>
        <tr r="P52" s="338"/>
      </tp>
      <tp t="s">
        <v>#N/A N/A</v>
        <stp/>
        <stp>BDP|4113119510895822689</stp>
        <tr r="Q37" s="338"/>
      </tp>
      <tp t="s">
        <v>#N/A Requesting Data...1565823446</v>
        <stp/>
        <stp>BDP|7226011316269547804</stp>
        <tr r="AA101" s="89"/>
        <tr r="Z101" s="89"/>
      </tp>
      <tp t="s">
        <v>#N/A Requesting Data...3739243113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N/A</v>
        <stp/>
        <stp>BDP|8413968245860015274</stp>
        <tr r="Q35" s="338"/>
      </tp>
      <tp t="s">
        <v>#N/A Requesting Data...4094981855</v>
        <stp/>
        <stp>BDP|6362624963838148922</stp>
        <tr r="AF25" s="1"/>
        <tr r="AF8" s="338"/>
        <tr r="AF9" s="338"/>
      </tp>
      <tp t="s">
        <v>#N/A Requesting Data...3648723587</v>
        <stp/>
        <stp>BDP|2391396308225151328</stp>
        <tr r="E234" s="89"/>
      </tp>
      <tp t="s">
        <v>#N/A Requesting Data...615319421</v>
        <stp/>
        <stp>BDP|2907663611126652497</stp>
        <tr r="D136" s="89"/>
      </tp>
      <tp t="s">
        <v>#N/A Requesting Data...2359132587</v>
        <stp/>
        <stp>BDP|7909641621027922343</stp>
        <tr r="O50" s="89"/>
      </tp>
      <tp t="s">
        <v>#N/A Requesting Data...2646079239</v>
        <stp/>
        <stp>BDP|5447413907492272417</stp>
        <tr r="AG48" s="338"/>
        <tr r="AG49" s="338"/>
      </tp>
      <tp t="s">
        <v>#N/A Requesting Data...2279968863</v>
        <stp/>
        <stp>BDP|6947845048025524815</stp>
        <tr r="D62" s="89"/>
      </tp>
      <tp t="s">
        <v>#N/A N/A</v>
        <stp/>
        <stp>BDH|6144323753536670174</stp>
        <tr r="AP48" s="338"/>
        <tr r="AU53" s="338"/>
        <tr r="AP47" s="338"/>
        <tr r="AU10" s="338"/>
        <tr r="AP44" s="338"/>
      </tp>
      <tp t="s">
        <v>#N/A Requesting Data...3222922345</v>
        <stp/>
        <stp>BDP|2614909402095251903</stp>
        <tr r="L12" s="252"/>
        <tr r="L12" s="252"/>
      </tp>
      <tp t="s">
        <v>#N/A N/A</v>
        <stp/>
        <stp>BDP|4321791803795608194</stp>
        <tr r="AB178" s="89"/>
      </tp>
      <tp t="s">
        <v>#N/A Requesting Data...981668433</v>
        <stp/>
        <stp>BDP|5476793879341768354</stp>
        <tr r="AK30" s="338"/>
      </tp>
      <tp t="s">
        <v>#N/A Requesting Data...907325029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Data...2425806376</v>
        <stp/>
        <stp>BDP|9356568301399407276</stp>
        <tr r="L29" s="338"/>
        <tr r="J29" s="338"/>
      </tp>
      <tp t="s">
        <v>#N/A Requesting Data...3236895773</v>
        <stp/>
        <stp>BDP|7057279456164256342</stp>
        <tr r="S32" s="338"/>
      </tp>
      <tp t="s">
        <v>#N/A Requesting Data...3922739357</v>
        <stp/>
        <stp>BDP|7250845338122873916</stp>
        <tr r="D17" s="2"/>
      </tp>
      <tp t="s">
        <v>#N/A Requesting Data...2324255570</v>
        <stp/>
        <stp>BDP|5679496740627876502</stp>
        <tr r="N20" s="252"/>
        <tr r="N20" s="252"/>
      </tp>
      <tp t="s">
        <v>#N/A Requesting Data...792788212</v>
        <stp/>
        <stp>BDP|7775425857631476016</stp>
        <tr r="X53" s="338"/>
      </tp>
      <tp t="s">
        <v>#N/A Requesting Data...3626358631</v>
        <stp/>
        <stp>BDP|6730519311327945299</stp>
        <tr r="AK11" s="338"/>
      </tp>
      <tp t="s">
        <v>#N/A Requesting Data...795300116</v>
        <stp/>
        <stp>BDP|7034052966182144450</stp>
        <tr r="G7" s="446"/>
      </tp>
      <tp t="s">
        <v>#N/A Requesting Data...2281398736</v>
        <stp/>
        <stp>BDP|5264049846531072744</stp>
        <tr r="AA95" s="89"/>
        <tr r="Z95" s="89"/>
      </tp>
      <tp t="s">
        <v>#N/A Requesting Data...682204881</v>
        <stp/>
        <stp>BDP|7817792651205133748</stp>
        <tr r="U30" s="338"/>
      </tp>
      <tp t="s">
        <v>#N/A Requesting Data...4003439746</v>
        <stp/>
        <stp>BDP|1636158366620394139</stp>
        <tr r="V160" s="89"/>
      </tp>
      <tp t="s">
        <v>#N/A Requesting Data...1944893526</v>
        <stp/>
        <stp>BDP|7130911573469165773</stp>
        <tr r="AD6" s="2"/>
        <tr r="V223" s="89"/>
      </tp>
      <tp>
        <v>10.9</v>
        <stp/>
        <stp>BDP|10774823622952007575|22</stp>
        <stp>AMAT US 02/06/26 C340 Equity</stp>
        <stp>ask</stp>
        <tr r="L3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239.12</v>
        <stp/>
        <stp>BDP|4344863504285541564|22</stp>
        <stp>AMZN Equity</stp>
        <stp>LAST_PRICE</stp>
        <tr r="I23" s="1"/>
      </tp>
      <tp t="s">
        <v>#N/A Requesting Data...1588965693</v>
        <stp/>
        <stp>BDP|7888925895296536105</stp>
        <tr r="D195" s="89"/>
      </tp>
      <tp t="s">
        <v>#N/A Requesting Data...4110125709</v>
        <stp/>
        <stp>BDP|9478381283761550308</stp>
        <tr r="AD26" s="2"/>
        <tr r="AD28" s="2"/>
        <tr r="V13" s="89"/>
      </tp>
      <tp t="s">
        <v>#N/A Requesting Data...996631825</v>
        <stp/>
        <stp>BDP|3454753217493992655</stp>
        <tr r="AB34" s="1"/>
        <tr r="F36" s="446"/>
      </tp>
      <tp t="s">
        <v>#N/A N/A</v>
        <stp/>
        <stp>BDP|8148908707662517398</stp>
        <tr r="AG24" s="1"/>
      </tp>
      <tp t="s">
        <v>#N/A Requesting Data...4036798855</v>
        <stp/>
        <stp>BDP|1189172247476298290</stp>
        <tr r="O7" s="252"/>
      </tp>
      <tp t="s">
        <v>#N/A Requesting Data...1388783668</v>
        <stp/>
        <stp>BDP|6955622269271151797</stp>
        <tr r="T4" s="2"/>
      </tp>
      <tp t="e">
        <v>#N/A</v>
        <stp/>
        <stp>BDH|6300508665442857747</stp>
        <tr r="J20" s="252"/>
      </tp>
      <tp t="s">
        <v>#N/A Requesting Data...989788484</v>
        <stp/>
        <stp>BDP|7581312139944399354</stp>
        <tr r="V251" s="89"/>
      </tp>
      <tp t="s">
        <v>#N/A Requesting Data...891553272</v>
        <stp/>
        <stp>BDP|2073373381748750195</stp>
        <tr r="F25" s="446"/>
      </tp>
      <tp t="s">
        <v>#N/A Requesting Data...3220888502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Data...4083793031</v>
        <stp/>
        <stp>BDP|2827341875365968396</stp>
        <tr r="O33" s="89"/>
      </tp>
      <tp t="s">
        <v>#N/A Requesting Data...2932983750</v>
        <stp/>
        <stp>BDP|5045073666933003089</stp>
        <tr r="V9" s="338"/>
      </tp>
      <tp t="s">
        <v>#N/A Requesting Data...3206570886</v>
        <stp/>
        <stp>BDP|7131418634293998332</stp>
        <tr r="T17" s="2"/>
      </tp>
      <tp t="s">
        <v>#N/A Requesting Data...3764763651</v>
        <stp/>
        <stp>BDP|4874875695403262667</stp>
        <tr r="O169" s="89"/>
      </tp>
      <tp t="s">
        <v>#N/A N/A</v>
        <stp/>
        <stp>BDP|3833608477975887782</stp>
        <tr r="AC11" s="2"/>
      </tp>
      <tp t="s">
        <v>#N/A Requesting Data...622516084</v>
        <stp/>
        <stp>BDP|3872713712930116557</stp>
        <tr r="V186" s="89"/>
      </tp>
      <tp t="s">
        <v>#N/A Requesting Data...961262028</v>
        <stp/>
        <stp>BDP|5526635939431875188</stp>
        <tr r="AI29" s="338"/>
      </tp>
      <tp t="s">
        <v>#N/A N/A</v>
        <stp/>
        <stp>BDP|6205570538009285907</stp>
        <tr r="K29" s="1"/>
      </tp>
      <tp t="s">
        <v>#N/A Requesting Data...3662441055</v>
        <stp/>
        <stp>BDP|5959149956824211564</stp>
        <tr r="G38" s="446"/>
      </tp>
      <tp t="s">
        <v>#N/A Requesting Data...1989229490</v>
        <stp/>
        <stp>BDP|5381969730908949709</stp>
        <tr r="AD4" s="2"/>
      </tp>
      <tp t="s">
        <v>#N/A Requesting Data...1610846745</v>
        <stp/>
        <stp>BDP|8739029094357904654</stp>
        <tr r="O20" s="89"/>
      </tp>
      <tp t="s">
        <v>#N/A Requesting Data...3743398841</v>
        <stp/>
        <stp>BDP|2398050075806951371</stp>
        <tr r="E7" s="89"/>
      </tp>
      <tp t="s">
        <v>#N/A Requesting Data...2916326969</v>
        <stp/>
        <stp>BDP|3572723856414756549</stp>
        <tr r="D5" s="2"/>
        <tr r="C222" s="89"/>
      </tp>
      <tp t="s">
        <v>#N/A Requesting Data...2349944556</v>
        <stp/>
        <stp>BDP|1905590006853613726</stp>
        <tr r="E169" s="89"/>
      </tp>
      <tp t="s">
        <v>#N/A Requesting Data...3565203195</v>
        <stp/>
        <stp>BDP|6445880414707894829</stp>
        <tr r="AA33" s="89"/>
        <tr r="Z33" s="89"/>
      </tp>
      <tp t="s">
        <v>#N/A Requesting Data...1379492137</v>
        <stp/>
        <stp>BDP|8781859390611325836</stp>
        <tr r="X12" s="338"/>
      </tp>
      <tp t="s">
        <v>#N/A Requesting Data...1467056109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Q6" s="2"/>
        <tr r="AB222" s="89"/>
        <tr r="AB223" s="89"/>
        <tr r="AB224" s="89"/>
        <tr r="AB225" s="89"/>
        <tr r="AB254" s="89"/>
      </tp>
      <tp t="s">
        <v>#N/A N/A</v>
        <stp/>
        <stp>BDP|2925650370332906175</stp>
        <tr r="AI30" s="1"/>
      </tp>
      <tp t="s">
        <v>#N/A Requesting Data...632797706</v>
        <stp/>
        <stp>BDP|2133575701433292462</stp>
        <tr r="C23" s="2"/>
      </tp>
      <tp t="s">
        <v>#N/A Requesting Data...2040197579</v>
        <stp/>
        <stp>BDP|4248326180166334909</stp>
        <tr r="AA7" s="89"/>
        <tr r="Z7" s="89"/>
      </tp>
      <tp t="s">
        <v>#N/A Requesting Data...2731742306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Data...4216108073</v>
        <stp/>
        <stp>BDP|4552037620785435316</stp>
        <tr r="P33" s="338"/>
      </tp>
      <tp t="s">
        <v>#N/A N/A</v>
        <stp/>
        <stp>BDP|8177301223040694940</stp>
        <tr r="AB21" s="1"/>
      </tp>
      <tp t="s">
        <v>#N/A Requesting Data...2123941024</v>
        <stp/>
        <stp>BDP|1912350260220949454</stp>
        <tr r="AJ29" s="338"/>
        <tr r="AJ30" s="338"/>
      </tp>
      <tp t="s">
        <v>#N/A Requesting Data...2058224848</v>
        <stp/>
        <stp>BDP|5137251643354744701</stp>
        <tr r="L36" s="338"/>
        <tr r="H36" s="338"/>
      </tp>
      <tp t="s">
        <v>#N/A Requesting Data...1208005810</v>
        <stp/>
        <stp>BDP|6283111272633911397</stp>
        <tr r="AJ14" s="338"/>
        <tr r="AJ35" s="338"/>
      </tp>
      <tp t="s">
        <v>#N/A Requesting Data...2338630514</v>
        <stp/>
        <stp>BDP|7112967104169217777</stp>
        <tr r="P30" s="338"/>
      </tp>
      <tp t="s">
        <v>#N/A Requesting Data...3521701153</v>
        <stp/>
        <stp>BDP|5682063267492381124</stp>
        <tr r="S12" s="338"/>
      </tp>
      <tp t="s">
        <v>#N/A Requesting Data...1100952033</v>
        <stp/>
        <stp>BDP|1018734111515407205</stp>
        <tr r="F18" s="252"/>
      </tp>
      <tp t="s">
        <v>#N/A Requesting Data...1993855289</v>
        <stp/>
        <stp>BDP|4028930726656593970</stp>
        <tr r="AJ16" s="338"/>
        <tr r="AJ38" s="338"/>
        <tr r="AJ40" s="338"/>
      </tp>
      <tp t="s">
        <v>#N/A Requesting Data...3217529083</v>
        <stp/>
        <stp>BDP|9163195119900175972</stp>
        <tr r="C188" s="89"/>
      </tp>
      <tp t="s">
        <v>#N/A Requesting Data...2010769682</v>
        <stp/>
        <stp>BDP|2540033372355370000</stp>
        <tr r="D153" s="89"/>
        <tr r="D154" s="89"/>
      </tp>
      <tp t="s">
        <v>#N/A Requesting Data...1370123207</v>
        <stp/>
        <stp>BDP|1494500509740882420</stp>
        <tr r="D96" s="89"/>
      </tp>
      <tp t="s">
        <v>#N/A Requesting Data...4123002633</v>
        <stp/>
        <stp>BDP|8313925844516597346</stp>
        <tr r="AA40" s="89"/>
        <tr r="Z40" s="89"/>
      </tp>
      <tp t="s">
        <v>#N/A Requesting Data...974966177</v>
        <stp/>
        <stp>BDP|3485044105441809296</stp>
        <tr r="L12" s="338"/>
        <tr r="J12" s="338"/>
      </tp>
      <tp t="s">
        <v>#N/A Requesting Data...3589805186</v>
        <stp/>
        <stp>BDP|7774064174301905182</stp>
        <tr r="T49" s="89"/>
      </tp>
      <tp t="s">
        <v>#N/A Requesting Data...2162804673</v>
        <stp/>
        <stp>BDP|6637641837380428351</stp>
        <tr r="D89" s="89"/>
      </tp>
      <tp t="s">
        <v>#N/A Requesting Data...3257942429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42" s="89"/>
      </tp>
      <tp>
        <v>43.35</v>
        <stp/>
        <stp>BDP|14709653448625040347|22</stp>
        <stp>TSM US 07/17/26 C340 Equity</stp>
        <stp>ask</stp>
        <tr r="L19" s="89"/>
      </tp>
      <tp>
        <v>-7.5773768126964569E-2</v>
        <stp/>
        <stp>BDP|9340851764495106938|22</stp>
        <stp>AMAT US 01/23/26 P280 Equity</stp>
        <stp>theta_mid_rt</stp>
        <tr r="AN22" s="2"/>
      </tp>
      <tp>
        <v>22.43</v>
        <stp/>
        <stp>BDP|13708122924811862625|22</stp>
        <stp>TSM US 06/18/26 C380 Equity</stp>
        <stp>mid</stp>
        <tr r="L27" s="2"/>
        <tr r="L29" s="2"/>
      </tp>
      <tp>
        <v>199.05</v>
        <stp/>
        <stp>BDP|17027429052585223577|22</stp>
        <stp>RSP EQUITY</stp>
        <stp>LAST_PRICE</stp>
        <tr r="I5" s="1"/>
      </tp>
      <tp>
        <v>362.75</v>
        <stp/>
        <stp>BDP|11598227388227238953|22</stp>
        <stp>MU US Equity</stp>
        <stp>LAST_PRICE</stp>
        <tr r="S81" s="89"/>
      </tp>
      <tp>
        <v>68.98</v>
        <stp/>
        <stp>BDP|18172808545737565366|22</stp>
        <stp>MP US Equity</stp>
        <stp>LAST_PRICE</stp>
        <tr r="S243" s="89"/>
        <tr r="S242" s="89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Data...703001370</v>
        <stp/>
        <stp>BDP|5033376349836196559</stp>
        <tr r="X29" s="338"/>
      </tp>
      <tp t="s">
        <v>#N/A Requesting Data...2469379243</v>
        <stp/>
        <stp>BDP|3672774059107516773</stp>
        <tr r="AR24" s="2"/>
      </tp>
      <tp t="s">
        <v>#N/A Requesting Data...3433132964</v>
        <stp/>
        <stp>BDP|5906347697766862884</stp>
        <tr r="C20" s="2"/>
      </tp>
      <tp t="s">
        <v>#N/A Requesting Data...3647757846</v>
        <stp/>
        <stp>BDP|3552512649496298558</stp>
        <tr r="M14" s="252"/>
      </tp>
      <tp t="s">
        <v>#N/A Requesting Data...1375536924</v>
        <stp/>
        <stp>BDP|6512582705651116331</stp>
        <tr r="D16" s="2"/>
      </tp>
      <tp t="s">
        <v>#N/A Requesting Data...4195370615</v>
        <stp/>
        <stp>BDP|8548403483194970146</stp>
        <tr r="AD21" s="2"/>
        <tr r="V55" s="89"/>
      </tp>
      <tp t="s">
        <v>#N/A Requesting Data...3983058542</v>
        <stp/>
        <stp>BDP|3758548566115413498</stp>
        <tr r="F13" s="2"/>
      </tp>
      <tp t="s">
        <v>#N/A Requesting Data...3371025416</v>
        <stp/>
        <stp>BDP|8533714604917039989</stp>
        <tr r="F23" s="2"/>
      </tp>
      <tp t="s">
        <v>#N/A N/A</v>
        <stp/>
        <stp>BDP|5889104764011396273</stp>
        <tr r="AI33" s="1"/>
      </tp>
      <tp t="s">
        <v>#N/A N/A</v>
        <stp/>
        <stp>BDH|9048139856645954945</stp>
        <tr r="AM14" s="338"/>
        <tr r="AM35" s="338"/>
      </tp>
      <tp t="s">
        <v>#N/A Requesting Data...3509915462</v>
        <stp/>
        <stp>BDP|5256432133392845134</stp>
        <tr r="C101" s="89"/>
      </tp>
      <tp t="s">
        <v>#N/A Requesting Data...1063389978</v>
        <stp/>
        <stp>BDP|7551465529835272566</stp>
        <tr r="N9" s="252"/>
        <tr r="N9" s="252"/>
      </tp>
      <tp t="s">
        <v>#N/A Requesting Data...3287132241</v>
        <stp/>
        <stp>BDP|1897815793981176051</stp>
        <tr r="AR17" s="2"/>
      </tp>
      <tp t="s">
        <v>#N/A Requesting Data...3596785326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Data...3144396151</v>
        <stp/>
        <stp>BDP|7601159166158268985</stp>
        <tr r="S16" s="252"/>
      </tp>
      <tp t="s">
        <v>#N/A Requesting Data...1864675125</v>
        <stp/>
        <stp>BDP|3235511292777879969</stp>
        <tr r="X11" s="338"/>
      </tp>
      <tp t="s">
        <v>#N/A Requesting Data...769233802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Data...3485083106</v>
        <stp/>
        <stp>BDP|1748256233439783899</stp>
        <tr r="T15" s="338"/>
        <tr r="T39" s="338"/>
      </tp>
      <tp t="s">
        <v>#N/A Requesting Data...3378816533</v>
        <stp/>
        <stp>BDP|7660636101386198693</stp>
        <tr r="P15" s="338"/>
        <tr r="P39" s="338"/>
      </tp>
      <tp t="s">
        <v>#N/A Requesting Data...3752780379</v>
        <stp/>
        <stp>BDP|2272232279947205164</stp>
        <tr r="C254" s="89"/>
      </tp>
      <tp t="s">
        <v>#N/A Requesting Data...2031374883</v>
        <stp/>
        <stp>BDP|8463094131499939398</stp>
        <tr r="X18" s="338"/>
      </tp>
      <tp t="s">
        <v>#N/A Requesting Data...3664546785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Data...3823909285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Data...2938865094</v>
        <stp/>
        <stp>BDP|6241899226908646569</stp>
        <tr r="D42" s="446"/>
      </tp>
      <tp t="s">
        <v>#N/A Requesting Data...1129811973</v>
        <stp/>
        <stp>BDP|2974198673022627786</stp>
        <tr r="AK48" s="338"/>
        <tr r="AK49" s="338"/>
      </tp>
      <tp t="s">
        <v>#N/A Requesting Data...3139958042</v>
        <stp/>
        <stp>BDP|5183368778820171035</stp>
        <tr r="F45" s="446"/>
      </tp>
      <tp t="s">
        <v>#N/A Requesting Data...4191066603</v>
        <stp/>
        <stp>BDP|5678783394829319341</stp>
        <tr r="F27" s="2"/>
        <tr r="F29" s="2"/>
      </tp>
      <tp t="s">
        <v>#N/A Requesting Data...2155974203</v>
        <stp/>
        <stp>BDP|9867815445690675470</stp>
        <tr r="E18" s="2"/>
      </tp>
      <tp t="s">
        <v>#N/A N/A</v>
        <stp/>
        <stp>BDP|5223714776062803600</stp>
        <tr r="AC13" s="1"/>
      </tp>
      <tp t="s">
        <v>#N/A Requesting Data...1299088040</v>
        <stp/>
        <stp>BDP|3451935198061445399</stp>
        <tr r="E20" s="2"/>
      </tp>
      <tp t="s">
        <v>#N/A Requesting Data...3125538083</v>
        <stp/>
        <stp>BDP|7603021556517835487</stp>
        <tr r="AH52" s="338"/>
        <tr r="AH53" s="338"/>
        <tr r="AH54" s="338"/>
      </tp>
      <tp t="s">
        <v>#N/A Requesting Data...1307498274</v>
        <stp/>
        <stp>BDP|4388333855843269056</stp>
        <tr r="P10" s="252"/>
      </tp>
      <tp t="s">
        <v>#N/A Requesting Data...3955030269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Data...1010531952</v>
        <stp/>
        <stp>BDP|2790133807587110508</stp>
        <tr r="O10" s="252"/>
      </tp>
      <tp t="s">
        <v>#N/A Requesting Data...3631391248</v>
        <stp/>
        <stp>BDP|7513670475916134150</stp>
        <tr r="AG18" s="338"/>
      </tp>
      <tp t="s">
        <v>#N/A N/A</v>
        <stp/>
        <stp>BDP|5135037260523416154</stp>
        <tr r="AC21" s="2"/>
        <tr r="AC22" s="2"/>
      </tp>
      <tp t="s">
        <v>#N/A N/A</v>
        <stp/>
        <stp>BDP|9633924773914414208</stp>
        <tr r="AC4" s="2"/>
      </tp>
      <tp t="s">
        <v>#N/A N/A</v>
        <stp/>
        <stp>BDH|1113028710339124818</stp>
        <tr r="AU9" s="338"/>
      </tp>
      <tp t="s">
        <v>#N/A Requesting Data...1680407881</v>
        <stp/>
        <stp>BDP|9843491038236897916</stp>
        <tr r="C20" s="89"/>
      </tp>
      <tp t="s">
        <v>#N/A N/A</v>
        <stp/>
        <stp>BDP|9739406253298596110</stp>
        <tr r="AI22" s="1"/>
      </tp>
      <tp t="s">
        <v>#N/A N/A</v>
        <stp/>
        <stp>BDP|1821230040030393694</stp>
        <tr r="AQ16" s="2"/>
        <tr r="AQ17" s="2"/>
        <tr r="AQ15" s="2"/>
      </tp>
      <tp t="s">
        <v>#N/A Requesting Data...1871489729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30" s="2"/>
        <tr r="AQ26" s="2"/>
        <tr r="AQ28" s="2"/>
        <tr r="AQ32" s="2"/>
        <tr r="AQ31" s="2"/>
        <tr r="AQ27" s="2"/>
        <tr r="AQ29" s="2"/>
        <tr r="AQ33" s="2"/>
        <tr r="AB13" s="89"/>
        <tr r="AB14" s="89"/>
        <tr r="AB19" s="89"/>
        <tr r="AB195" s="89"/>
        <tr r="AB196" s="89"/>
        <tr r="AB197" s="89"/>
        <tr r="AB20" s="89"/>
        <tr r="AB7" s="89"/>
        <tr r="AB8" s="89"/>
      </tp>
      <tp t="s">
        <v>#N/A Requesting Data...3586960302</v>
        <stp/>
        <stp>BDP|8707806237397902583</stp>
        <tr r="S11" s="252"/>
      </tp>
      <tp t="s">
        <v>#N/A Requesting Data...2619005493</v>
        <stp/>
        <stp>BDP|9939228331380883944</stp>
        <tr r="G11" s="446"/>
      </tp>
      <tp t="s">
        <v>#N/A Requesting Data...1178610552</v>
        <stp/>
        <stp>BDP|2267087599569280367</stp>
        <tr r="P34" s="338"/>
      </tp>
      <tp t="s">
        <v>#N/A Requesting Data...1953758707</v>
        <stp/>
        <stp>BDP|2620429521461757456</stp>
        <tr r="AK42" s="338"/>
      </tp>
      <tp t="s">
        <v>#N/A Requesting Data...1671784494</v>
        <stp/>
        <stp>BDP|3955054348870254619</stp>
        <tr r="O27" s="89"/>
      </tp>
      <tp t="s">
        <v>#N/A Requesting Data...2882449143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Data...3816401629</v>
        <stp/>
        <stp>BDP|4452676106120108316</stp>
        <tr r="AA254" s="89"/>
        <tr r="Z254" s="89"/>
      </tp>
      <tp>
        <v>18.18</v>
        <stp/>
        <stp>BDP|11372581848729563069|22</stp>
        <stp>META US 04/17/26 C690 Equity</stp>
        <stp>mid</stp>
        <tr r="L12" s="2"/>
      </tp>
      <tp>
        <v>1.33</v>
        <stp/>
        <stp>BDP|18227171608903191816|22</stp>
        <stp>NFLX US 03/20/26 C104 Equity</stp>
        <stp>bid</stp>
        <tr r="P23" s="2"/>
      </tp>
      <tp>
        <v>22.15</v>
        <stp/>
        <stp>BDP|16757164580454265033|22</stp>
        <stp>MSFT US 03/20/26 P465 Equity</stp>
        <stp>mid</stp>
        <tr r="L20" s="2"/>
      </tp>
      <tp>
        <v>0.45</v>
        <stp/>
        <stp>BDP|10072792451967782103|22</stp>
        <stp>ASML US 01/23/26 P1200 Equity</stp>
        <stp>bid</stp>
        <tr r="K49" s="89"/>
      </tp>
      <tp t="s">
        <v>#N/A Requesting Data...2296296593</v>
        <stp/>
        <stp>BDP|5252092169507826608</stp>
        <tr r="T25" s="2"/>
      </tp>
      <tp t="s">
        <v>#N/A Requesting Data...2453648407</v>
        <stp/>
        <stp>BDP|3688604139137001352</stp>
        <tr r="T8" s="2"/>
        <tr r="O204" s="89"/>
        <tr r="O212" s="89"/>
      </tp>
      <tp t="s">
        <v>#N/A Requesting Data...1900721685</v>
        <stp/>
        <stp>BDP|7095772926996984633</stp>
        <tr r="T153" s="89"/>
        <tr r="T154" s="89"/>
      </tp>
      <tp t="s">
        <v>#N/A Requesting Data...4081670197</v>
        <stp/>
        <stp>BDP|6219652639352291374</stp>
        <tr r="D55" s="89"/>
      </tp>
      <tp t="s">
        <v>#N/A Requesting Data...3189118683</v>
        <stp/>
        <stp>BDP|7964758820092579227</stp>
        <tr r="AJ52" s="338"/>
        <tr r="AJ53" s="338"/>
        <tr r="AJ54" s="338"/>
      </tp>
      <tp t="s">
        <v>#N/A N/A</v>
        <stp/>
        <stp>BDH|2640031341324731087</stp>
        <tr r="AR18" s="338"/>
      </tp>
      <tp t="s">
        <v>#N/A N/A</v>
        <stp/>
        <stp>BDH|3285372770904726196</stp>
        <tr r="AN11" s="338"/>
        <tr r="AN33" s="338"/>
        <tr r="AN10" s="338"/>
      </tp>
      <tp t="s">
        <v>#N/A N/A</v>
        <stp/>
        <stp>BDP|6976223375119574839</stp>
        <tr r="K37" s="1"/>
      </tp>
      <tp t="s">
        <v>#N/A Requesting Data...1990232488</v>
        <stp/>
        <stp>BDP|9060205111721083990</stp>
        <tr r="AI48" s="338"/>
        <tr r="AI49" s="338"/>
        <tr r="AK48" s="338"/>
        <tr r="AK49" s="338"/>
      </tp>
      <tp t="s">
        <v>#N/A N/A</v>
        <stp/>
        <stp>BDP|4208106801586296195</stp>
        <tr r="Q50" s="338"/>
      </tp>
      <tp t="s">
        <v>#N/A Requesting Data...3411953620</v>
        <stp/>
        <stp>BDP|8644058243408809607</stp>
        <tr r="V49" s="338"/>
      </tp>
      <tp t="s">
        <v>#N/A Requesting Data...1246336496</v>
        <stp/>
        <stp>BDP|2721287269476965276</stp>
        <tr r="V35" s="338"/>
      </tp>
      <tp t="s">
        <v>#N/A Requesting Data...2869194740</v>
        <stp/>
        <stp>BDP|1927755561564288678</stp>
        <tr r="G45" s="446"/>
      </tp>
      <tp t="s">
        <v>#N/A Requesting Data...860586800</v>
        <stp/>
        <stp>BDP|7934725441220366616</stp>
        <tr r="D8" s="89"/>
      </tp>
      <tp t="s">
        <v>#N/A Requesting Data...2142314787</v>
        <stp/>
        <stp>BDP|3284843281913962260</stp>
        <tr r="C6" s="2"/>
      </tp>
      <tp t="s">
        <v>#N/A N/A</v>
        <stp/>
        <stp>BDH|2889609973326685756</stp>
        <tr r="AR29" s="338"/>
      </tp>
      <tp t="s">
        <v>#N/A Requesting Data...934039528</v>
        <stp/>
        <stp>BDP|5871188314703840456</stp>
        <tr r="L11" s="338"/>
        <tr r="J11" s="338"/>
      </tp>
      <tp t="s">
        <v>#N/A Requesting Data...2019632112</v>
        <stp/>
        <stp>BDP|5728718823292467081</stp>
        <tr r="N203" s="89"/>
        <tr r="N204" s="89"/>
        <tr r="N211" s="89"/>
        <tr r="N212" s="89"/>
        <tr r="S7" s="2"/>
        <tr r="S8" s="2"/>
        <tr r="L17" s="1"/>
        <tr r="L12" s="1"/>
        <tr r="L13" s="1"/>
        <tr r="L14" s="1"/>
        <tr r="L15" s="1"/>
        <tr r="L18" s="1"/>
        <tr r="L20" s="1"/>
        <tr r="L21" s="1"/>
        <tr r="L22" s="1"/>
        <tr r="L23" s="1"/>
        <tr r="L24" s="1"/>
        <tr r="L25" s="1"/>
        <tr r="L27" s="1"/>
        <tr r="L29" s="1"/>
        <tr r="L30" s="1"/>
        <tr r="L31" s="1"/>
        <tr r="L33" s="1"/>
        <tr r="L34" s="1"/>
        <tr r="L35" s="1"/>
        <tr r="L36" s="1"/>
        <tr r="L37" s="1"/>
        <tr r="L38" s="1"/>
        <tr r="L40" s="1"/>
        <tr r="L41" s="1"/>
        <tr r="L39" s="1"/>
        <tr r="L32" s="1"/>
        <tr r="L28" s="1"/>
        <tr r="L19" s="1"/>
        <tr r="L16" s="1"/>
        <tr r="S10" s="2"/>
        <tr r="S5" s="2"/>
        <tr r="S6" s="2"/>
        <tr r="S11" s="2"/>
        <tr r="S4" s="2"/>
        <tr r="S12" s="2"/>
        <tr r="S13" s="2"/>
        <tr r="S14" s="2"/>
        <tr r="S15" s="2"/>
        <tr r="S16" s="2"/>
        <tr r="S17" s="2"/>
        <tr r="S18" s="2"/>
        <tr r="S19" s="2"/>
        <tr r="S20" s="2"/>
        <tr r="S23" s="2"/>
        <tr r="S24" s="2"/>
        <tr r="S25" s="2"/>
        <tr r="S26" s="2"/>
        <tr r="S27" s="2"/>
        <tr r="S21" s="2"/>
        <tr r="S22" s="2"/>
        <tr r="S33" s="2"/>
        <tr r="S32" s="2"/>
        <tr r="S31" s="2"/>
        <tr r="S29" s="2"/>
        <tr r="S28" s="2"/>
        <tr r="S30" s="2"/>
        <tr r="S9" s="2"/>
        <tr r="N8" s="89"/>
        <tr r="N14" s="89"/>
        <tr r="N20" s="89"/>
        <tr r="N195" s="89"/>
        <tr r="N196" s="89"/>
        <tr r="N7" s="89"/>
        <tr r="N13" s="89"/>
        <tr r="N19" s="89"/>
        <tr r="N33" s="89"/>
        <tr r="N39" s="89"/>
        <tr r="N40" s="89"/>
        <tr r="N49" s="89"/>
        <tr r="N50" s="89"/>
        <tr r="N56" s="89"/>
        <tr r="N63" s="89"/>
        <tr r="N68" s="89"/>
        <tr r="N69" s="89"/>
        <tr r="N75" s="89"/>
        <tr r="N81" s="89"/>
        <tr r="N169" s="89"/>
        <tr r="N170" s="89"/>
        <tr r="N171" s="89"/>
        <tr r="N179" s="89"/>
        <tr r="N180" s="89"/>
        <tr r="N186" s="89"/>
        <tr r="N187" s="89"/>
        <tr r="N188" s="89"/>
        <tr r="N197" s="89"/>
        <tr r="N205" s="89"/>
        <tr r="N213" s="89"/>
        <tr r="N222" s="89"/>
        <tr r="N223" s="89"/>
        <tr r="N224" s="89"/>
        <tr r="N225" s="89"/>
        <tr r="N233" s="89"/>
        <tr r="N234" s="89"/>
        <tr r="N235" s="89"/>
        <tr r="N34" s="89"/>
        <tr r="N55" s="89"/>
        <tr r="N62" s="89"/>
        <tr r="N178" s="89"/>
        <tr r="N101" s="89"/>
        <tr r="N102" s="89"/>
        <tr r="N160" s="89"/>
        <tr r="N76" s="89"/>
        <tr r="N82" s="89"/>
        <tr r="N95" s="89"/>
      </tp>
      <tp t="s">
        <v>#N/A Requesting Data...4269125977</v>
        <stp/>
        <stp>BDP|5145625159843494775</stp>
        <tr r="P10" s="338"/>
      </tp>
      <tp t="s">
        <v>#N/A Requesting Data...3439770872</v>
        <stp/>
        <stp>BDP|3002324726133833329</stp>
        <tr r="AA76" s="89"/>
        <tr r="Z76" s="89"/>
      </tp>
      <tp t="s">
        <v>#N/A Requesting Data...3467016223</v>
        <stp/>
        <stp>BDP|9919677548080032985</stp>
        <tr r="G44" s="446"/>
      </tp>
      <tp t="s">
        <v>#N/A Requesting Data...2546020790</v>
        <stp/>
        <stp>BDP|6059442769123214510</stp>
        <tr r="O249" s="89"/>
      </tp>
      <tp t="s">
        <v>#N/A Requesting Data...3729122402</v>
        <stp/>
        <stp>BDP|3371693940045698635</stp>
        <tr r="V123" s="89"/>
      </tp>
      <tp t="s">
        <v>#N/A Requesting Data...3817885792</v>
        <stp/>
        <stp>BDP|8428913731466273690</stp>
        <tr r="L8" s="252"/>
        <tr r="L8" s="252"/>
      </tp>
      <tp t="s">
        <v>#N/A N/A</v>
        <stp/>
        <stp>BDH|6007703074451856535</stp>
        <tr r="AR49" s="338"/>
        <tr r="AR48" s="338"/>
      </tp>
      <tp t="s">
        <v>#N/A Requesting Data...2979030997</v>
        <stp/>
        <stp>BDP|6223131064210098392</stp>
        <tr r="V14" s="338"/>
      </tp>
      <tp t="s">
        <v>#N/A N/A</v>
        <stp/>
        <stp>BDP|1719336816579682885</stp>
        <tr r="K21" s="1"/>
      </tp>
      <tp t="s">
        <v>#N/A Requesting Data...3178446520</v>
        <stp/>
        <stp>BDP|3910223521378009966</stp>
        <tr r="N11" s="252"/>
        <tr r="N11" s="252"/>
      </tp>
      <tp t="s">
        <v>#N/A Requesting Data...2492661291</v>
        <stp/>
        <stp>BDP|5024341343609931931</stp>
        <tr r="AJ41" s="338"/>
        <tr r="AJ42" s="338"/>
      </tp>
      <tp t="s">
        <v>#N/A Requesting Data...1324368493</v>
        <stp/>
        <stp>BDP|2109542547769740886</stp>
        <tr r="AI29" s="338"/>
        <tr r="AK29" s="338"/>
      </tp>
      <tp t="s">
        <v>#N/A N/A</v>
        <stp/>
        <stp>BDH|3891665886096089955</stp>
        <tr r="AS49" s="338"/>
        <tr r="AS48" s="338"/>
      </tp>
      <tp t="s">
        <v>#N/A Requesting Data...2459421961</v>
        <stp/>
        <stp>BDP|3213171497998766175</stp>
        <tr r="E69" s="89"/>
      </tp>
      <tp t="s">
        <v>#N/A N/A</v>
        <stp/>
        <stp>BDP|6172070853435387447</stp>
        <tr r="AB31" s="1"/>
        <tr r="AB32" s="1"/>
      </tp>
      <tp t="s">
        <v>#N/A Requesting Data...750851049</v>
        <stp/>
        <stp>BDP|4636653477250550732</stp>
        <tr r="G31" s="446"/>
      </tp>
      <tp t="s">
        <v>#N/A N/A</v>
        <stp/>
        <stp>BDP|5714451203842663158</stp>
        <tr r="K8" s="1"/>
      </tp>
      <tp t="s">
        <v>#N/A Requesting Data...2892752923</v>
        <stp/>
        <stp>BDP|8497933515926378424</stp>
        <tr r="C21" s="2"/>
      </tp>
      <tp t="s">
        <v>#N/A N/A</v>
        <stp/>
        <stp>BDP|1766461430066331229</stp>
        <tr r="AC36" s="1"/>
      </tp>
      <tp t="s">
        <v>#N/A Requesting Data...2152112573</v>
        <stp/>
        <stp>BDP|4880433377190901556</stp>
        <tr r="E115" s="89"/>
      </tp>
      <tp t="s">
        <v>#N/A N/A</v>
        <stp/>
        <stp>BDP|9807525995856747186</stp>
        <tr r="R178" s="89"/>
      </tp>
      <tp t="s">
        <v>#N/A N/A</v>
        <stp/>
        <stp>BDP|4052136091287742957</stp>
        <tr r="Q36" s="338"/>
      </tp>
      <tp t="s">
        <v>#N/A N/A</v>
        <stp/>
        <stp>BDH|2617736505234569356</stp>
        <tr r="AS42" s="338"/>
      </tp>
      <tp t="s">
        <v>#N/A N/A</v>
        <stp/>
        <stp>BDH|2939726379768052821</stp>
        <tr r="AU52" s="338"/>
        <tr r="AU15" s="338"/>
        <tr r="AU44" s="338"/>
        <tr r="AU38" s="338"/>
        <tr r="AU16" s="338"/>
        <tr r="AU39" s="338"/>
        <tr r="AU17" s="338"/>
      </tp>
      <tp t="s">
        <v>#N/A Requesting Data...2165651024</v>
        <stp/>
        <stp>BDP|8126676646820115803</stp>
        <tr r="C32" s="2"/>
      </tp>
      <tp t="s">
        <v>#N/A Requesting Data...4154323509</v>
        <stp/>
        <stp>BDP|3519061147724655148</stp>
        <tr r="AJ31" s="338"/>
        <tr r="AJ32" s="338"/>
      </tp>
      <tp t="s">
        <v>#N/A Requesting Data...2479705263</v>
        <stp/>
        <stp>BDP|3213624428062740781</stp>
        <tr r="T34" s="89"/>
      </tp>
      <tp t="s">
        <v>#N/A Requesting Data...2150081259</v>
        <stp/>
        <stp>BDP|9125333988758543887</stp>
        <tr r="AJ17" s="338"/>
        <tr r="AJ18" s="338"/>
      </tp>
      <tp t="s">
        <v>#N/A Requesting Data...1052382387</v>
        <stp/>
        <stp>BDP|6725335069146326790</stp>
        <tr r="AR20" s="2"/>
      </tp>
      <tp t="s">
        <v>#N/A Requesting Data...2713611084</v>
        <stp/>
        <stp>BDP|7134890756011396990</stp>
        <tr r="L45" s="338"/>
        <tr r="J45" s="338"/>
      </tp>
      <tp t="s">
        <v>#N/A Requesting Data...3260990556</v>
        <stp/>
        <stp>BDP|2307633905712170406</stp>
        <tr r="P46" s="338"/>
      </tp>
      <tp t="s">
        <v>#N/A N/A</v>
        <stp/>
        <stp>BDP|1542611347946024766</stp>
        <tr r="AG38" s="1"/>
        <tr r="AG39" s="1"/>
      </tp>
      <tp t="s">
        <v>#N/A Real Time</v>
        <stp/>
        <stp>BDP|7002617886444187304|22</stp>
        <stp>RUWZ5 Index</stp>
        <stp>LAST_PRICE</stp>
        <tr r="S144" s="89"/>
        <tr r="S145" s="89"/>
      </tp>
      <tp>
        <v>48.75</v>
        <stp/>
        <stp>BDP|14184441232848248848|22</stp>
        <stp>TSM US 03/20/26 C300 Equity</stp>
        <stp>bid</stp>
        <tr r="P30" s="2"/>
        <tr r="K7" s="89"/>
      </tp>
      <tp t="s">
        <v>USD</v>
        <stp/>
        <stp>BDP|13391010946162052310|22</stp>
        <stp>META US 04/17/26 P600 Equity</stp>
        <stp>QUOTED_CURRENCY_REALTIME</stp>
        <tr r="G13" s="2"/>
        <tr r="F180" s="89"/>
      </tp>
      <tp t="s">
        <v>#N/A Requesting Data...1042001568</v>
        <stp/>
        <stp>BDP|2288489672854050620</stp>
        <tr r="E12" s="2"/>
      </tp>
      <tp t="s">
        <v>#N/A N/A</v>
        <stp/>
        <stp>BDP|4669365388388290407</stp>
        <tr r="K18" s="1"/>
        <tr r="K5" s="1"/>
      </tp>
      <tp t="s">
        <v>#N/A Requesting Data...2626877470</v>
        <stp/>
        <stp>BDP|3552553571881858339</stp>
        <tr r="Z62" s="89"/>
        <tr r="AA62" s="89"/>
      </tp>
      <tp t="s">
        <v>#N/A Requesting Data...4165613964</v>
        <stp/>
        <stp>BDP|1294995983457020437</stp>
        <tr r="E222" s="89"/>
      </tp>
      <tp t="s">
        <v>#N/A Requesting Data...3520402139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13" s="1"/>
      </tp>
      <tp t="s">
        <v>#N/A Requesting Data...1536787304</v>
        <stp/>
        <stp>BDP|9783383828669896275</stp>
        <tr r="T234" s="89"/>
      </tp>
      <tp t="s">
        <v>#N/A Requesting Data...1845769773</v>
        <stp/>
        <stp>BDP|4116288240782894397</stp>
        <tr r="E32" s="2"/>
      </tp>
      <tp t="s">
        <v>#N/A Requesting Data...2386463863</v>
        <stp/>
        <stp>BDP|5534280926331575767</stp>
        <tr r="AR31" s="2"/>
      </tp>
      <tp t="s">
        <v>#N/A Requesting Data...4236017867</v>
        <stp/>
        <stp>BDP|2736589262953108158</stp>
        <tr r="E82" s="89"/>
      </tp>
      <tp t="s">
        <v>#N/A Requesting Data...1885498316</v>
        <stp/>
        <stp>BDP|7919916036548158668</stp>
        <tr r="AI9" s="338"/>
        <tr r="AK9" s="338"/>
      </tp>
      <tp t="s">
        <v>#N/A Requesting Data...1299768587</v>
        <stp/>
        <stp>BDP|5970596063913968630</stp>
        <tr r="AG30" s="338"/>
      </tp>
      <tp t="s">
        <v>#N/A Requesting Data...3162860301</v>
        <stp/>
        <stp>BDP|7170630364126625297</stp>
        <tr r="S52" s="338"/>
      </tp>
      <tp t="s">
        <v>#N/A N/A</v>
        <stp/>
        <stp>BDP|7115677759757668004</stp>
        <tr r="AC35" s="1"/>
      </tp>
      <tp t="s">
        <v>#N/A Requesting Data...1697255854</v>
        <stp/>
        <stp>BDP|3754293213215371607</stp>
        <tr r="F5" s="446"/>
        <tr r="F6" s="446"/>
      </tp>
      <tp t="s">
        <v>#N/A Requesting Data...2741357990</v>
        <stp/>
        <stp>BDP|2213180314153111209</stp>
        <tr r="AF18" s="1"/>
        <tr r="AF19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Data...1504980044</v>
        <stp/>
        <stp>BDP|9390709548618762108</stp>
        <tr r="N6" s="252"/>
        <tr r="N6" s="252"/>
      </tp>
      <tp t="s">
        <v>#N/A Requesting Data...2977720233</v>
        <stp/>
        <stp>BDP|7796453577674837314</stp>
        <tr r="U44" s="338"/>
      </tp>
      <tp t="s">
        <v>#N/A Requesting Data...985381012</v>
        <stp/>
        <stp>BDP|7961266924697349349</stp>
        <tr r="X36" s="338"/>
      </tp>
      <tp t="s">
        <v>#N/A Requesting Data...3338682511</v>
        <stp/>
        <stp>BDP|7659781264157478228</stp>
        <tr r="D95" s="89"/>
      </tp>
      <tp t="s">
        <v>#N/A Requesting Data...4098101568</v>
        <stp/>
        <stp>BDP|7777047645317887721</stp>
        <tr r="V145" s="89"/>
      </tp>
      <tp t="s">
        <v>#N/A Requesting Data...1441781873</v>
        <stp/>
        <stp>BDP|2793585885519216544</stp>
        <tr r="L19" s="252"/>
        <tr r="L19" s="252"/>
      </tp>
      <tp t="s">
        <v>#N/A Requesting Data...929364072</v>
        <stp/>
        <stp>BDP|8230930209200509213</stp>
        <tr r="X30" s="338"/>
      </tp>
      <tp t="s">
        <v>#N/A Requesting Data...2501786356</v>
        <stp/>
        <stp>BDP|7375966229997324824</stp>
        <tr r="O233" s="89"/>
      </tp>
      <tp t="s">
        <v>#N/A N/A</v>
        <stp/>
        <stp>BDP|1465483163793446398</stp>
        <tr r="AI20" s="1"/>
      </tp>
      <tp t="s">
        <v>#N/A Requesting Data...4073289575</v>
        <stp/>
        <stp>BDP|6169555274102368514</stp>
        <tr r="S10" s="338"/>
      </tp>
      <tp t="s">
        <v>#N/A Requesting Data...1161623665</v>
        <stp/>
        <stp>BDP|2465258476870377467</stp>
        <tr r="AA122" s="89"/>
        <tr r="Z122" s="89"/>
      </tp>
      <tp t="s">
        <v>#N/A Requesting Data...2475857012</v>
        <stp/>
        <stp>BDP|8020332285295353568</stp>
        <tr r="P32" s="338"/>
      </tp>
      <tp t="s">
        <v>#N/A N/A</v>
        <stp/>
        <stp>BDP|3712593953265415595</stp>
        <tr r="K22" s="1"/>
      </tp>
      <tp t="s">
        <v>#N/A Requesting Data...929978165</v>
        <stp/>
        <stp>BDP|1102263639204652783</stp>
        <tr r="AA25" s="2"/>
      </tp>
      <tp t="s">
        <v>#N/A Requesting Data...3749805437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Data...3711260265</v>
        <stp/>
        <stp>BDP|5888175656914033689</stp>
        <tr r="AA26" s="2"/>
        <tr r="AA28" s="2"/>
        <tr r="T13" s="89"/>
      </tp>
      <tp t="s">
        <v>#N/A Requesting Data...1416210061</v>
        <stp/>
        <stp>BDP|2411087539537646522</stp>
        <tr r="AD30" s="2"/>
        <tr r="V7" s="89"/>
      </tp>
      <tp t="s">
        <v>#N/A Requesting Data...3409370449</v>
        <stp/>
        <stp>BDP|5670533016900091220</stp>
        <tr r="C34" s="89"/>
      </tp>
      <tp t="s">
        <v>#N/A Requesting Data...2056195240</v>
        <stp/>
        <stp>BDP|6109913190467097261</stp>
        <tr r="AG32" s="338"/>
        <tr r="AG46" s="338"/>
        <tr r="AG50" s="338"/>
        <tr r="AG8" s="338"/>
      </tp>
      <tp t="s">
        <v>#N/A Requesting Data...3880666354</v>
        <stp/>
        <stp>BDP|5764387578793708167</stp>
        <tr r="M20" s="252"/>
      </tp>
      <tp t="s">
        <v>#N/A Requesting Data...1712942606</v>
        <stp/>
        <stp>BDP|3944606729323768717</stp>
        <tr r="D39" s="89"/>
      </tp>
      <tp t="s">
        <v>#N/A Requesting Data...1426419516</v>
        <stp/>
        <stp>BDP|2834421045940985100</stp>
        <tr r="E186" s="89"/>
      </tp>
      <tp t="s">
        <v>#N/A Requesting Data...2635190252</v>
        <stp/>
        <stp>BDP|3469315206342563101</stp>
        <tr r="AA251" s="89"/>
        <tr r="Z251" s="89"/>
      </tp>
      <tp t="s">
        <v>#N/A Requesting Data...4056174437</v>
        <stp/>
        <stp>BDP|6555173421444373279</stp>
        <tr r="AI13" s="338"/>
      </tp>
      <tp t="s">
        <v>#N/A Requesting Data...3875861595</v>
        <stp/>
        <stp>BDP|9226344490726854691</stp>
        <tr r="E101" s="89"/>
      </tp>
      <tp t="s">
        <v>#N/A Requesting Data...3663403412</v>
        <stp/>
        <stp>BDP|3588647240101790312</stp>
        <tr r="E31" s="2"/>
      </tp>
      <tp t="s">
        <v>#N/A N/A</v>
        <stp/>
        <stp>BDP|6281575064076017068</stp>
        <tr r="AC14" s="1"/>
      </tp>
      <tp t="s">
        <v>#N/A Requesting Data...2041483856</v>
        <stp/>
        <stp>BDP|6247087616267870331</stp>
        <tr r="AH29" s="338"/>
        <tr r="AH30" s="338"/>
      </tp>
      <tp t="s">
        <v>#N/A Requesting Data...879372679</v>
        <stp/>
        <stp>BDP|4307029492407618910</stp>
        <tr r="AK45" s="338"/>
      </tp>
      <tp t="s">
        <v>#N/A N/A</v>
        <stp/>
        <stp>BDP|9553534995241448739</stp>
        <tr r="AC29" s="1"/>
      </tp>
      <tp t="s">
        <v>#N/A Requesting Data...2710358855</v>
        <stp/>
        <stp>BDP|8245865345547421013</stp>
        <tr r="AC25" s="1"/>
        <tr r="D30" s="446"/>
      </tp>
      <tp t="s">
        <v>#N/A Requesting Data...1693728683</v>
        <stp/>
        <stp>BDP|4355758138881380299</stp>
        <tr r="T178" s="89"/>
      </tp>
      <tp t="s">
        <v>#N/A Requesting Data...3033627383</v>
        <stp/>
        <stp>BDP|7283217290158408739</stp>
        <tr r="T249" s="89"/>
      </tp>
      <tp t="s">
        <v>#N/A N/A</v>
        <stp/>
        <stp>BDP|8680549524655746940</stp>
        <tr r="R250" s="89"/>
      </tp>
      <tp>
        <v>74.25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-0.10775970667600632</v>
        <stp/>
        <stp>BDP|6841380180102177424|22</stp>
        <stp>MSFT US 03/20/26 C515 Equity</stp>
        <stp>theta_mid_rt</stp>
        <tr r="AN18" s="2"/>
      </tp>
      <tp>
        <v>459.86</v>
        <stp/>
        <stp>BDP|9988051122657863096|22</stp>
        <stp>MSFT US Equity</stp>
        <stp>LAST_PRICE</stp>
        <tr r="Z18" s="2"/>
        <tr r="Z19" s="2"/>
        <tr r="Z20" s="2"/>
        <tr r="S249" s="89"/>
        <tr r="S235" s="89"/>
      </tp>
      <tp>
        <v>50.15</v>
        <stp/>
        <stp>BDP|680728060256356434|22</stp>
        <stp>TSM US 03/20/26 C300 Equity</stp>
        <stp>ask</stp>
        <tr r="Q30" s="2"/>
        <tr r="L7" s="89"/>
      </tp>
      <tp>
        <v>0.01</v>
        <stp/>
        <stp>BDP|15651630444215172509|22</stp>
        <stp>TSM US 01/16/26 P315 Equity</stp>
        <stp>ask</stp>
        <tr r="Q33" s="2"/>
        <tr r="L197" s="89"/>
      </tp>
      <tp>
        <v>0.01</v>
        <stp/>
        <stp>BDP|11741176430077758833|22</stp>
        <stp>TSM US 01/16/26 P315 Equity</stp>
        <stp>mid</stp>
        <tr r="L33" s="2"/>
      </tp>
      <tp>
        <v>-0.10890214890241623</v>
        <stp/>
        <stp>BDP|12098786877158670568|22</stp>
        <stp>TSM US 06/18/26 C340 Equity</stp>
        <stp>theta_mid_rt</stp>
        <tr r="AN26" s="2"/>
        <tr r="AN28" s="2"/>
      </tp>
      <tp>
        <v>0</v>
        <stp/>
        <stp>BDP|10164041864230806919|22</stp>
        <stp>TSM US 01/16/26 C335 Equity</stp>
        <stp>theta_mid_rt</stp>
        <tr r="AN31" s="2"/>
      </tp>
      <tp>
        <v>459.86</v>
        <stp/>
        <stp>BDP|1720488993946020104|22</stp>
        <stp>MSFT Equity</stp>
        <stp>LAST PRICE</stp>
        <tr r="G8" s="338"/>
        <tr r="G9" s="338"/>
      </tp>
      <tp>
        <v>-0.56528884172439575</v>
        <stp/>
        <stp>BDP|2595831184962588402|22</stp>
        <stp>NFLX US 03/20/26 P92 Equity</stp>
        <stp>DELTA_MID_RT</stp>
        <tr r="AF24" s="2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5" s="2"/>
      </tp>
      <tp>
        <v>0</v>
        <stp/>
        <stp>BDP|17924001397007432097|22</stp>
        <stp>QQQ US 01/16/26 C633 Equity</stp>
        <stp>theta_mid_rt</stp>
        <tr r="AN8" s="2"/>
      </tp>
      <tp t="s">
        <v>USD</v>
        <stp/>
        <stp>BDP|17268974826636663743|22</stp>
        <stp>RKT US 05/15/26 C25 Equity</stp>
        <stp>QUOTED_CURRENCY_REALTIME</stp>
        <tr r="F39" s="89"/>
      </tp>
      <tp>
        <v>29.1</v>
        <stp/>
        <stp>BDP|12595944397153100458|22</stp>
        <stp>META US 04/17/26 P600 Equity</stp>
        <stp>mid</stp>
        <tr r="L13" s="2"/>
      </tp>
      <tp>
        <v>9220.81</v>
        <stp/>
        <stp>BDP|8345363860153837789|22</stp>
        <stp>HSCEI Index</stp>
        <stp>LAST_PRICE</stp>
        <tr r="H19" s="252"/>
        <tr r="H19" s="252"/>
      </tp>
      <tp>
        <v>7.9</v>
        <stp/>
        <stp>BDP|12933221309917084244|22</stp>
        <stp>NFLX US 03/20/26 P92 Equity</stp>
        <stp>ask</stp>
        <tr r="Q24" s="2"/>
      </tp>
      <tp t="s">
        <v>#N/A Invalid Security</v>
        <stp/>
        <stp>BDP|4772814250051116571|22</stp>
        <stp>KLAC US 01/23/26 C1600 Equity</stp>
        <stp>DELTA_MID_RT</stp>
        <tr r="W26" s="89"/>
      </tp>
      <tp>
        <v>25.15</v>
        <stp/>
        <stp>BDP|11549499930516457816|22</stp>
        <stp>AVGO US 06/18/26 C410 Equity</stp>
        <stp>bid</stp>
        <tr r="P5" s="2"/>
        <tr r="K222" s="89"/>
      </tp>
      <tp>
        <v>10.050000000000001</v>
        <stp/>
        <stp>BDP|16199323523634865039|22</stp>
        <stp>MRVL US 03/20/26 P85 Equity</stp>
        <stp>mid</stp>
        <tr r="L15" s="2"/>
      </tp>
      <tp t="s">
        <v>#N/A N/A</v>
        <stp/>
        <stp>BDP|14056888098714208672|22</stp>
        <stp>AMAT US 01/16/26 P280 Equity</stp>
        <stp>bid</stp>
        <tr r="K63" s="89"/>
      </tp>
      <tp t="s">
        <v>#N/A N/A</v>
        <stp/>
        <stp>BDP|16136972292554099540|22</stp>
        <stp>AMAT US 01/16/26 P290 Equity</stp>
        <stp>bid</stp>
        <tr r="K62" s="89"/>
      </tp>
      <tp>
        <v>47.4</v>
        <stp/>
        <stp>BDP|17652529992752880187|22</stp>
        <stp>AVGO US 06/18/26 C350 Equity</stp>
        <stp>bid</stp>
        <tr r="P6" s="2"/>
        <tr r="K223" s="89"/>
      </tp>
      <tp>
        <v>0</v>
        <stp/>
        <stp>BDP|15642004901339809685|22</stp>
        <stp>QQQ US 01/16/26 P622 Equity</stp>
        <stp>theta_mid_rt</stp>
        <tr r="AN9" s="2"/>
        <tr r="AN10" s="2"/>
      </tp>
      <tp>
        <v>0.27</v>
        <stp/>
        <stp>BDP|15901604230708554053|22</stp>
        <stp>ASHR US 02/20/26 C35 Equity</stp>
        <stp>mid</stp>
        <tr r="L4" s="2"/>
      </tp>
      <tp>
        <v>0.01</v>
        <stp/>
        <stp>BDP|15861880550378598529|22</stp>
        <stp>AMAT US 01/16/26 P290 Equity</stp>
        <stp>ask</stp>
        <tr r="L62" s="89"/>
      </tp>
      <tp>
        <v>9.52</v>
        <stp/>
        <stp>BDP|18169547819762494862|22</stp>
        <stp>MSFT US 03/20/26 C490 Equity</stp>
        <stp>mid</stp>
        <tr r="L19" s="2"/>
      </tp>
      <tp t="s">
        <v>#N/A Real Time</v>
        <stp/>
        <stp>BDP|12739925640024976755|22</stp>
        <stp>NVDA US 10/03/25 P160 Equity</stp>
        <stp>QUOTED_CURRENCY_REALTIME</stp>
        <tr r="F253" s="89"/>
      </tp>
      <tp t="s">
        <v>USD</v>
        <stp/>
        <stp>BDP|14649358559893085324|22</stp>
        <stp>AVGO US 06/18/26 C350 Equity</stp>
        <stp>QUOTED_CURRENCY_REALTIME</stp>
        <tr r="G6" s="2"/>
        <tr r="F223" s="89"/>
      </tp>
      <tp>
        <v>18.399999999999999</v>
        <stp/>
        <stp>BDP|13045517909567750209|22</stp>
        <stp>META US 04/17/26 P570 Equity</stp>
        <stp>mid</stp>
        <tr r="L14" s="2"/>
      </tp>
      <tp>
        <v>1.95</v>
        <stp/>
        <stp>BDP|14756977529844805931|22</stp>
        <stp>AMAT US 01/16/26 P280 Equity</stp>
        <stp>ask</stp>
        <tr r="L63" s="89"/>
      </tp>
      <tp>
        <v>9.85</v>
        <stp/>
        <stp>BDP|10246542437065037496|22</stp>
        <stp>MRVL US 03/20/26 P85 Equity</stp>
        <stp>bid</stp>
        <tr r="P15" s="2"/>
      </tp>
      <tp>
        <v>191.04</v>
        <stp/>
        <stp>BDP|6334594798441429827|22</stp>
        <stp>COHR Equity</stp>
        <stp>LAST_PRICE</stp>
        <tr r="I29" s="1"/>
      </tp>
      <tp>
        <v>0.14000000000000001</v>
        <stp/>
        <stp>BDP|14595784315440375767|22</stp>
        <stp>QQQ US 01/15/26 P621 Equity</stp>
        <stp>ask</stp>
        <tr r="L76" s="89"/>
      </tp>
      <tp>
        <v>88</v>
        <stp/>
        <stp>BDP|2401224757541047929|22</stp>
        <stp>NFLX Equity</stp>
        <stp>LAST_PRICE</stp>
        <tr r="I21" s="1"/>
      </tp>
      <tp>
        <v>1.66</v>
        <stp/>
        <stp>BDP|10445519633806217931|22</stp>
        <stp>QQQ US 01/15/26 P623 Equity</stp>
        <stp>bid</stp>
        <tr r="K68" s="89"/>
      </tp>
      <tp>
        <v>22.1</v>
        <stp/>
        <stp>BDP|982929759879592273|22</stp>
        <stp>TSM US 06/18/26 C380 Equity</stp>
        <stp>bid</stp>
        <tr r="P27" s="2"/>
        <tr r="P29" s="2"/>
        <tr r="K14" s="89"/>
      </tp>
      <tp>
        <v>3.25</v>
        <stp/>
        <stp>BDP|18217445081536365001|22</stp>
        <stp>NFLX US 03/20/26 P83 Equity</stp>
        <stp>bid</stp>
        <tr r="P25" s="2"/>
      </tp>
      <tp>
        <v>4.3</v>
        <stp/>
        <stp>BDP|16776532931638824445|22</stp>
        <stp>MSFT US 03/20/26 C515 Equity</stp>
        <stp>ask</stp>
        <tr r="Q18" s="2"/>
      </tp>
      <tp>
        <v>6.95</v>
        <stp/>
        <stp>BDP|12289700020985263311|22</stp>
        <stp>MRVL US 03/20/26 P80 Equity</stp>
        <stp>bid</stp>
        <tr r="P16" s="2"/>
      </tp>
      <tp>
        <v>697.93589999999995</v>
        <stp/>
        <stp>BDP|12318182968788510555|22</stp>
        <stp>NDEUCHF Index</stp>
        <stp>LAST_PRICE</stp>
        <tr r="H16" s="252"/>
        <tr r="H16" s="252"/>
      </tp>
      <tp>
        <v>7.8</v>
        <stp/>
        <stp>BDP|596244978164662614|22</stp>
        <stp>TSM US 01/16/26 C335 Equity</stp>
        <stp>mid</stp>
        <tr r="L31" s="2"/>
      </tp>
      <tp>
        <v>0.16</v>
        <stp/>
        <stp>BDP|17948842076370571403|22</stp>
        <stp>AMAT US 01/23/26 P280 Equity</stp>
        <stp>mid</stp>
        <tr r="L22" s="2"/>
      </tp>
      <tp t="s">
        <v>#N/A Real Time</v>
        <stp/>
        <stp>BDP|6010746088935642482|22</stp>
        <stp>MP US 09/19/25 P46 Equity</stp>
        <stp>QUOTED_CURRENCY_REALTIME</stp>
        <tr r="F243" s="89"/>
      </tp>
      <tp t="s">
        <v>#N/A Real Time</v>
        <stp/>
        <stp>BDP|16404463340027044899|22</stp>
        <stp>META US 10/03/25 P730 Equity</stp>
        <stp>ask</stp>
        <tr r="L252" s="89"/>
      </tp>
      <tp>
        <v>459.86</v>
        <stp/>
        <stp>BDP|1912830234697829517|22</stp>
        <stp>MSFT Equity</stp>
        <stp>LAST_PRICE</stp>
        <tr r="I25" s="1"/>
      </tp>
      <tp>
        <v>104.28</v>
        <stp/>
        <stp>BDP|11511261369815685982|22</stp>
        <stp>QQQE EQUITY</stp>
        <stp>LAST_PRICE</stp>
        <tr r="I7" s="1"/>
      </tp>
      <tp>
        <v>88</v>
        <stp/>
        <stp>BDP|8263106965958046051|22</stp>
        <stp>NFLX US Equity</stp>
        <stp>LAST_PRICE</stp>
        <tr r="Z23" s="2"/>
        <tr r="Z24" s="2"/>
        <tr r="Z25" s="2"/>
        <tr r="S187" s="89"/>
        <tr r="S188" s="89"/>
        <tr r="S186" s="89"/>
      </tp>
      <tp>
        <v>6.7</v>
        <stp/>
        <stp>BDP|12374218908081165086|22</stp>
        <stp>NFLX US 03/20/26 P90 Equity</stp>
        <stp>ask</stp>
        <tr r="L187" s="89"/>
      </tp>
      <tp>
        <v>-0.246100053191185</v>
        <stp/>
        <stp>BDP|6852050318923921669|22</stp>
        <stp>NFLX US 03/20/26 P80 Equity</stp>
        <stp>DELTA_MID_RT</stp>
        <tr r="W188" s="89"/>
      </tp>
      <tp t="s">
        <v>#N/A N/A</v>
        <stp/>
        <stp>BDP|13983178372231211717|22</stp>
        <stp>TSM US 01/16/26 P315 Equity</stp>
        <stp>bid</stp>
        <tr r="P33" s="2"/>
        <tr r="K197" s="89"/>
      </tp>
      <tp t="s">
        <v>#N/A Requesting Data...2992979863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BDP|17495594356777168994|22</stp>
        <stp>MSFT US 03/20/26 C515 Equity</stp>
        <stp>QUOTED_CURRENCY_REALTIME</stp>
        <tr r="G18" s="2"/>
      </tp>
      <tp>
        <v>18.3</v>
        <stp/>
        <stp>BDP|10240673035974561197|22</stp>
        <stp>META US 04/17/26 P570 Equity</stp>
        <stp>bid</stp>
        <tr r="P14" s="2"/>
      </tp>
      <tp>
        <v>-4.1181640699505806E-3</v>
        <stp/>
        <stp>BDP|7284956293389292495|22</stp>
        <stp>ASML US 01/23/26 P1100 Equity</stp>
        <stp>DELTA_MID_RT</stp>
        <tr r="W50" s="89"/>
      </tp>
      <tp>
        <v>4.83</v>
        <stp/>
        <stp>BDP|14841963169371507253|22</stp>
        <stp>MRVL US 03/20/26 P75 Equity</stp>
        <stp>mid</stp>
        <tr r="L17" s="2"/>
      </tp>
      <tp>
        <v>255.53</v>
        <stp/>
        <stp>BDP|13852632459561529635|22</stp>
        <stp>AAPL EQUITY</stp>
        <stp>LAST_PRICE</stp>
        <tr r="C6" s="1"/>
      </tp>
      <tp>
        <v>37106.15</v>
        <stp/>
        <stp>BDP|4029547894834693880|22</stp>
        <stp>TXIN0UNU Index</stp>
        <stp>LAST_PRICE</stp>
        <tr r="H10" s="252"/>
        <tr r="H10" s="252"/>
      </tp>
      <tp t="s">
        <v>#N/A Real Time</v>
        <stp/>
        <stp>BDP|12302441145117000313|22</stp>
        <stp>MSFT US 10/03/25 P485 Equity</stp>
        <stp>QUOTED_CURRENCY_REALTIME</stp>
        <tr r="F249" s="89"/>
      </tp>
      <tp>
        <v>191.09</v>
        <stp/>
        <stp>BDP|8523820006929361112|22</stp>
        <stp>ORCL US Equity</stp>
        <stp>LAST_PRICE</stp>
        <tr r="S250" s="89"/>
      </tp>
      <tp>
        <v>539.49</v>
        <stp/>
        <stp>BDP|9828940858298145952|22</stp>
        <stp>MA Equity</stp>
        <stp>LAST PRICE</stp>
        <tr r="G16" s="338"/>
        <tr r="G38" s="338"/>
        <tr r="G40" s="338"/>
      </tp>
      <tp>
        <v>149.53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BDP|15674570356569526430|22</stp>
        <stp>AMAT US 01/16/26 P280 Equity</stp>
        <stp>QUOTED_CURRENCY_REALTIME</stp>
        <tr r="F63" s="89"/>
      </tp>
      <tp t="s">
        <v>USD</v>
        <stp/>
        <stp>BDP|13270901624241508025|22</stp>
        <stp>AMAT US 01/23/26 P280 Equity</stp>
        <stp>QUOTED_CURRENCY_REALTIME</stp>
        <tr r="G22" s="2"/>
        <tr r="F56" s="89"/>
      </tp>
      <tp>
        <v>4.95</v>
        <stp/>
        <stp>BDP|17311283871303777118|22</stp>
        <stp>MRVL US 03/20/26 P75 Equity</stp>
        <stp>ask</stp>
        <tr r="Q17" s="2"/>
      </tp>
      <tp>
        <v>0.31</v>
        <stp/>
        <stp>BDP|11546932509834899026|22</stp>
        <stp>AMAT US 01/23/26 P290 Equity</stp>
        <stp>ask</stp>
        <tr r="Q21" s="2"/>
        <tr r="L55" s="89"/>
      </tp>
      <tp>
        <v>25.65</v>
        <stp/>
        <stp>BDP|13407383351402000483|22</stp>
        <stp>AVGO US 06/18/26 C410 Equity</stp>
        <stp>ask</stp>
        <tr r="Q5" s="2"/>
        <tr r="L222" s="89"/>
      </tp>
      <tp>
        <v>25.4</v>
        <stp/>
        <stp>BDP|14577375391089989808|22</stp>
        <stp>AVGO US 06/18/26 C410 Equity</stp>
        <stp>mid</stp>
        <tr r="L5" s="2"/>
      </tp>
      <tp>
        <v>186.23</v>
        <stp/>
        <stp>BDP|2630581548609766860|22</stp>
        <stp>NVDA US Equity</stp>
        <stp>LAST_PRICE</stp>
        <tr r="S253" s="89"/>
      </tp>
      <tp>
        <v>0</v>
        <stp/>
        <stp>BDP|13752510454588282974|22</stp>
        <stp>QQQ US 01/16/26 C635 Equity</stp>
        <stp>theta_mid_rt</stp>
        <tr r="AN7" s="2"/>
      </tp>
      <tp>
        <v>330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G5" s="2"/>
        <tr r="F222" s="89"/>
      </tp>
      <tp>
        <v>493.29</v>
        <stp/>
        <stp>BDP|16804995271076659285|22</stp>
        <stp>BRK/B Equity</stp>
        <stp>LAST PRICE</stp>
        <tr r="I18" s="338"/>
      </tp>
      <tp>
        <v>2.57</v>
        <stp/>
        <stp>BDP|2563613657122572105|22</stp>
        <stp>RKT US 05/15/26 C25 Equity</stp>
        <stp>bid</stp>
        <tr r="K39" s="89"/>
      </tp>
      <tp>
        <v>10.25</v>
        <stp/>
        <stp>BDP|13966874951199659074|22</stp>
        <stp>MRVL US 03/20/26 P85 Equity</stp>
        <stp>ask</stp>
        <tr r="Q15" s="2"/>
      </tp>
      <tp>
        <v>28.95</v>
        <stp/>
        <stp>BDP|14266615157817866347|22</stp>
        <stp>META US 04/17/26 P600 Equity</stp>
        <stp>bid</stp>
        <tr r="P13" s="2"/>
        <tr r="K180" s="89"/>
      </tp>
      <tp>
        <v>47.8</v>
        <stp/>
        <stp>BDP|16021407028720881249|22</stp>
        <stp>AVGO US 06/18/26 C350 Equity</stp>
        <stp>ask</stp>
        <tr r="Q6" s="2"/>
        <tr r="L223" s="89"/>
      </tp>
      <tp>
        <v>186.86</v>
        <stp/>
        <stp>BDP|6290765801174780597|22</stp>
        <stp>WDAY Equity</stp>
        <stp>LAST PRICE</stp>
        <tr r="L10" s="446"/>
      </tp>
      <tp>
        <v>25.25</v>
        <stp/>
        <stp>BDP|13310992897897785440|22</stp>
        <stp>META US 04/17/26 P590 Equity</stp>
        <stp>ask</stp>
        <tr r="L171" s="89"/>
      </tp>
      <tp t="s">
        <v>#N/A Real Time</v>
        <stp/>
        <stp>BDP|18359407175122252576|22</stp>
        <stp>AMZN US 10/03/25 P220 Equity</stp>
        <stp>ask</stp>
        <tr r="L251" s="89"/>
      </tp>
      <tp>
        <v>6940.01</v>
        <stp/>
        <stp>BDP|2596990609892593565|22</stp>
        <stp>SPX Index</stp>
        <stp>LAST_PRICE</stp>
        <tr r="S160" s="89"/>
      </tp>
      <tp>
        <v>1.8</v>
        <stp/>
        <stp>BDP|17731858862065377261|22</stp>
        <stp>QQQ US 01/15/26 P623 Equity</stp>
        <stp>ask</stp>
        <tr r="L68" s="89"/>
      </tp>
      <tp>
        <v>0.12</v>
        <stp/>
        <stp>BDP|15699108530060351130|22</stp>
        <stp>QQQ US 01/15/26 P621 Equity</stp>
        <stp>bid</stp>
        <tr r="K76" s="89"/>
      </tp>
      <tp t="s">
        <v>#N/A Requesting Data...1614920129</v>
        <stp/>
        <stp>BDP|58362587440124964</stp>
        <tr r="C250" s="89"/>
      </tp>
      <tp>
        <v>7991.7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51" s="89"/>
      </tp>
      <tp>
        <v>14</v>
        <stp/>
        <stp>BDP|10810010165254257461|22</stp>
        <stp>MSFT US 02/13/26 C465 Equity</stp>
        <stp>bid</stp>
        <tr r="K235" s="89"/>
      </tp>
      <tp>
        <v>239.12</v>
        <stp/>
        <stp>BDP|12911088506019095722|22</stp>
        <stp>AMZN EQUITY</stp>
        <stp>LAST_PRICE</stp>
        <tr r="C5" s="1"/>
      </tp>
      <tp t="s">
        <v>#N/A Requesting Data...3962409391</v>
        <stp/>
        <stp>BDP|83230031180787509</stp>
        <tr r="T33" s="89"/>
      </tp>
      <tp>
        <v>5.3712999999999997</v>
        <stp/>
        <stp>BDP|10515480241315630363|22</stp>
        <stp>brl Curncy</stp>
        <stp>LAST_PRICE</stp>
        <tr r="AC3" s="1"/>
      </tp>
      <tp>
        <v>0.01</v>
        <stp/>
        <stp>BDP|15144023089314931793|22</stp>
        <stp>TSM US 01/16/26 P325 Equity</stp>
        <stp>mid</stp>
        <tr r="L32" s="2"/>
      </tp>
      <tp t="s">
        <v>#N/A Requesting Data...2888911822</v>
        <stp/>
        <stp>BDP|31447539442012205</stp>
        <tr r="AD23" s="2"/>
      </tp>
      <tp t="s">
        <v>USD</v>
        <stp/>
        <stp>BDP|13998573931045965631|22</stp>
        <stp>MSFT US 03/20/26 P465 Equity</stp>
        <stp>QUOTED_CURRENCY_REALTIME</stp>
        <tr r="G20" s="2"/>
      </tp>
      <tp>
        <v>3.33</v>
        <stp/>
        <stp>BDP|10306915659924416460|22</stp>
        <stp>NFLX US 03/20/26 P83 Equity</stp>
        <stp>mid</stp>
        <tr r="L25" s="2"/>
      </tp>
      <tp>
        <v>9.6</v>
        <stp/>
        <stp>BDP|10156068293807054847|22</stp>
        <stp>MSFT US 03/20/26 C490 Equity</stp>
        <stp>ask</stp>
        <tr r="Q19" s="2"/>
      </tp>
      <tp>
        <v>2.39</v>
        <stp/>
        <stp>BDP|11810525163719928784|22</stp>
        <stp>NFLX US 03/20/26 P80 Equity</stp>
        <stp>ask</stp>
        <tr r="L188" s="89"/>
      </tp>
      <tp>
        <v>186.23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41.75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Data...2090452509</v>
        <stp/>
        <stp>BDP|751520279507684047</stp>
        <tr r="X40" s="338"/>
      </tp>
      <tp t="s">
        <v>#N/A Requesting Data...4285117941</v>
        <stp/>
        <stp>BDP|196285167087372652</stp>
        <tr r="O19" s="89"/>
      </tp>
      <tp t="s">
        <v>#N/A Requesting Data...1751648773</v>
        <stp/>
        <stp>BDP|708391392016349940</stp>
        <tr r="AD24" s="2"/>
      </tp>
      <tp t="s">
        <v>#N/A Requesting Data...1974636881</v>
        <stp/>
        <stp>BDP|486395361935198594</stp>
        <tr r="T31" s="2"/>
        <tr r="O195" s="89"/>
      </tp>
      <tp t="s">
        <v>#N/A Requesting Data...2379965876</v>
        <stp/>
        <stp>BDP|711948671629350257</stp>
        <tr r="E19" s="89"/>
      </tp>
      <tp t="s">
        <v>#N/A Requesting Data...1465079531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50" s="89"/>
      </tp>
      <tp>
        <v>231.01</v>
        <stp/>
        <stp>BDP|15031025441735979532|22</stp>
        <stp>RDDT Equity</stp>
        <stp>LAST PRICE</stp>
        <tr r="L11" s="446"/>
      </tp>
      <tp>
        <v>26.1</v>
        <stp/>
        <stp>BDP|2492093532570295717|22</stp>
        <stp>TSM US 07/17/26 C380 Equity</stp>
        <stp>bid</stp>
        <tr r="K20" s="89"/>
      </tp>
      <tp>
        <v>28.75</v>
        <stp/>
        <stp>BDP|6998547858539711557|22</stp>
        <stp>TSM US 03/20/26 C330 Equity</stp>
        <stp>ask</stp>
        <tr r="L8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Data...2008477423</v>
        <stp/>
        <stp>BDP|608595985359488024</stp>
        <tr r="AH13" s="338"/>
        <tr r="AH34" s="338"/>
        <tr r="AJ13" s="338"/>
        <tr r="AJ34" s="338"/>
      </tp>
      <tp t="s">
        <v>#N/A Requesting Data...1451962955</v>
        <stp/>
        <stp>BDP|654074041248648893</stp>
        <tr r="D13" s="89"/>
      </tp>
      <tp t="s">
        <v>#N/A Requesting Data...3854072820</v>
        <stp/>
        <stp>BDP|624962580586857307</stp>
        <tr r="E8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Invalid Security</v>
        <stp/>
        <stp>BDP|158431237228798516|22</stp>
        <stp>KLAC US 01/23/26 C1600 Equity</stp>
        <stp>QUOTED_CURRENCY_REALTIME</stp>
        <tr r="F26" s="89"/>
      </tp>
      <tp t="s">
        <v>#N/A N/A</v>
        <stp/>
        <stp>BDP|506862199115732352</stp>
        <tr r="AF29" s="1"/>
      </tp>
      <tp t="s">
        <v>#N/A Requesting Data...4248143223</v>
        <stp/>
        <stp>BDP|686234847331911027</stp>
        <tr r="G17" s="446"/>
      </tp>
      <tp t="s">
        <v>#N/A Requesting Data...3199278838</v>
        <stp/>
        <stp>BDP|845945561529258153</stp>
        <tr r="X37" s="338"/>
      </tp>
      <tp t="s">
        <v>#N/A Requesting Data...4174997997</v>
        <stp/>
        <stp>BDP|719080694298469649</stp>
        <tr r="F12" s="2"/>
      </tp>
      <tp t="s">
        <v>#N/A N/A</v>
        <stp/>
        <stp>BDH|407294638463881584</stp>
        <tr r="AM9" s="338"/>
        <tr r="AM8" s="338"/>
      </tp>
      <tp t="s">
        <v>#N/A Requesting Data...3749158672</v>
        <stp/>
        <stp>BDP|408762416568436914</stp>
        <tr r="T116" s="89"/>
      </tp>
      <tp t="s">
        <v>#N/A Requesting Data...3878610280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5822.18</v>
        <stp/>
        <stp>BDP|7715274099356745424|22</stp>
        <stp>HSTECH Index</stp>
        <stp>LAST_PRICE</stp>
        <tr r="H14" s="252"/>
        <tr r="H14" s="252"/>
      </tp>
      <tp t="s">
        <v>USD</v>
        <stp/>
        <stp>BDP|4840786825641566887|22</stp>
        <stp>QQQ US 01/16/26 P622 Equity</stp>
        <stp>QUOTED_CURRENCY_REALTIME</stp>
        <tr r="G10" s="2"/>
        <tr r="G9" s="2"/>
        <tr r="F205" s="89"/>
        <tr r="F213" s="89"/>
      </tp>
      <tp>
        <v>691.66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Data...2603819114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Data...1609576804</v>
        <stp/>
        <stp>BDP|575304639910340627</stp>
        <tr r="AR5" s="2"/>
      </tp>
      <tp t="s">
        <v>#N/A Requesting Data...3158605926</v>
        <stp/>
        <stp>BDP|619052234926942338</stp>
        <tr r="O49" s="89"/>
      </tp>
      <tp t="s">
        <v>#N/A N/A</v>
        <stp/>
        <stp>BDP|703780504329627859</stp>
        <tr r="AI24" s="1"/>
      </tp>
      <tp t="s">
        <v>#N/A Requesting Data...2428764829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Data...4183867795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-3.6987271159887314E-2</v>
        <stp/>
        <stp>BDP|5158930325873586502|22</stp>
        <stp>AMAT US 01/16/26 P280 Equity</stp>
        <stp>DELTA_MID_RT</stp>
        <tr r="W63" s="89"/>
      </tp>
      <tp>
        <v>191.09</v>
        <stp/>
        <stp>BDP|7132801475716187902|22</stp>
        <stp>ORCL EQUITY</stp>
        <stp>LAST_PRICE</stp>
        <tr r="C10" s="1"/>
      </tp>
      <tp t="s">
        <v>#N/A Requesting Data...4069445728</v>
        <stp/>
        <stp>BDP|930699410161740793</stp>
        <tr r="D26" s="2"/>
        <tr r="D28" s="2"/>
        <tr r="C13" s="89"/>
      </tp>
      <tp t="s">
        <v>#N/A Requesting Data...1110482509</v>
        <stp/>
        <stp>BDP|517543108217561323</stp>
        <tr r="P53" s="338"/>
      </tp>
      <tp t="s">
        <v>#N/A Requesting Data...3926713374</v>
        <stp/>
        <stp>BDP|244764414260319781</stp>
        <tr r="O18" s="252"/>
      </tp>
      <tp t="s">
        <v>#N/A Requesting Data...2270727848</v>
        <stp/>
        <stp>BDP|896518566545118787</stp>
        <tr r="AA102" s="89"/>
        <tr r="Z102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USD</v>
        <stp/>
        <stp>BDP|8637154452701464385|22</stp>
        <stp>QQQ US 01/16/26 C635 Equity</stp>
        <stp>QUOTED_CURRENCY_REALTIME</stp>
        <tr r="F203" s="89"/>
        <tr r="F211" s="89"/>
        <tr r="G7" s="2"/>
      </tp>
      <tp t="s">
        <v>#N/A N/A</v>
        <stp/>
        <stp>BDP|7187799250672940682|22</stp>
        <stp>QQQ US 01/16/26 C633 Equity</stp>
        <stp>bid</stp>
        <tr r="K204" s="89"/>
        <tr r="K212" s="89"/>
        <tr r="P8" s="2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7" s="1"/>
        <tr r="AG16" s="1"/>
      </tp>
      <tp t="s">
        <v>#N/A Requesting Data...3157487095</v>
        <stp/>
        <stp>BDP|999131207671054040</stp>
        <tr r="P55" s="338"/>
      </tp>
      <tp t="s">
        <v>#N/A Requesting Data...3842392591</v>
        <stp/>
        <stp>BDP|969726204681693639</stp>
        <tr r="C39" s="89"/>
      </tp>
      <tp t="s">
        <v>#N/A N/A</v>
        <stp/>
        <stp>BDP|798980087638306908</stp>
        <tr r="K4" s="1"/>
      </tp>
      <tp t="s">
        <v>#N/A N/A</v>
        <stp/>
        <stp>BDH|179427161956218405</stp>
        <tr r="AR42" s="338"/>
      </tp>
      <tp t="s">
        <v>#N/A Requesting Data...3701315319</v>
        <stp/>
        <stp>BDP|454052187798556035</stp>
        <tr r="D122" s="89"/>
      </tp>
      <tp t="s">
        <v>#N/A N/A</v>
        <stp/>
        <stp>BDH|442448466437465530</stp>
        <tr r="AR45" s="338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2.72</v>
        <stp/>
        <stp>BDP|15424449240272503460|22</stp>
        <stp>RKT US 05/15/26 C25 Equity</stp>
        <stp>ask</stp>
        <tr r="L39" s="89"/>
      </tp>
      <tp>
        <v>199.05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Data...4283857005</v>
        <stp/>
        <stp>BDP|980575772465495456</stp>
        <tr r="AD32" s="2"/>
        <tr r="V196" s="89"/>
      </tp>
      <tp t="s">
        <v>#N/A Requesting Data...2148885134</v>
        <stp/>
        <stp>BDP|837567325424645036</stp>
        <tr r="C26" s="89"/>
      </tp>
      <tp t="s">
        <v>#N/A Requesting Data...2320382967</v>
        <stp/>
        <stp>BDP|103387833183780070</stp>
        <tr r="AA108" s="89"/>
        <tr r="Z108" s="89"/>
      </tp>
      <tp t="s">
        <v>#N/A N/A</v>
        <stp/>
        <stp>BDH|947584274740162137</stp>
        <tr r="AP29" s="338"/>
        <tr r="AP30" s="338"/>
      </tp>
      <tp>
        <v>86.14</v>
        <stp/>
        <stp>BDP|6244681688337820540|22</stp>
        <stp>KBWB EQUITY</stp>
        <stp>LAST_PRICE</stp>
        <tr r="I1" s="1"/>
      </tp>
      <tp>
        <v>19.239999999999998</v>
        <stp/>
        <stp>BDP|11593899381746563402|22</stp>
        <stp>RIOT Equity</stp>
        <stp>LAST_PRICE</stp>
        <tr r="I37" s="1"/>
      </tp>
      <tp>
        <v>0.01</v>
        <stp/>
        <stp>BDP|5446023781941606213|22</stp>
        <stp>QQQ US 01/16/26 C635 Equity</stp>
        <stp>ask</stp>
        <tr r="L203" s="89"/>
        <tr r="L211" s="89"/>
        <tr r="Q7" s="2"/>
      </tp>
      <tp>
        <v>22.75</v>
        <stp/>
        <stp>BDP|7303697284640564666|22</stp>
        <stp>TSM US 06/18/26 C380 Equity</stp>
        <stp>ask</stp>
        <tr r="Q27" s="2"/>
        <tr r="Q29" s="2"/>
        <tr r="L14" s="89"/>
      </tp>
      <tp>
        <v>27.55</v>
        <stp/>
        <stp>BDP|3151677417243031834|22</stp>
        <stp>TSM US 07/17/26 C380 Equity</stp>
        <stp>ask</stp>
        <tr r="L20" s="89"/>
      </tp>
      <tp t="s">
        <v>#N/A Requesting Data...1887282734</v>
        <stp/>
        <stp>BDP|800460114691746600</stp>
        <tr r="T33" s="2"/>
        <tr r="O197" s="89"/>
      </tp>
      <tp t="s">
        <v>#N/A Requesting Data...3406230144</v>
        <stp/>
        <stp>BDP|867434005810212632</stp>
        <tr r="AR23" s="2"/>
      </tp>
      <tp t="s">
        <v>#N/A N/A</v>
        <stp/>
        <stp>BDP|450712038053400567</stp>
        <tr r="AG12" s="1"/>
      </tp>
      <tp>
        <v>621.26</v>
        <stp/>
        <stp>BDP|13846945124532688911|22</stp>
        <stp>QQQ Equity</stp>
        <stp>LAST_PRICE</stp>
        <tr r="I16" s="1"/>
        <tr r="I17" s="1"/>
      </tp>
      <tp t="s">
        <v>#N/A Requesting Data...1371590337</v>
        <stp/>
        <stp>BDP|485222895401231859</stp>
        <tr r="AR25" s="2"/>
      </tp>
      <tp t="s">
        <v>#N/A Requesting Data...2770906102</v>
        <stp/>
        <stp>BDP|310378113498032857</stp>
        <tr r="F9" s="446"/>
      </tp>
      <tp>
        <v>-0.50706934928894043</v>
        <stp/>
        <stp>BDP|3113404587360388424|22</stp>
        <stp>MSFT US 03/20/26 P465 Equity</stp>
        <stp>DELTA_MID_RT</stp>
        <tr r="AF20" s="2"/>
      </tp>
      <tp t="s">
        <v>USD</v>
        <stp/>
        <stp>BDP|7916740187460441225|22</stp>
        <stp>TSM US 01/16/26 P325 Equity</stp>
        <stp>QUOTED_CURRENCY_REALTIME</stp>
        <tr r="G32" s="2"/>
        <tr r="F196" s="89"/>
      </tp>
      <tp>
        <v>-0.15979635715484619</v>
        <stp/>
        <stp>BDP|5551973401497312809|22</stp>
        <stp>AVGO US 06/18/26 P270 Equity</stp>
        <stp>DELTA_MID_RT</stp>
        <tr r="W225" s="89"/>
      </tp>
      <tp>
        <v>49.45</v>
        <stp/>
        <stp>BDP|4064819158649726562|22</stp>
        <stp>TSM US 03/20/26 C300 Equity</stp>
        <stp>mid</stp>
        <tr r="L30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Data...4163843395</v>
        <stp/>
        <stp>BDP|630836919334916088</stp>
        <tr r="X10" s="338"/>
      </tp>
      <tp t="s">
        <v>#N/A N/A</v>
        <stp/>
        <stp>BDP|894652130481491978</stp>
        <tr r="AC12" s="2"/>
        <tr r="AC13" s="2"/>
        <tr r="AC14" s="2"/>
      </tp>
      <tp t="s">
        <v>#N/A Requesting Data...1650708401</v>
        <stp/>
        <stp>BDP|270487313100359854</stp>
        <tr r="V17" s="338"/>
      </tp>
      <tp>
        <v>691.66</v>
        <stp/>
        <stp>BDP|13189918054944550299|22</stp>
        <stp>SPY Equity</stp>
        <stp>LAST_PRICE</stp>
        <tr r="X3" s="1"/>
      </tp>
      <tp>
        <v>0.39037880301475525</v>
        <stp/>
        <stp>BDP|4583293167647768346|22</stp>
        <stp>AMAT US 02/06/26 C340 Equity</stp>
        <stp>DELTA_MID_RT</stp>
        <tr r="W33" s="89"/>
      </tp>
      <tp>
        <v>-6.0630254447460175E-2</v>
        <stp/>
        <stp>BDP|3178362372691625299|22</stp>
        <stp>MRVL US 03/20/26 P80 Equity</stp>
        <stp>theta_mid_rt</stp>
        <tr r="AN16" s="2"/>
      </tp>
      <tp>
        <v>114.99</v>
        <stp/>
        <stp>BDP|11864909502198122066|22</stp>
        <stp>W US Equity</stp>
        <stp>LAST_PRICE</stp>
        <tr r="S40" s="89"/>
      </tp>
      <tp t="s">
        <v>USD</v>
        <stp/>
        <stp>BDP|5899528920965095514|22</stp>
        <stp>QQQ US 01/15/26 P622 Equity</stp>
        <stp>QUOTED_CURRENCY_REALTIME</stp>
        <tr r="F75" s="89"/>
        <tr r="F69" s="89"/>
      </tp>
      <tp>
        <v>342.47</v>
        <stp/>
        <stp>BDP|14332915070053504036|22</stp>
        <stp>SOXX Equity</stp>
        <stp>LAST PRICE</stp>
        <tr r="I13" s="338"/>
      </tp>
      <tp>
        <v>0.01</v>
        <stp/>
        <stp>BDP|3663508821472831217|22</stp>
        <stp>QQQ US 01/16/26 C633 Equity</stp>
        <stp>ask</stp>
        <tr r="L204" s="89"/>
        <tr r="L212" s="89"/>
        <tr r="Q8" s="2"/>
      </tp>
      <tp>
        <v>8.5</v>
        <stp/>
        <stp>BDP|9488167050605200857|22</stp>
        <stp>TSM US 01/16/26 C335 Equity</stp>
        <stp>ask</stp>
        <tr r="Q31" s="2"/>
        <tr r="L195" s="89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Data...3816190196</v>
        <stp/>
        <stp>BDP|127253274771311898</stp>
        <tr r="AG11" s="338"/>
      </tp>
      <tp t="s">
        <v>#N/A Requesting Data...4094105054</v>
        <stp/>
        <stp>BDP|827675090525898604</stp>
        <tr r="AF41" s="338"/>
        <tr r="AF42" s="338"/>
      </tp>
      <tp t="s">
        <v>#N/A Requesting Data...2511698160</v>
        <stp/>
        <stp>BDP|782705090920373269</stp>
        <tr r="D129" s="89"/>
      </tp>
      <tp t="s">
        <v>#N/A Requesting Data...2596420086</v>
        <stp/>
        <stp>BDP|404252579678701218</stp>
        <tr r="T15" s="2"/>
      </tp>
      <tp t="s">
        <v>#N/A Requesting Data...2347745384</v>
        <stp/>
        <stp>BDP|747191926384069867</stp>
        <tr r="L15" s="252"/>
        <tr r="L15" s="252"/>
      </tp>
      <tp t="s">
        <v>#N/A Requesting Data...3886055610</v>
        <stp/>
        <stp>BDP|176347289857022339</stp>
        <tr r="S17" s="252"/>
      </tp>
      <tp t="s">
        <v>#N/A Requesting Data...1779218610</v>
        <stp/>
        <stp>BDP|209347099407616211</stp>
        <tr r="Z197" s="89"/>
        <tr r="AA197" s="89"/>
      </tp>
      <tp t="s">
        <v>#N/A Requesting Data...3334609685</v>
        <stp/>
        <stp>BDP|278537766618564487</stp>
        <tr r="U17" s="338"/>
      </tp>
      <tp t="s">
        <v>#N/A Requesting Data...2094315818</v>
        <stp/>
        <stp>BDP|985943877960620174</stp>
        <tr r="AD11" s="2"/>
      </tp>
      <tp t="s">
        <v>#N/A N/A</v>
        <stp/>
        <stp>BDP|987924063845804559</stp>
        <tr r="E4" s="1"/>
      </tp>
      <tp t="s">
        <v>#N/A N/A</v>
        <stp/>
        <stp>BDH|306136382464770271</stp>
        <tr r="AN31" s="338"/>
        <tr r="AN32" s="338"/>
      </tp>
      <tp t="s">
        <v>#N/A Requesting Data...3565692879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620.25</v>
        <stp/>
        <stp>BDP|3305523752982270676|22</stp>
        <stp>META EQUITY</stp>
        <stp>LAST_PRICE</stp>
        <tr r="C9" s="1"/>
      </tp>
      <tp>
        <v>-2.6160674169659615E-2</v>
        <stp/>
        <stp>BDP|4448489992068111945|22</stp>
        <stp>AMAT US 01/23/26 P290 Equity</stp>
        <stp>DELTA_MID_RT</stp>
        <tr r="AF21" s="2"/>
        <tr r="W55" s="89"/>
      </tp>
      <tp t="s">
        <v>#N/A Real Time</v>
        <stp/>
        <stp>BDP|8535644726168334880|22</stp>
        <stp>AVGO US 10/03/25 P330 Equity</stp>
        <stp>DELTA_MID_RT</stp>
        <tr r="W254" s="89"/>
      </tp>
      <tp>
        <v>-3.2105576246976852E-2</v>
        <stp/>
        <stp>BDP|11616585170366627845|22</stp>
        <stp>ASML US 01/23/26 P1200 Equity</stp>
        <stp>DELTA_MID_RT</stp>
        <tr r="W49" s="89"/>
      </tp>
      <tp>
        <v>199.05</v>
        <stp/>
        <stp>BDP|10381440186149181728|22</stp>
        <stp>RSP Equity</stp>
        <stp>LAST_PRICE</stp>
        <tr r="I18" s="1"/>
        <tr r="I19" s="1"/>
      </tp>
      <tp t="s">
        <v>#N/A N/A</v>
        <stp/>
        <stp>BDP|887987616640012698</stp>
        <tr r="AB12" s="1"/>
      </tp>
      <tp t="s">
        <v>#N/A N/A</v>
        <stp/>
        <stp>BDH|208859867011885109</stp>
        <tr r="AU29" s="338"/>
      </tp>
      <tp t="s">
        <v>#N/A Requesting Data...3745777210</v>
        <stp/>
        <stp>BDP|250048024809964501</stp>
        <tr r="T253" s="89"/>
      </tp>
      <tp t="s">
        <v>#N/A Requesting Data...1282512791</v>
        <stp/>
        <stp>BDP|364330932177526925</stp>
        <tr r="S37" s="338"/>
      </tp>
      <tp t="s">
        <v>#N/A N/A</v>
        <stp/>
        <stp>BDP|308105164449948089</stp>
        <tr r="K27" s="1"/>
      </tp>
      <tp>
        <v>33.56</v>
        <stp/>
        <stp>BDP|18329643987132492211|22</stp>
        <stp>ASHR Equity</stp>
        <stp>LAST_PRICE</stp>
        <tr r="H6" s="252"/>
        <tr r="H6" s="252"/>
        <tr r="I14" s="1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Data...1665111318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Data...1826918259</v>
        <stp/>
        <stp>BDP|321567796020124549</stp>
        <tr r="F43" s="446"/>
      </tp>
      <tp t="s">
        <v>#N/A Requesting Data...3858901578</v>
        <stp/>
        <stp>BDP|443202683742019110</stp>
        <tr r="D34" s="89"/>
      </tp>
      <tp t="s">
        <v>#N/A Requesting Data...3552416228</v>
        <stp/>
        <stp>BDP|748281786590893378</stp>
        <tr r="AA160" s="89"/>
        <tr r="Z160" s="89"/>
      </tp>
      <tp t="s">
        <v>#N/A Requesting Data...1187131347</v>
        <stp/>
        <stp>BDP|377136283429366977</stp>
        <tr r="AA235" s="89"/>
        <tr r="Z235" s="89"/>
      </tp>
      <tp t="s">
        <v>USD</v>
        <stp/>
        <stp>BDP|1731871426539960425|22</stp>
        <stp>QQQ US 01/15/26 P623 Equity</stp>
        <stp>QUOTED_CURRENCY_REALTIME</stp>
        <tr r="F68" s="89"/>
      </tp>
      <tp>
        <v>43.39</v>
        <stp/>
        <stp>BDP|16955313478604069014|22</stp>
        <stp>XLU Equity</stp>
        <stp>LAST PRICE</stp>
        <tr r="I42" s="338"/>
      </tp>
      <tp t="s">
        <v>#N/A Requesting Data...2159169106</v>
        <stp/>
        <stp>BDP|938081193165986446</stp>
        <tr r="U46" s="338"/>
      </tp>
      <tp t="s">
        <v>#N/A Requesting Data...3788222273</v>
        <stp/>
        <stp>BDP|345620769730348823</stp>
        <tr r="G20" s="446"/>
      </tp>
      <tp t="s">
        <v>#N/A N/A</v>
        <stp/>
        <stp>BDP|771655587750732627</stp>
        <tr r="AI23" s="1"/>
      </tp>
      <tp t="s">
        <v>#N/A Requesting Data...2302879703</v>
        <stp/>
        <stp>BDP|602924412615549500</stp>
        <tr r="V178" s="89"/>
      </tp>
      <tp>
        <v>0.31362602114677429</v>
        <stp/>
        <stp>BDP|1525054646503839834|22</stp>
        <stp>MSFT US 03/20/26 C490 Equity</stp>
        <stp>DELTA_MID_RT</stp>
        <tr r="AF19" s="2"/>
      </tp>
      <tp>
        <v>-1.5119171002879739E-3</v>
        <stp/>
        <stp>BDP|4454416625777837945|22</stp>
        <stp>AMAT US 01/16/26 P290 Equity</stp>
        <stp>DELTA_MID_RT</stp>
        <tr r="W62" s="89"/>
      </tp>
      <tp t="s">
        <v>USD</v>
        <stp/>
        <stp>BDP|5876029209403858680|22</stp>
        <stp>TSM US 06/18/26 C340 Equity</stp>
        <stp>QUOTED_CURRENCY_REALTIME</stp>
        <tr r="G26" s="2"/>
        <tr r="G28" s="2"/>
        <tr r="F13" s="89"/>
      </tp>
      <tp>
        <v>0.18823713064193726</v>
        <stp/>
        <stp>BDP|4316414877333174269|22</stp>
        <stp>NFLX US 03/20/26 C104 Equity</stp>
        <stp>DELTA_MID_RT</stp>
        <tr r="AF23" s="2"/>
      </tp>
      <tp>
        <v>-1.7135964706540108E-2</v>
        <stp/>
        <stp>BDP|1593024835823764098|22</stp>
        <stp>AMAT US 01/23/26 P280 Equity</stp>
        <stp>DELTA_MID_RT</stp>
        <tr r="AF22" s="2"/>
        <tr r="W56" s="89"/>
      </tp>
      <tp t="s">
        <v>#N/A Invalid Security</v>
        <stp/>
        <stp>BDP|17632138480766488098|22</stp>
        <stp>KLAC US 02/06/26 C1600 Equity</stp>
        <stp>DELTA_MID_RT</stp>
        <tr r="W27" s="89"/>
      </tp>
      <tp>
        <v>98.31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Data...3374301479</v>
        <stp/>
        <stp>BDP|764078797243992127</stp>
        <tr r="D56" s="89"/>
      </tp>
      <tp t="s">
        <v>#N/A Requesting Data...2946450101</v>
        <stp/>
        <stp>BDP|237201852408926413</stp>
        <tr r="U35" s="338"/>
      </tp>
      <tp t="s">
        <v>#N/A Requesting Data...3705460096</v>
        <stp/>
        <stp>BDP|410647168382881996</stp>
        <tr r="V54" s="338"/>
      </tp>
      <tp t="s">
        <v>#N/A Requesting Data...4129230464</v>
        <stp/>
        <stp>BDP|981114986491900309</stp>
        <tr r="F8" s="252"/>
      </tp>
      <tp t="s">
        <v>#N/A Requesting Data...2702025136</v>
        <stp/>
        <stp>BDP|612746655750406928</stp>
        <tr r="S16" s="338"/>
        <tr r="S38" s="338"/>
      </tp>
      <tp t="s">
        <v>#N/A Requesting Data...3554471980</v>
        <stp/>
        <stp>BDP|354957367580482468</stp>
        <tr r="T23" s="2"/>
      </tp>
      <tp t="s">
        <v>#N/A Requesting Data...2005629269</v>
        <stp/>
        <stp>BDP|391308238739080354</stp>
        <tr r="C81" s="89"/>
      </tp>
      <tp t="s">
        <v>#N/A Real Time</v>
        <stp/>
        <stp>BDP|9931751547643048436|22</stp>
        <stp>4OK5C 21300 Index</stp>
        <stp>bid</stp>
        <tr r="K115" s="89"/>
      </tp>
      <tp t="s">
        <v>USD</v>
        <stp/>
        <stp>BDP|6095091838254785398|22</stp>
        <stp>TSM US 01/16/26 P315 Equity</stp>
        <stp>QUOTED_CURRENCY_REALTIME</stp>
        <tr r="G33" s="2"/>
        <tr r="F197" s="89"/>
      </tp>
      <tp>
        <v>351.71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80.459999999999994</v>
        <stp/>
        <stp>BDP|15428137786848034213|22</stp>
        <stp>MRVL Equity</stp>
        <stp>LAST PRICE</stp>
        <tr r="G37" s="338"/>
      </tp>
      <tp>
        <v>0.9</v>
        <stp/>
        <stp>BDP|9263322211361926051|22</stp>
        <stp>EWT US 01/16/26 C66.2 Equity</stp>
        <stp>bid</stp>
        <tr r="K178" s="89"/>
      </tp>
      <tp>
        <v>39.299999999999997</v>
        <stp/>
        <stp>BDP|15189910301226923788|22</stp>
        <stp>FXI Equity</stp>
        <stp>LAST_PRICE</stp>
        <tr r="H9" s="252"/>
        <tr r="H9" s="252"/>
      </tp>
      <tp>
        <v>-3.8303020410239697E-3</v>
        <stp/>
        <stp>BDP|14709293869565824739|22</stp>
        <stp>TSM US 01/16/26 P325 Equity</stp>
        <stp>DELTA_MID_RT</stp>
        <tr r="AF32" s="2"/>
        <tr r="W196" s="89"/>
      </tp>
      <tp>
        <v>80.459999999999994</v>
        <stp/>
        <stp>BDP|14735743812855208855|22</stp>
        <stp>MRVL Equity</stp>
        <stp>LAST_PRICE</stp>
        <tr r="I35" s="1"/>
      </tp>
      <tp>
        <v>3.4</v>
        <stp/>
        <stp>BDP|8082030159047074741|22</stp>
        <stp>NFLX US 03/20/26 P83 Equity</stp>
        <stp>ask</stp>
        <tr r="Q25" s="2"/>
      </tp>
      <tp>
        <v>186.23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3" s="89"/>
      </tp>
      <tp>
        <v>-4.6572290360927582E-2</v>
        <stp/>
        <stp>BDP|6222775794776934712|22</stp>
        <stp>NFLX US 03/20/26 P92 Equity</stp>
        <stp>theta_mid_rt</stp>
        <tr r="AN24" s="2"/>
      </tp>
      <tp>
        <v>7.13</v>
        <stp/>
        <stp>BDP|1603579272794795324|22</stp>
        <stp>MRVL US 03/20/26 P80 Equity</stp>
        <stp>mid</stp>
        <tr r="L16" s="2"/>
      </tp>
      <tp>
        <v>1.01</v>
        <stp/>
        <stp>BDP|7681200647090738046|22</stp>
        <stp>QQQ US 01/16/26 P622 Equity</stp>
        <stp>bid</stp>
        <tr r="K205" s="89"/>
        <tr r="K213" s="89"/>
        <tr r="P9" s="2"/>
        <tr r="P10" s="2"/>
      </tp>
      <tp t="s">
        <v>#N/A Real Time</v>
        <stp/>
        <stp>BDP|8340553546063687451|22</stp>
        <stp>4OK5C 21650 Index</stp>
        <stp>DELTA_MID_RT</stp>
        <tr r="W116" s="89"/>
      </tp>
      <tp>
        <v>30.2</v>
        <stp/>
        <stp>BDP|16808406762660954717|22</stp>
        <stp>MU US 03/20/26 P350 Equity</stp>
        <stp>bid</stp>
        <tr r="K81" s="89"/>
      </tp>
      <tp>
        <v>186.23</v>
        <stp/>
        <stp>BDP|10556089213855348182|22</stp>
        <stp>NVDA Equity</stp>
        <stp>LAST_PRICE</stp>
        <tr r="I34" s="1"/>
      </tp>
      <tp>
        <v>7.7</v>
        <stp/>
        <stp>BDP|3429946602385955361|22</stp>
        <stp>NFLX US 03/20/26 P92 Equity</stp>
        <stp>bid</stp>
        <tr r="P24" s="2"/>
      </tp>
      <tp>
        <v>0.49329280853271484</v>
        <stp/>
        <stp>BDP|3367401678798717289|22</stp>
        <stp>W US 05/15/26 C125 Equity</stp>
        <stp>DELTA_MID_RT</stp>
        <tr r="W40" s="89"/>
      </tp>
      <tp>
        <v>104.28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54.44</v>
        <stp/>
        <stp>BDP|11210988692762470107|22</stp>
        <stp>XLF Equity</stp>
        <stp>LAST_PRICE</stp>
        <tr r="I40" s="1"/>
      </tp>
      <tp>
        <v>3.4514530561864376E-3</v>
        <stp/>
        <stp>BDP|12492272964442043253|22</stp>
        <stp>QQQ US 01/16/26 C635 Equity</stp>
        <stp>DELTA_MID_RT</stp>
        <tr r="W203" s="89"/>
        <tr r="W211" s="89"/>
        <tr r="AF7" s="2"/>
      </tp>
      <tp t="s">
        <v>#N/A Real Time</v>
        <stp/>
        <stp>BDP|7909497283026172618|22</stp>
        <stp>4OK5C 21300 Index</stp>
        <stp>DELTA_MID_RT</stp>
        <tr r="W115" s="89"/>
      </tp>
      <tp>
        <v>-8.7764663621783257E-3</v>
        <stp/>
        <stp>BDP|5598166511208398697|22</stp>
        <stp>ASHR US 02/20/26 C35 Equity</stp>
        <stp>theta_mid_rt</stp>
        <tr r="AN4" s="2"/>
      </tp>
      <tp>
        <v>165.4</v>
        <stp/>
        <stp>BDP|16076910053857732698|22</stp>
        <stp>BABA Equity</stp>
        <stp>LAST_PRICE</stp>
        <tr r="I12" s="1"/>
      </tp>
      <tp>
        <v>0.81</v>
        <stp/>
        <stp>BDP|5132776150139742647|22</stp>
        <stp>QQQ US 01/15/26 P622 Equity</stp>
        <stp>ask</stp>
        <tr r="L69" s="89"/>
        <tr r="L75" s="89"/>
      </tp>
      <tp t="s">
        <v>#N/A Real Time</v>
        <stp/>
        <stp>BDP|16732714406053690944|22</stp>
        <stp>KMU5 Index</stp>
        <stp>LAST PRICE</stp>
        <tr r="L13" s="446"/>
      </tp>
      <tp>
        <v>66.25</v>
        <stp/>
        <stp>BDP|16675559367525942243|22</stp>
        <stp>TTE Equity</stp>
        <stp>LAST PRICE</stp>
        <tr r="I29" s="338"/>
      </tp>
      <tp>
        <v>0.58431905508041382</v>
        <stp/>
        <stp>BDP|16687792746206833445|22</stp>
        <stp>TSM US 06/18/26 C340 Equity</stp>
        <stp>DELTA_MID_RT</stp>
        <tr r="AF26" s="2"/>
        <tr r="AF28" s="2"/>
        <tr r="W13" s="89"/>
      </tp>
      <tp>
        <v>4101.9139999999998</v>
        <stp/>
        <stp>BDP|8077747707676540560|22</stp>
        <stp>SHCOMP Index</stp>
        <stp>LAST_PRICE</stp>
        <tr r="H20" s="252"/>
        <tr r="H20" s="252"/>
      </tp>
      <tp>
        <v>0.7</v>
        <stp/>
        <stp>BDP|9553145545070053911|22</stp>
        <stp>QQQ US 01/15/26 P622 Equity</stp>
        <stp>bid</stp>
        <tr r="K75" s="89"/>
        <tr r="K69" s="89"/>
      </tp>
      <tp>
        <v>108.74</v>
        <stp/>
        <stp>BDP|11576966289528241643|22</stp>
        <stp>HOOD Equity</stp>
        <stp>LAST PRICE</stp>
        <tr r="L5" s="446"/>
        <tr r="L6" s="446"/>
      </tp>
      <tp>
        <v>307.70999999999998</v>
        <stp/>
        <stp>BDP|11480194431422165155|22</stp>
        <stp>CEG Equity</stp>
        <stp>LAST_PRICE</stp>
        <tr r="I38" s="1"/>
        <tr r="I39" s="1"/>
      </tp>
      <tp>
        <v>0.58935725688934326</v>
        <stp/>
        <stp>BDP|15150595801257451367|22</stp>
        <stp>TSM US 07/17/26 C340 Equity</stp>
        <stp>DELTA_MID_RT</stp>
        <tr r="W19" s="89"/>
      </tp>
      <tp>
        <v>324.25</v>
        <stp/>
        <stp>BDP|13530810646219131800|22</stp>
        <stp>LITE Equity</stp>
        <stp>LAST_PRICE</stp>
        <tr r="I30" s="1"/>
      </tp>
      <tp>
        <v>0.01</v>
        <stp/>
        <stp>BDP|4962749215526977152|22</stp>
        <stp>TSM US 01/16/26 P325 Equity</stp>
        <stp>ask</stp>
        <tr r="Q32" s="2"/>
        <tr r="L19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286.20999999999998</v>
        <stp/>
        <stp>BDP|13659659385475398852|22</stp>
        <stp>ACN Equity</stp>
        <stp>LAST PRICE</stp>
        <tr r="L8" s="446"/>
      </tp>
      <tp t="s">
        <v>#N/A Real Time</v>
        <stp/>
        <stp>BDP|8060157925001873899|22</stp>
        <stp>4OZ5C 25750 Index</stp>
        <stp>bid</stp>
        <tr r="K153" s="89"/>
        <tr r="K154" s="89"/>
      </tp>
      <tp>
        <v>7.3</v>
        <stp/>
        <stp>BDP|8734482328934403813|22</stp>
        <stp>MRVL US 03/20/26 P80 Equity</stp>
        <stp>ask</stp>
        <tr r="Q16" s="2"/>
      </tp>
      <tp>
        <v>2.29</v>
        <stp/>
        <stp>BDP|8993060904794494053|22</stp>
        <stp>NFLX US 03/20/26 P80 Equity</stp>
        <stp>bid</stp>
        <tr r="K188" s="89"/>
      </tp>
      <tp>
        <v>1.53</v>
        <stp/>
        <stp>BDP|7163798778722749172|22</stp>
        <stp>QQQ US 01/16/26 P622 Equity</stp>
        <stp>ask</stp>
        <tr r="L205" s="89"/>
        <tr r="L213" s="89"/>
        <tr r="Q9" s="2"/>
        <tr r="Q10" s="2"/>
      </tp>
      <tp>
        <v>351.71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1.27</v>
        <stp/>
        <stp>BDP|9143895547051561570|22</stp>
        <stp>QQQ US 01/16/26 P622 Equity</stp>
        <stp>mid</stp>
        <tr r="L9" s="2"/>
        <tr r="L10" s="2"/>
      </tp>
      <tp>
        <v>-0.38738715648651123</v>
        <stp/>
        <stp>BDP|16567055746554839531|22</stp>
        <stp>MU US 03/20/26 P350 Equity</stp>
        <stp>DELTA_MID_RT</stp>
        <tr r="W81" s="89"/>
      </tp>
      <tp>
        <v>80.77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3" s="89"/>
      </tp>
      <tp>
        <v>30.7</v>
        <stp/>
        <stp>BDP|10412858753154223263|22</stp>
        <stp>MU US 03/20/26 P350 Equity</stp>
        <stp>ask</stp>
        <tr r="L81" s="89"/>
      </tp>
      <tp>
        <v>0.15478511154651642</v>
        <stp/>
        <stp>BDP|9935221880457496648|22</stp>
        <stp>META US 04/17/26 C750 Equity</stp>
        <stp>DELTA_MID_RT</stp>
        <tr r="W169" s="89"/>
      </tp>
      <tp>
        <v>5115.91</v>
        <stp/>
        <stp>BDP|13402169581729532440|22</stp>
        <stp>BKNG Equity</stp>
        <stp>LAST PRICE</stp>
        <tr r="G12" s="338"/>
      </tp>
      <tp>
        <v>-0.77327650785446167</v>
        <stp/>
        <stp>BDP|15758321286058819892|22</stp>
        <stp>QQQ US 01/16/26 P622 Equity</stp>
        <stp>DELTA_MID_RT</stp>
        <tr r="W205" s="89"/>
        <tr r="W213" s="89"/>
        <tr r="AF9" s="2"/>
        <tr r="AF10" s="2"/>
      </tp>
      <tp>
        <v>0.41076299548149109</v>
        <stp/>
        <stp>BDP|17478839230977938286|22</stp>
        <stp>TSM US 06/18/26 C380 Equity</stp>
        <stp>DELTA_MID_RT</stp>
        <tr r="AF27" s="2"/>
        <tr r="AF29" s="2"/>
        <tr r="W14" s="89"/>
      </tp>
      <tp>
        <v>0.83159583806991577</v>
        <stp/>
        <stp>BDP|16089778845299134572|22</stp>
        <stp>TSM US 03/20/26 C300 Equity</stp>
        <stp>DELTA_MID_RT</stp>
        <tr r="AF30" s="2"/>
        <tr r="W7" s="89"/>
      </tp>
      <tp>
        <v>6.5</v>
        <stp/>
        <stp>BDP|4874141046161399317|22</stp>
        <stp>NFLX US 03/20/26 P90 Equity</stp>
        <stp>bid</stp>
        <tr r="K187" s="89"/>
      </tp>
      <tp>
        <v>227.11</v>
        <stp/>
        <stp>BDP|18434337130911834676|22</stp>
        <stp>CRM Equity</stp>
        <stp>LAST PRICE</stp>
        <tr r="G31" s="338"/>
        <tr r="G32" s="338"/>
        <tr r="L9" s="446"/>
      </tp>
      <tp>
        <v>342.4</v>
        <stp/>
        <stp>BDP|13113113388917834281|22</stp>
        <stp>TSM Equity</stp>
        <stp>LAST_PRICE</stp>
        <tr r="I33" s="1"/>
      </tp>
      <tp>
        <v>-0.55325502157211304</v>
        <stp/>
        <stp>BDP|16744070427508501583|22</stp>
        <stp>QQQ US 01/15/26 P622 Equity</stp>
        <stp>DELTA_MID_RT</stp>
        <tr r="W69" s="89"/>
        <tr r="W75" s="89"/>
      </tp>
      <tp>
        <v>330.34</v>
        <stp/>
        <stp>BDP|16760158171648826820|22</stp>
        <stp>GOOG Equity</stp>
        <stp>LAST_PRICE</stp>
        <tr r="I22" s="1"/>
      </tp>
      <tp>
        <v>0.03</v>
        <stp/>
        <stp>BDP|9704315770915911503|22</stp>
        <stp>ASHR US 02/20/26 C35 Equity</stp>
        <stp>bid</stp>
        <tr r="P4" s="2"/>
      </tp>
      <tp>
        <v>-0.33482342958450317</v>
        <stp/>
        <stp>BDP|4306646786803793992|22</stp>
        <stp>META US 04/17/26 P590 Equity</stp>
        <stp>DELTA_MID_RT</stp>
        <tr r="W171" s="89"/>
      </tp>
      <tp>
        <v>0.51798981428146362</v>
        <stp/>
        <stp>BDP|4501009432432220735|22</stp>
        <stp>AMZN US 02/13/26 C240 Equity</stp>
        <stp>DELTA_MID_RT</stp>
        <tr r="W234" s="89"/>
      </tp>
      <tp t="s">
        <v>#N/A N/A</v>
        <stp/>
        <stp>BDP|9153761627908789010|22</stp>
        <stp>TSM US 01/16/26 P325 Equity</stp>
        <stp>bid</stp>
        <tr r="P32" s="2"/>
        <tr r="K196" s="89"/>
      </tp>
      <tp t="s">
        <v>#N/A Real Time</v>
        <stp/>
        <stp>BDP|3703572431849033805|22</stp>
        <stp>3OF5C    22500 Index</stp>
        <stp>DELTA_MID_RT</stp>
        <tr r="W109" s="89"/>
      </tp>
      <tp>
        <v>5780</v>
        <stp/>
        <stp>BDP|18259571086573127790|22</stp>
        <stp>HCTA Index</stp>
        <stp>LAST PRICE</stp>
        <tr r="L12" s="446"/>
      </tp>
      <tp>
        <v>0.5</v>
        <stp/>
        <stp>BDP|8465872380432047250|22</stp>
        <stp>ASHR US 02/20/26 C35 Equity</stp>
        <stp>ask</stp>
        <tr r="Q4" s="2"/>
      </tp>
      <tp>
        <v>342.4</v>
        <stp/>
        <stp>BDP|18226792745994375460|22</stp>
        <stp>TSM Equity</stp>
        <stp>LAST PRICE</stp>
        <tr r="G13" s="338"/>
        <tr r="G34" s="338"/>
      </tp>
      <tp>
        <v>3.9505497552454472E-3</v>
        <stp/>
        <stp>BDP|11292885437955738515|22</stp>
        <stp>QQQ US 01/16/26 C633 Equity</stp>
        <stp>DELTA_MID_RT</stp>
        <tr r="W204" s="89"/>
        <tr r="W212" s="89"/>
        <tr r="AF8" s="2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0.43491151928901672</v>
        <stp/>
        <stp>BDP|18231477560940764707|22</stp>
        <stp>TSM US 07/17/26 C380 Equity</stp>
        <stp>DELTA_MID_RT</stp>
        <tr r="W20" s="89"/>
      </tp>
      <tp>
        <v>4731.87</v>
        <stp/>
        <stp>BDP|6933862981827794123|22</stp>
        <stp>SHSZ300 Index</stp>
        <stp>LAST_PRICE</stp>
        <tr r="H8" s="252"/>
        <tr r="H8" s="252"/>
      </tp>
      <tp>
        <v>7.8</v>
        <stp/>
        <stp>BDP|9830961858792761021|22</stp>
        <stp>NFLX US 03/20/26 P92 Equity</stp>
        <stp>mid</stp>
        <tr r="L24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P&amp;L'!$B$12:$B$41</c:f>
              <c:strCache>
                <c:ptCount val="30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QQQE</c:v>
                </c:pt>
                <c:pt idx="4">
                  <c:v>QQQ</c:v>
                </c:pt>
                <c:pt idx="5">
                  <c:v>QQQ</c:v>
                </c:pt>
                <c:pt idx="6">
                  <c:v>RSP</c:v>
                </c:pt>
                <c:pt idx="7">
                  <c:v>RSP</c:v>
                </c:pt>
                <c:pt idx="8">
                  <c:v>GDX </c:v>
                </c:pt>
                <c:pt idx="9">
                  <c:v>NFLX</c:v>
                </c:pt>
                <c:pt idx="10">
                  <c:v>GOOG</c:v>
                </c:pt>
                <c:pt idx="11">
                  <c:v>AMZN</c:v>
                </c:pt>
                <c:pt idx="12">
                  <c:v>META</c:v>
                </c:pt>
                <c:pt idx="13">
                  <c:v>MSFT</c:v>
                </c:pt>
                <c:pt idx="14">
                  <c:v>000660 KS</c:v>
                </c:pt>
                <c:pt idx="15">
                  <c:v>EWY</c:v>
                </c:pt>
                <c:pt idx="16">
                  <c:v>EWY</c:v>
                </c:pt>
                <c:pt idx="17">
                  <c:v>COHR</c:v>
                </c:pt>
                <c:pt idx="18">
                  <c:v>LITE</c:v>
                </c:pt>
                <c:pt idx="19">
                  <c:v>AVGO</c:v>
                </c:pt>
                <c:pt idx="20">
                  <c:v>AVGO</c:v>
                </c:pt>
                <c:pt idx="21">
                  <c:v>TSM</c:v>
                </c:pt>
                <c:pt idx="22">
                  <c:v>NVDA</c:v>
                </c:pt>
                <c:pt idx="23">
                  <c:v>MRVL</c:v>
                </c:pt>
                <c:pt idx="24">
                  <c:v>AMAT</c:v>
                </c:pt>
                <c:pt idx="25">
                  <c:v>RIOT</c:v>
                </c:pt>
                <c:pt idx="26">
                  <c:v>CEG</c:v>
                </c:pt>
                <c:pt idx="27">
                  <c:v>CEG</c:v>
                </c:pt>
                <c:pt idx="28">
                  <c:v>XLF</c:v>
                </c:pt>
                <c:pt idx="29">
                  <c:v>XLP</c:v>
                </c:pt>
              </c:strCache>
            </c:strRef>
          </c:cat>
          <c:val>
            <c:numRef>
              <c:f>'Master P&amp;L'!$J$12:$J$41</c:f>
              <c:numCache>
                <c:formatCode>0.00%</c:formatCode>
                <c:ptCount val="30"/>
                <c:pt idx="0">
                  <c:v>-3.2352424969285698E-2</c:v>
                </c:pt>
                <c:pt idx="1">
                  <c:v>8.7014725568934637E-4</c:v>
                </c:pt>
                <c:pt idx="2">
                  <c:v>-1.1778563015312105E-2</c:v>
                </c:pt>
                <c:pt idx="3">
                  <c:v>-1.914241960183749E-3</c:v>
                </c:pt>
                <c:pt idx="4">
                  <c:v>-8.3630866222772493E-4</c:v>
                </c:pt>
                <c:pt idx="5">
                  <c:v>9.6587250482782494E-5</c:v>
                </c:pt>
                <c:pt idx="6">
                  <c:v>-2.5556223692122515E-3</c:v>
                </c:pt>
                <c:pt idx="7">
                  <c:v>-5.023610971566228E-5</c:v>
                </c:pt>
                <c:pt idx="8">
                  <c:v>1.3386880856760541E-3</c:v>
                </c:pt>
                <c:pt idx="9">
                  <c:v>-5.6785917092561089E-4</c:v>
                </c:pt>
                <c:pt idx="10">
                  <c:v>-8.4644014887743646E-3</c:v>
                </c:pt>
                <c:pt idx="11">
                  <c:v>3.9465950121757576E-3</c:v>
                </c:pt>
                <c:pt idx="12">
                  <c:v>-8.8595360824739178E-4</c:v>
                </c:pt>
                <c:pt idx="13">
                  <c:v>7.0074015679060242E-3</c:v>
                </c:pt>
                <c:pt idx="14">
                  <c:v>2.6455026455025621E-3</c:v>
                </c:pt>
                <c:pt idx="15">
                  <c:v>1.0535794687077882E-2</c:v>
                </c:pt>
                <c:pt idx="16">
                  <c:v>3.1286314472154242E-3</c:v>
                </c:pt>
                <c:pt idx="17">
                  <c:v>-2.5107164727495523E-2</c:v>
                </c:pt>
                <c:pt idx="18">
                  <c:v>-5.5408279197133425E-2</c:v>
                </c:pt>
                <c:pt idx="19">
                  <c:v>2.5333799778438637E-2</c:v>
                </c:pt>
                <c:pt idx="20">
                  <c:v>1.2377306352724382E-2</c:v>
                </c:pt>
                <c:pt idx="21">
                  <c:v>2.2245638683995317E-3</c:v>
                </c:pt>
                <c:pt idx="22">
                  <c:v>-4.3838545843358778E-3</c:v>
                </c:pt>
                <c:pt idx="23">
                  <c:v>9.9527245583486135E-4</c:v>
                </c:pt>
                <c:pt idx="24">
                  <c:v>2.485270151686092E-2</c:v>
                </c:pt>
                <c:pt idx="25">
                  <c:v>0.16113458056729013</c:v>
                </c:pt>
                <c:pt idx="26">
                  <c:v>-9.8153575615474775E-2</c:v>
                </c:pt>
                <c:pt idx="27">
                  <c:v>-3.4938058648267378E-2</c:v>
                </c:pt>
                <c:pt idx="28">
                  <c:v>1.2874747103182038E-3</c:v>
                </c:pt>
                <c:pt idx="29">
                  <c:v>-3.1564890129902601E-3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11205</xdr:colOff>
      <xdr:row>8</xdr:row>
      <xdr:rowOff>212911</xdr:rowOff>
    </xdr:from>
    <xdr:to>
      <xdr:col>19</xdr:col>
      <xdr:colOff>728381</xdr:colOff>
      <xdr:row>47</xdr:row>
      <xdr:rowOff>76646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6DFBD8-EE16-55ED-3A7F-8EEF0A086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56058" y="1837764"/>
          <a:ext cx="4538382" cy="81448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38.756951041665" createdVersion="8" refreshedVersion="8" minRefreshableVersion="3" recordCount="30" xr:uid="{C35D4399-4CEF-409A-AF8E-A02DC4C552E4}">
  <cacheSource type="worksheet">
    <worksheetSource name="Tabelad"/>
  </cacheSource>
  <cacheFields count="34">
    <cacheField name="Ticker" numFmtId="172">
      <sharedItems containsBlank="1" count="176">
        <s v="BABA"/>
        <s v="BIDU"/>
        <s v="ASHR"/>
        <s v="QQQE"/>
        <s v="QQQ"/>
        <s v="RSP"/>
        <s v="GDX "/>
        <s v="NFLX"/>
        <s v="GOOG"/>
        <s v="AMZN"/>
        <s v="META"/>
        <s v="MSFT"/>
        <s v="000660 KS"/>
        <s v="EWY"/>
        <s v="COHR"/>
        <s v="LITE"/>
        <s v="AVGO"/>
        <s v="TSM"/>
        <s v="NVDA"/>
        <s v="MRVL"/>
        <s v="AMAT"/>
        <s v="RIOT"/>
        <s v="CEG"/>
        <s v="XLF"/>
        <s v="XLP"/>
        <s v="V" u="1"/>
        <s v="MA" u="1"/>
        <s v="SOXX" u="1"/>
        <s v="WBD" u="1"/>
        <s v="SMH" u="1"/>
        <s v="GDX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4500"/>
    </cacheField>
    <cacheField name="Price Today" numFmtId="43">
      <sharedItems containsSemiMixedTypes="0" containsString="0" containsNumber="1" minValue="19.225000000000001" maxValue="758000"/>
    </cacheField>
    <cacheField name="% Chg" numFmtId="10">
      <sharedItems containsSemiMixedTypes="0" containsString="0" containsNumber="1" minValue="-9.8153575615474775E-2" maxValue="0.16022933011466511"/>
    </cacheField>
    <cacheField name="Price Yest" numFmtId="43">
      <sharedItems containsSemiMixedTypes="0" containsString="0" containsNumber="1" minValue="16.57" maxValue="756000"/>
    </cacheField>
    <cacheField name="FX" numFmtId="168">
      <sharedItems containsSemiMixedTypes="0" containsString="0" containsNumber="1" minValue="1" maxValue="1474.85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2488125" maxValue="4993790"/>
    </cacheField>
    <cacheField name="D1 Exp %" numFmtId="198">
      <sharedItems containsString="0" containsBlank="1" containsNumber="1" minValue="-1.1035020968735202E-3" maxValue="2.2147833152860153E-3"/>
    </cacheField>
    <cacheField name="D1 P&amp;L bps" numFmtId="170">
      <sharedItems containsSemiMixedTypes="0" containsString="0" containsNumber="1" minValue="-0.49015118308031502" maxValue="0.32759681441070104"/>
    </cacheField>
    <cacheField name="Options Exp USD (delta adj)" numFmtId="166">
      <sharedItems containsString="0" containsBlank="1" containsNumber="1" minValue="-3636955.1935815951" maxValue="3952082.2460055361"/>
    </cacheField>
    <cacheField name="Option Exp %" numFmtId="10">
      <sharedItems containsString="0" containsBlank="1" containsNumber="1" minValue="-1.6130169032312807E-3" maxValue="1.7527781142361097E-3"/>
    </cacheField>
    <cacheField name="Options P&amp;L bps" numFmtId="170">
      <sharedItems containsString="0" containsBlank="1" containsNumber="1" minValue="-0.36655894823047858" maxValue="3.986023650600657E-2"/>
    </cacheField>
    <cacheField name="Exp" numFmtId="166">
      <sharedItems containsSemiMixedTypes="0" containsString="0" containsNumber="1" minValue="-3636955.1935815951" maxValue="8916882.2460055351"/>
    </cacheField>
    <cacheField name="Exp %" numFmtId="173">
      <sharedItems containsString="0" containsBlank="1" containsNumber="1" minValue="-1.6130169032312807E-3" maxValue="3.9547041471153475E-3"/>
    </cacheField>
    <cacheField name="P&amp;L bps" numFmtId="170">
      <sharedItems containsSemiMixedTypes="0" containsString="0" containsNumber="1" minValue="-0.49015118308031502" maxValue="0.36252302998620062"/>
    </cacheField>
    <cacheField name="xx" numFmtId="166">
      <sharedItems containsSemiMixedTypes="0" containsString="0" containsNumber="1" minValue="1198.0719753483993" maxValue="38703.177667100128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15574.999999999998"/>
    </cacheField>
    <cacheField name="Beta Adj" numFmtId="170">
      <sharedItems containsSemiMixedTypes="0" containsString="0" containsNumber="1" minValue="-0.112052289320415" maxValue="0.83804773870575033"/>
    </cacheField>
    <cacheField name="Expo Beta Adj" numFmtId="10">
      <sharedItems containsSemiMixedTypes="0" containsString="0" containsNumber="1" minValue="-1.6146959498143389E-3" maxValue="5.8479682760223441E-3"/>
    </cacheField>
    <cacheField name="Vol 10d" numFmtId="43">
      <sharedItems containsSemiMixedTypes="0" containsString="0" containsNumber="1" minValue="11.030672733113587" maxValue="116.78335854557005"/>
    </cacheField>
    <cacheField name="Beta Adj2" numFmtId="43">
      <sharedItems containsSemiMixedTypes="0" containsString="0" containsNumber="1" minValue="0.8693845272064209" maxValue="2.2279152870178223"/>
    </cacheField>
    <cacheField name="Daily P&amp;L" numFmtId="166">
      <sharedItems containsSemiMixedTypes="0" containsString="0" containsNumber="1" minValue="-103319.36000244606" maxValue="69054.394587083196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5.4806600000000004E-2" maxValue="6.8195599999999995E-2"/>
    </cacheField>
    <cacheField name="Column4" numFmtId="170">
      <sharedItems containsMixedTypes="1" containsNumber="1" minValue="-0.24682513248960508" maxValue="0.24682513248960508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m/>
    <s v="USD"/>
    <s v="Long"/>
    <m/>
    <n v="3378"/>
    <n v="165.4"/>
    <n v="-3.2352424969285698E-2"/>
    <n v="170.93"/>
    <n v="1"/>
    <n v="1"/>
    <n v="558721.20000000007"/>
    <n v="2.4779704225780035E-4"/>
    <n v="-8.2848708808079582E-2"/>
    <n v="0"/>
    <n v="0"/>
    <n v="0"/>
    <n v="558721.20000000007"/>
    <n v="2.4779704225780035E-4"/>
    <n v="-8.2848708808079582E-2"/>
    <n v="4498.6009108222488"/>
    <m/>
    <n v="1182.3"/>
    <n v="0.10951772537874137"/>
    <n v="2.1543091442644726E-4"/>
    <n v="70.714468183072199"/>
    <n v="0.8693845272064209"/>
    <n v="-17463.745608622143"/>
    <m/>
    <s v="20/02/2026"/>
    <e v="#VALUE!"/>
    <e v="#VALUE!"/>
    <s v="12/06/2025"/>
  </r>
  <r>
    <x v="1"/>
    <x v="0"/>
    <m/>
    <s v="USD"/>
    <s v="Long"/>
    <m/>
    <n v="3510"/>
    <n v="149.53"/>
    <n v="8.7014725568934637E-4"/>
    <n v="149.4"/>
    <n v="1"/>
    <n v="1"/>
    <n v="524850.30000000005"/>
    <n v="2.3277504409734086E-4"/>
    <n v="2.0237247196317294E-3"/>
    <n v="0"/>
    <n v="0"/>
    <n v="0"/>
    <n v="524850.30000000005"/>
    <n v="2.3277504409734086E-4"/>
    <n v="2.0237247196317294E-3"/>
    <n v="4976.0488908580219"/>
    <m/>
    <n v="1228.4999999999998"/>
    <n v="6.540623417449902E-2"/>
    <n v="2.4305042390757362E-4"/>
    <n v="44.957557664745352"/>
    <n v="1.0441429615020752"/>
    <n v="426.58255263094793"/>
    <m/>
    <s v="17/02/2026"/>
    <e v="#VALUE!"/>
    <e v="#VALUE!"/>
    <s v="#N/A Field Not Applicable"/>
  </r>
  <r>
    <x v="2"/>
    <x v="0"/>
    <m/>
    <s v="USD"/>
    <s v="Long"/>
    <m/>
    <m/>
    <n v="33.56"/>
    <n v="-1.1778563015312105E-2"/>
    <n v="33.96"/>
    <n v="1"/>
    <n v="1"/>
    <n v="0"/>
    <n v="0"/>
    <n v="0"/>
    <n v="1254703.8451731207"/>
    <n v="5.5647056482443905E-4"/>
    <n v="-0.11359912026123871"/>
    <n v="1254703.8451731207"/>
    <n v="5.5647056482443905E-4"/>
    <n v="-0.11359912026123871"/>
    <n v="22171.292927592371"/>
    <m/>
    <n v="13085.409589111805"/>
    <n v="5.6486078938343724E-2"/>
    <n v="6.3648162351943936E-4"/>
    <n v="16.241241139118156"/>
    <n v="1.1437830924987793"/>
    <n v="0"/>
    <m/>
    <s v="#N/A N/A"/>
    <n v="-7.0670750000000008E-3"/>
    <n v="-3.9326192169066729E-2"/>
    <s v="19/12/2025"/>
  </r>
  <r>
    <x v="3"/>
    <x v="1"/>
    <m/>
    <s v="USD"/>
    <s v="Short"/>
    <m/>
    <n v="-10000"/>
    <n v="104.28"/>
    <n v="-1.914241960183749E-3"/>
    <n v="104.48"/>
    <n v="1"/>
    <n v="1"/>
    <n v="-1042800"/>
    <n v="-4.6248962034451925E-4"/>
    <n v="8.8701499874285737E-3"/>
    <n v="0"/>
    <n v="0"/>
    <n v="0"/>
    <n v="-1042800"/>
    <n v="-4.6248962034451925E-4"/>
    <n v="8.8701499874285737E-3"/>
    <n v="7135.2952689873418"/>
    <m/>
    <n v="-3499.9999999999995"/>
    <n v="-3.484698869613282E-2"/>
    <n v="-4.6157956650504827E-4"/>
    <n v="12.055445022156213"/>
    <n v="0.99803227186203003"/>
    <n v="1869.7460119700588"/>
    <m/>
    <s v="#N/A N/A"/>
    <n v="6.9018520000000009E-3"/>
    <n v="-3.1920349111540611E-2"/>
    <s v="23/12/2025"/>
  </r>
  <r>
    <x v="4"/>
    <x v="1"/>
    <m/>
    <s v="USD"/>
    <s v="Short"/>
    <m/>
    <n v="0"/>
    <n v="621.05499999999995"/>
    <n v="-1.1660072694522627E-3"/>
    <n v="621.78"/>
    <n v="1"/>
    <n v="1"/>
    <n v="0"/>
    <n v="0"/>
    <n v="0"/>
    <n v="-3636955.1935815951"/>
    <n v="-1.6130169032312807E-3"/>
    <n v="-0.13326695037474248"/>
    <n v="-3636955.1935815951"/>
    <n v="-1.6130169032312807E-3"/>
    <n v="-0.13326695037474248"/>
    <n v="1198.0719753483993"/>
    <m/>
    <n v="-2049.6321867685765"/>
    <n v="-0.112052289320415"/>
    <n v="-1.6146959498143389E-3"/>
    <n v="11.114803729180613"/>
    <n v="1.0010409355163574"/>
    <n v="0"/>
    <m/>
    <s v="#N/A N/A"/>
    <n v="5.6932959999999996E-3"/>
    <n v="-9.1833826830990381E-2"/>
    <s v="22/12/2025"/>
  </r>
  <r>
    <x v="4"/>
    <x v="1"/>
    <m/>
    <s v="USD"/>
    <s v="Short"/>
    <m/>
    <n v="7500"/>
    <n v="621.05499999999995"/>
    <n v="-2.3341918866726097E-4"/>
    <n v="621.20000000000005"/>
    <n v="1"/>
    <n v="1"/>
    <n v="4657912.5"/>
    <n v="2.0658191251658902E-3"/>
    <n v="-4.8231440556673949E-3"/>
    <m/>
    <m/>
    <m/>
    <n v="4657912.5"/>
    <n v="2.0658191251658902E-3"/>
    <n v="-4.8231440556673949E-3"/>
    <n v="1198.0719753483993"/>
    <m/>
    <n v="2625"/>
    <n v="0.14350733822629044"/>
    <n v="2.0679695096636457E-3"/>
    <n v="11.114803729180613"/>
    <n v="1.0010409355163574"/>
    <n v="-1016.6743940093746"/>
    <m/>
    <s v="#N/A N/A"/>
    <n v="5.6932959999999996E-3"/>
    <n v="0.11761319762030463"/>
    <s v="22/12/2025"/>
  </r>
  <r>
    <x v="5"/>
    <x v="1"/>
    <m/>
    <s v="USD"/>
    <s v="Short"/>
    <m/>
    <n v="-12500"/>
    <n v="199.05"/>
    <n v="-2.5556223692122515E-3"/>
    <n v="199.56"/>
    <n v="1"/>
    <n v="1"/>
    <n v="-2488125"/>
    <n v="-1.1035020968735202E-3"/>
    <n v="2.827360308492767E-2"/>
    <n v="0"/>
    <n v="0"/>
    <n v="0"/>
    <n v="-2488125"/>
    <n v="-1.1035020968735202E-3"/>
    <n v="2.827360308492767E-2"/>
    <n v="3738.0989231348908"/>
    <m/>
    <n v="-4374.9999999999991"/>
    <n v="-7.6077315568227541E-2"/>
    <n v="-1.0995413929183804E-3"/>
    <n v="11.030672733113587"/>
    <n v="0.9964107871055603"/>
    <n v="5959.8154131543715"/>
    <m/>
    <s v="#N/A N/A"/>
    <e v="#VALUE!"/>
    <e v="#VALUE!"/>
    <s v="22/12/2025"/>
  </r>
  <r>
    <x v="5"/>
    <x v="1"/>
    <m/>
    <s v="USD"/>
    <s v="Short"/>
    <m/>
    <n v="2500"/>
    <n v="199.05"/>
    <n v="-5.023610971566228E-5"/>
    <n v="199.06"/>
    <n v="1"/>
    <n v="1"/>
    <n v="497625"/>
    <n v="2.2070041937470404E-4"/>
    <n v="-1.1087687484275474E-4"/>
    <m/>
    <m/>
    <m/>
    <n v="497625"/>
    <n v="2.2070041937470404E-4"/>
    <n v="-1.1087687484275474E-4"/>
    <n v="3738.0989231348908"/>
    <m/>
    <n v="874.99999999999977"/>
    <n v="1.5215463113645508E-2"/>
    <n v="2.1990827858367612E-4"/>
    <n v="11.030672733113587"/>
    <n v="0.9964107871055603"/>
    <n v="-23.371825149604145"/>
    <m/>
    <s v="#N/A N/A"/>
    <e v="#VALUE!"/>
    <e v="#VALUE!"/>
    <s v="22/12/2025"/>
  </r>
  <r>
    <x v="6"/>
    <x v="2"/>
    <m/>
    <s v="USD"/>
    <s v="Long"/>
    <m/>
    <n v="27918"/>
    <n v="97.24"/>
    <n v="1.3386880856760541E-3"/>
    <n v="97.11"/>
    <n v="1"/>
    <n v="1"/>
    <n v="2714746.32"/>
    <n v="1.2040103518109711E-3"/>
    <n v="1.6096395077686218E-2"/>
    <n v="0"/>
    <n v="0"/>
    <n v="0"/>
    <n v="2714746.32"/>
    <n v="1.2040103518109711E-3"/>
    <n v="1.6096395077686218E-2"/>
    <n v="7651.877731900453"/>
    <m/>
    <n v="9771.2999999999993"/>
    <n v="0.20570442631794492"/>
    <n v="1.1921901465381725E-3"/>
    <n v="27.335901357797017"/>
    <n v="0.99018263816833496"/>
    <n v="3392.9719955415399"/>
    <m/>
    <s v="#N/A N/A"/>
    <n v="-8.9589409999999998E-3"/>
    <n v="-0.10786657705263733"/>
    <s v="22/12/2025"/>
  </r>
  <r>
    <x v="7"/>
    <x v="3"/>
    <m/>
    <s v="USD"/>
    <s v="Short"/>
    <m/>
    <n v="0"/>
    <n v="88"/>
    <n v="-5.6785917092561089E-4"/>
    <n v="88.05"/>
    <n v="1"/>
    <n v="1"/>
    <n v="0"/>
    <n v="0"/>
    <n v="0"/>
    <n v="-409275.65741539001"/>
    <n v="-1.8151682337389457E-4"/>
    <n v="1.1874913295669814E-2"/>
    <n v="-409275.65741539001"/>
    <n v="-1.8151682337389457E-4"/>
    <n v="1.1874913295669814E-2"/>
    <n v="8455.3248937500011"/>
    <m/>
    <n v="-1627.8009101748466"/>
    <n v="-1.5664315475637552E-2"/>
    <n v="-2.0152325334269773E-4"/>
    <n v="13.807483127552675"/>
    <n v="1.1102180480957031"/>
    <n v="0"/>
    <m/>
    <s v="20/01/2026"/>
    <n v="2.7256999999999997E-3"/>
    <n v="-4.947604054702244E-3"/>
    <s v="#N/A Field Not Applicable"/>
  </r>
  <r>
    <x v="8"/>
    <x v="3"/>
    <m/>
    <s v="USD"/>
    <s v="Long"/>
    <m/>
    <n v="1780"/>
    <n v="330.39400000000001"/>
    <n v="-8.3023172049466742E-3"/>
    <n v="333.16"/>
    <n v="1"/>
    <n v="1"/>
    <n v="588101.32000000007"/>
    <n v="2.6082734581023271E-4"/>
    <n v="-2.1836003030052262E-2"/>
    <n v="0"/>
    <n v="0"/>
    <n v="0"/>
    <n v="588101.32000000007"/>
    <n v="2.6082734581023271E-4"/>
    <n v="-2.1836003030052262E-2"/>
    <n v="2252.0644765038105"/>
    <m/>
    <n v="623"/>
    <n v="3.135021719183332E-2"/>
    <n v="2.6649949410461379E-4"/>
    <n v="19.231245616181642"/>
    <n v="1.0217467546463013"/>
    <n v="-4602.8285475071407"/>
    <m/>
    <s v="04/02/2026"/>
    <n v="5.0426000000000004E-3"/>
    <n v="1.3152479739826795E-2"/>
    <s v="08/12/2025"/>
  </r>
  <r>
    <x v="9"/>
    <x v="3"/>
    <m/>
    <s v="USD"/>
    <s v="Long"/>
    <m/>
    <n v="16435"/>
    <n v="239.09"/>
    <n v="3.8206398522127039E-3"/>
    <n v="238.18"/>
    <n v="1"/>
    <n v="1"/>
    <n v="3929444.15"/>
    <n v="1.7427379488861641E-3"/>
    <n v="6.6330316344740625E-2"/>
    <n v="0"/>
    <n v="0"/>
    <n v="0"/>
    <n v="3929444.15"/>
    <n v="1.7427379488861641E-3"/>
    <n v="6.6330316344740625E-2"/>
    <n v="3112.0857863147771"/>
    <m/>
    <n v="5752.2499999999991"/>
    <n v="0.30265991865659042"/>
    <n v="2.225582434835862E-3"/>
    <n v="27.787073217751818"/>
    <n v="1.277060866355896"/>
    <n v="13981.820446560952"/>
    <m/>
    <s v="06/02/2026"/>
    <n v="3.6107169999999998E-3"/>
    <n v="6.2925335385884046E-2"/>
    <s v="#N/A Field Not Applicable"/>
  </r>
  <r>
    <x v="10"/>
    <x v="3"/>
    <m/>
    <s v="USD"/>
    <s v="Long"/>
    <m/>
    <n v="6000"/>
    <n v="620.25"/>
    <n v="-8.8595360824739178E-4"/>
    <n v="620.79999999999995"/>
    <n v="1"/>
    <n v="1"/>
    <n v="3721500"/>
    <n v="1.6505131589107484E-3"/>
    <n v="-1.4635747479255728E-2"/>
    <n v="1264810.6624782085"/>
    <n v="5.6095301409402238E-4"/>
    <n v="-2.1155307720016895E-2"/>
    <n v="4986310.6624782085"/>
    <n v="2.2114661730047707E-3"/>
    <n v="-3.5791055199272621E-2"/>
    <n v="1199.6269095525997"/>
    <m/>
    <n v="2813.7182295322414"/>
    <n v="0.32273923797565657"/>
    <n v="2.6773262129274251E-3"/>
    <n v="23.350245509721233"/>
    <n v="1.2106566429138184"/>
    <n v="-3085.0809197502981"/>
    <m/>
    <s v="28/01/2026"/>
    <e v="#VALUE!"/>
    <e v="#VALUE!"/>
    <s v="15/12/2025"/>
  </r>
  <r>
    <x v="11"/>
    <x v="3"/>
    <m/>
    <s v="USD"/>
    <s v="Long"/>
    <m/>
    <n v="8510"/>
    <n v="459.86"/>
    <n v="7.0074015679060242E-3"/>
    <n v="456.66"/>
    <n v="1"/>
    <n v="1"/>
    <n v="3913408.6"/>
    <n v="1.7356260622046189E-3"/>
    <n v="0.12077596222882531"/>
    <n v="2968705.3308770065"/>
    <n v="1.3166430776678723E-3"/>
    <n v="3.986023650600657E-2"/>
    <n v="6882113.9308770066"/>
    <n v="3.052269139872491E-3"/>
    <n v="0.16063619873483187"/>
    <n v="1618.0328592397686"/>
    <m/>
    <n v="5237.9852037727824"/>
    <n v="0.35650976308670002"/>
    <n v="3.1105531397485368E-3"/>
    <n v="18.688247818229726"/>
    <n v="1.0190953016281128"/>
    <n v="25458.461698983869"/>
    <m/>
    <s v="28/01/2026"/>
    <e v="#VALUE!"/>
    <e v="#VALUE!"/>
    <s v="19/02/2026"/>
  </r>
  <r>
    <x v="12"/>
    <x v="4"/>
    <m/>
    <s v="KRW"/>
    <s v="Long"/>
    <m/>
    <n v="1500"/>
    <n v="758000"/>
    <n v="2.6455026455025621E-3"/>
    <n v="756000"/>
    <n v="1474.85"/>
    <n v="1"/>
    <n v="770925.85686680011"/>
    <n v="3.4191139897976559E-4"/>
    <n v="9.0214089440571379E-3"/>
    <n v="0"/>
    <n v="0"/>
    <n v="0"/>
    <n v="770925.85686680011"/>
    <n v="3.4191139897976559E-4"/>
    <n v="9.0214089440571379E-3"/>
    <n v="1447.7434840635256"/>
    <m/>
    <n v="0.35596840356646442"/>
    <n v="6.9333733741464051E-2"/>
    <n v="5.666265115540349E-4"/>
    <n v="32.445239999999998"/>
    <n v="1.657232"/>
    <n v="1901.6300084449592"/>
    <m/>
    <s v="29/01/2026"/>
    <e v="#VALUE!"/>
    <e v="#VALUE!"/>
    <s v="27/11/2025"/>
  </r>
  <r>
    <x v="13"/>
    <x v="4"/>
    <m/>
    <s v="USD"/>
    <s v="Long"/>
    <m/>
    <n v="44500"/>
    <n v="112.22"/>
    <n v="1.0535794687077882E-2"/>
    <n v="111.05"/>
    <n v="1"/>
    <n v="1"/>
    <n v="4993790"/>
    <n v="2.2147833152860153E-3"/>
    <n v="0.23091217954773138"/>
    <n v="0"/>
    <n v="0"/>
    <n v="0"/>
    <n v="4993790"/>
    <n v="2.2147833152860153E-3"/>
    <n v="0.23091217954773138"/>
    <n v="6630.445470058813"/>
    <m/>
    <n v="15574.999999999998"/>
    <n v="0.30297692766935347"/>
    <n v="2.0621442414502453E-3"/>
    <n v="21.887607736848228"/>
    <n v="0.93108171224594116"/>
    <n v="48674.163056609934"/>
    <m/>
    <s v="#N/A N/A"/>
    <n v="6.1233709999999998E-3"/>
    <n v="0.13561939924106242"/>
    <s v="16/12/2025"/>
  </r>
  <r>
    <x v="13"/>
    <x v="4"/>
    <m/>
    <s v="USD"/>
    <s v="Long"/>
    <m/>
    <n v="8180"/>
    <n v="112.22"/>
    <n v="3.1286314472154242E-3"/>
    <n v="111.87"/>
    <n v="1"/>
    <n v="1"/>
    <n v="917959.6"/>
    <n v="4.0712196671999109E-4"/>
    <n v="1.2697619707003616E-2"/>
    <m/>
    <m/>
    <m/>
    <n v="917959.6"/>
    <n v="4.0712196671999109E-4"/>
    <n v="1.2697619707003616E-2"/>
    <n v="6630.445470058813"/>
    <m/>
    <n v="2863"/>
    <n v="5.5693286928883395E-2"/>
    <n v="3.7906381786658437E-4"/>
    <n v="21.887607736848228"/>
    <n v="0.93108171224594116"/>
    <n v="2676.5414161350577"/>
    <m/>
    <s v="#N/A N/A"/>
    <n v="6.1233709999999998E-3"/>
    <n v="2.4929588444761588E-2"/>
    <s v="16/12/2025"/>
  </r>
  <r>
    <x v="14"/>
    <x v="5"/>
    <m/>
    <s v="USD"/>
    <s v="Long"/>
    <m/>
    <n v="2010"/>
    <n v="191.04"/>
    <n v="-2.5107164727495523E-2"/>
    <n v="195.96"/>
    <n v="1"/>
    <n v="1"/>
    <n v="383990.39999999997"/>
    <n v="1.703026220866322E-4"/>
    <n v="-4.3859343627838838E-2"/>
    <n v="0"/>
    <n v="0"/>
    <n v="0"/>
    <n v="383990.39999999997"/>
    <n v="1.703026220866322E-4"/>
    <n v="-4.3859343627838838E-2"/>
    <n v="3894.8313999685934"/>
    <m/>
    <n v="703.49999999999977"/>
    <n v="8.7056619252491516E-2"/>
    <n v="3.7941981516602689E-4"/>
    <n v="81.79004474348605"/>
    <n v="2.2279152870178223"/>
    <n v="-9245.1461307870504"/>
    <m/>
    <s v="05/02/2026"/>
    <n v="2.0408900000000002E-4"/>
    <n v="3.4756891839038683E-4"/>
    <s v="27/02/2004"/>
  </r>
  <r>
    <x v="15"/>
    <x v="5"/>
    <m/>
    <s v="USD"/>
    <s v="Long"/>
    <m/>
    <n v="1350"/>
    <n v="324.25"/>
    <n v="-5.5408279197133425E-2"/>
    <n v="343.27"/>
    <n v="1"/>
    <n v="1"/>
    <n v="437737.5"/>
    <n v="1.94139864006098E-4"/>
    <n v="-0.11387942061360001"/>
    <n v="934852.230258286"/>
    <n v="4.1461397492364955E-4"/>
    <n v="-0.28340129209833892"/>
    <n v="1372589.730258286"/>
    <n v="6.0875383892974757E-4"/>
    <n v="-0.39728071271193893"/>
    <n v="2294.7373651503472"/>
    <m/>
    <n v="1481.592615544796"/>
    <n v="0.44432698648578067"/>
    <n v="1.223771843663454E-3"/>
    <n v="116.78335854557005"/>
    <n v="2.0102901458740234"/>
    <n v="-24004.734174677236"/>
    <m/>
    <s v="03/02/2026"/>
    <e v="#VALUE!"/>
    <e v="#VALUE!"/>
    <s v="#N/A N/A"/>
  </r>
  <r>
    <x v="16"/>
    <x v="6"/>
    <m/>
    <s v="USD"/>
    <s v="Long"/>
    <m/>
    <n v="8500"/>
    <n v="351.71"/>
    <n v="2.5333799778438637E-2"/>
    <n v="343.02"/>
    <n v="1"/>
    <n v="1"/>
    <n v="2989535"/>
    <n v="1.3258811921333451E-3"/>
    <n v="0.32759681441070104"/>
    <n v="352096.4944824574"/>
    <n v="1.5615743580535849E-4"/>
    <n v="3.4926215575499561E-2"/>
    <n v="3341631.4944824576"/>
    <n v="1.4820386279387038E-3"/>
    <n v="0.36252302998620062"/>
    <n v="2115.5741680645988"/>
    <m/>
    <n v="3325.3846153616905"/>
    <n v="0.37057853714781619"/>
    <n v="2.9907580245477337E-3"/>
    <n v="40.007436261035764"/>
    <n v="2.0180027484893799"/>
    <n v="69054.394587083196"/>
    <m/>
    <s v="06/03/2026"/>
    <n v="9.5913030000000007E-3"/>
    <n v="0.14214681538264376"/>
    <s v="22/12/2025"/>
  </r>
  <r>
    <x v="16"/>
    <x v="6"/>
    <m/>
    <s v="USD"/>
    <s v="Long"/>
    <m/>
    <n v="3500"/>
    <n v="351.71"/>
    <n v="1.2377306352724382E-2"/>
    <n v="347.41"/>
    <n v="1"/>
    <n v="1"/>
    <n v="1230985"/>
    <n v="5.4595107911373036E-4"/>
    <n v="6.6747878655398357E-2"/>
    <m/>
    <m/>
    <m/>
    <n v="1230985"/>
    <n v="5.4595107911373036E-4"/>
    <n v="6.6747878655398357E-2"/>
    <n v="2115.5741680645988"/>
    <m/>
    <n v="1225"/>
    <n v="0.13651314374553913"/>
    <n v="1.1017307781922506E-3"/>
    <n v="40.007436261035764"/>
    <n v="2.0180027484893799"/>
    <n v="14069.838740074345"/>
    <m/>
    <s v="06/03/2026"/>
    <n v="9.5913030000000007E-3"/>
    <n v="5.2363822229567591E-2"/>
    <s v="22/12/2025"/>
  </r>
  <r>
    <x v="17"/>
    <x v="6"/>
    <m/>
    <s v="USD"/>
    <s v="Long"/>
    <m/>
    <n v="14500"/>
    <n v="342.4"/>
    <n v="2.2245638683995317E-3"/>
    <n v="341.64"/>
    <n v="1"/>
    <n v="1"/>
    <n v="4964800"/>
    <n v="2.2019260328792378E-3"/>
    <n v="4.8874526430730161E-2"/>
    <n v="3952082.2460055361"/>
    <n v="1.7527781142361097E-3"/>
    <n v="-0.36655894823047858"/>
    <n v="8916882.2460055351"/>
    <n v="3.9547041471153475E-3"/>
    <n v="-0.31768442179974843"/>
    <n v="2173.097519421729"/>
    <m/>
    <n v="9114.8036977276206"/>
    <n v="0.83804773870575033"/>
    <n v="5.8479682760223441E-3"/>
    <n v="33.905858239920846"/>
    <n v="1.4787372350692749"/>
    <n v="10302.300525954755"/>
    <m/>
    <s v="17/04/2026"/>
    <e v="#VALUE!"/>
    <e v="#VALUE!"/>
    <s v="17/03/2026"/>
  </r>
  <r>
    <x v="18"/>
    <x v="6"/>
    <m/>
    <s v="USD"/>
    <s v="Long"/>
    <m/>
    <n v="25392"/>
    <n v="186.10499999999999"/>
    <n v="-5.0521251002406675E-3"/>
    <n v="187.05"/>
    <n v="1"/>
    <n v="1"/>
    <n v="4725578.16"/>
    <n v="2.0958293528258072E-3"/>
    <n v="-0.10642157590717245"/>
    <n v="0"/>
    <n v="0"/>
    <n v="0"/>
    <n v="4725578.16"/>
    <n v="2.0958293528258072E-3"/>
    <n v="-0.10642157590717245"/>
    <n v="3998.1117683565731"/>
    <m/>
    <n v="8887.2000000000007"/>
    <n v="0.26694027788527391"/>
    <n v="3.8972485036132924E-3"/>
    <n v="20.378779600570688"/>
    <n v="1.8595256805419922"/>
    <n v="-22432.689122733609"/>
    <m/>
    <s v="25/02/2026"/>
    <n v="1.0692330000000002E-2"/>
    <n v="0.22409299064099966"/>
    <s v="04/12/2025"/>
  </r>
  <r>
    <x v="19"/>
    <x v="6"/>
    <m/>
    <s v="USD"/>
    <s v="Short"/>
    <m/>
    <n v="0"/>
    <n v="80.459999999999994"/>
    <n v="9.9527245583486135E-4"/>
    <n v="80.38"/>
    <n v="1"/>
    <n v="1"/>
    <n v="0"/>
    <n v="0"/>
    <n v="0"/>
    <n v="-248368.26651692373"/>
    <n v="-1.1015318880613582E-4"/>
    <n v="-1.5522762478000635E-3"/>
    <n v="-248368.26651692373"/>
    <n v="-1.1015318880613582E-4"/>
    <n v="-1.5522762478000635E-3"/>
    <n v="9247.6832046979871"/>
    <m/>
    <n v="-1080.3988724946967"/>
    <n v="-1.579061967170162E-2"/>
    <n v="-2.1694349533267471E-4"/>
    <n v="22.93623248545962"/>
    <n v="1.9694708585739136"/>
    <n v="0"/>
    <m/>
    <s v="05/03/2026"/>
    <n v="1.2689779999999999E-2"/>
    <n v="-1.3978197322483262E-2"/>
    <s v="09/01/2026"/>
  </r>
  <r>
    <x v="20"/>
    <x v="6"/>
    <m/>
    <s v="USD"/>
    <s v="Long"/>
    <m/>
    <n v="2100"/>
    <n v="326.95"/>
    <n v="2.4664660900087787E-2"/>
    <n v="319.08"/>
    <n v="1"/>
    <n v="1"/>
    <n v="686595"/>
    <n v="3.0451003153092172E-4"/>
    <n v="7.3298484421115029E-2"/>
    <n v="-36882.859487086535"/>
    <n v="-1.6357824780785291E-5"/>
    <n v="-1.8338262350867614E-2"/>
    <n v="649712.14051291347"/>
    <n v="2.8815220675013645E-4"/>
    <n v="5.4960222070247415E-2"/>
    <n v="2275.787094815721"/>
    <m/>
    <n v="695.51689609885204"/>
    <n v="0.10094164728576349"/>
    <n v="4.4744386294781597E-4"/>
    <n v="56.049071245623949"/>
    <n v="1.5528038740158081"/>
    <n v="15450.646169914373"/>
    <m/>
    <s v="12/02/2026"/>
    <n v="2.294098E-2"/>
    <n v="6.6104940120107453E-2"/>
    <s v="19/02/2026"/>
  </r>
  <r>
    <x v="21"/>
    <x v="7"/>
    <m/>
    <s v="USD"/>
    <s v="Long"/>
    <m/>
    <n v="22000"/>
    <n v="19.225000000000001"/>
    <n v="0.16022933011466511"/>
    <n v="16.57"/>
    <n v="1"/>
    <n v="1"/>
    <n v="422950.00000000006"/>
    <n v="1.8758149685914311E-4"/>
    <n v="0.25905273038284787"/>
    <n v="0"/>
    <n v="0"/>
    <n v="0"/>
    <n v="422950.00000000006"/>
    <n v="1.8758149685914311E-4"/>
    <n v="0.25905273038284787"/>
    <n v="38703.177667100128"/>
    <m/>
    <n v="7700.0000000000009"/>
    <n v="9.2550772253392602E-2"/>
    <n v="3.9232348886010981E-4"/>
    <n v="78.942346705242414"/>
    <n v="2.0914828777313232"/>
    <n v="54605.932279584813"/>
    <m/>
    <s v="24/02/2026"/>
    <n v="6.8195599999999995E-2"/>
    <n v="0.12792232727207378"/>
    <s v="12/10/2017"/>
  </r>
  <r>
    <x v="22"/>
    <x v="7"/>
    <m/>
    <s v="USD"/>
    <s v="Long"/>
    <m/>
    <n v="3300"/>
    <n v="307.70999999999998"/>
    <n v="-9.8153575615474775E-2"/>
    <n v="341.2"/>
    <n v="1"/>
    <n v="1"/>
    <n v="1015442.9999999999"/>
    <m/>
    <n v="-0.49015118308031502"/>
    <n v="0"/>
    <m/>
    <n v="0"/>
    <n v="1015442.9999999999"/>
    <m/>
    <n v="-0.49015118308031502"/>
    <n v="2418.0838797894125"/>
    <m/>
    <n v="0"/>
    <n v="0"/>
    <n v="0"/>
    <n v="84.235276267417106"/>
    <n v="1.5320532321929932"/>
    <n v="-103319.36000244606"/>
    <m/>
    <s v="18/02/2026"/>
    <n v="-5.4806600000000004E-2"/>
    <n v="-0.24682513248960508"/>
    <s v="17/11/2025"/>
  </r>
  <r>
    <x v="22"/>
    <x v="7"/>
    <m/>
    <s v="USD"/>
    <s v="Long"/>
    <m/>
    <n v="-3300"/>
    <n v="307.70999999999998"/>
    <n v="-3.4938058648267378E-2"/>
    <n v="318.85000000000002"/>
    <n v="1"/>
    <n v="1"/>
    <n v="-1015442.9999999999"/>
    <m/>
    <n v="0.16304222691892292"/>
    <n v="0"/>
    <m/>
    <n v="0"/>
    <n v="-1015442.9999999999"/>
    <m/>
    <n v="0.16304222691892292"/>
    <n v="2418.0838797894125"/>
    <m/>
    <n v="0"/>
    <n v="0"/>
    <n v="0"/>
    <n v="84.235276267417106"/>
    <n v="1.5320532321929932"/>
    <n v="34367.801446021302"/>
    <m/>
    <s v="18/02/2026"/>
    <n v="-5.4806600000000004E-2"/>
    <n v="0.24682513248960508"/>
    <s v="17/11/2025"/>
  </r>
  <r>
    <x v="23"/>
    <x v="8"/>
    <m/>
    <s v="USD"/>
    <s v="Long"/>
    <m/>
    <n v="41300"/>
    <n v="54.44"/>
    <n v="1.2874747103182038E-3"/>
    <n v="54.37"/>
    <n v="1"/>
    <n v="1"/>
    <n v="2248372"/>
    <n v="9.9716984337672372E-4"/>
    <n v="1.2821801806827873E-2"/>
    <n v="0"/>
    <n v="0"/>
    <n v="0"/>
    <n v="2248372"/>
    <n v="9.9716984337672372E-4"/>
    <n v="1.2821801806827873E-2"/>
    <n v="13667.681679831008"/>
    <m/>
    <n v="14455.000000000002"/>
    <n v="0.12152348915359197"/>
    <n v="9.9730797253450585E-4"/>
    <n v="19.498943328181859"/>
    <n v="1.000138521194458"/>
    <n v="2702.7178603026928"/>
    <m/>
    <s v="#N/A N/A"/>
    <n v="-1.8389409999999999E-4"/>
    <n v="-1.8337365089490356E-3"/>
    <s v="22/12/2025"/>
  </r>
  <r>
    <x v="24"/>
    <x v="8"/>
    <m/>
    <s v="USD"/>
    <s v="Short"/>
    <m/>
    <n v="-27500"/>
    <n v="82.11"/>
    <n v="-3.1564890129902601E-3"/>
    <n v="82.37"/>
    <n v="1"/>
    <n v="1"/>
    <n v="-2258025"/>
    <n v="-1.0014510212681561E-3"/>
    <n v="3.1710786205057323E-2"/>
    <n v="0"/>
    <n v="0"/>
    <n v="0"/>
    <n v="-2258025"/>
    <n v="-1.0014510212681561E-3"/>
    <n v="3.1710786205057323E-2"/>
    <n v="9061.851061381074"/>
    <m/>
    <n v="-9625"/>
    <n v="-0.10584469890810484"/>
    <n v="-1.0043733797273453E-3"/>
    <n v="16.910614164486525"/>
    <n v="1.0029181241989136"/>
    <n v="6684.3419927929972"/>
    <m/>
    <s v="#N/A N/A"/>
    <n v="-3.763569E-3"/>
    <n v="3.769030018663172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7" firstHeaderRow="0" firstDataRow="1" firstDataCol="1"/>
  <pivotFields count="34">
    <pivotField axis="axisRow" showAll="0">
      <items count="177">
        <item m="1" x="173"/>
        <item m="1" x="169"/>
        <item m="1" x="149"/>
        <item m="1" x="75"/>
        <item m="1" x="130"/>
        <item x="2"/>
        <item m="1" x="93"/>
        <item m="1" x="53"/>
        <item m="1" x="95"/>
        <item m="1" x="74"/>
        <item m="1" x="106"/>
        <item m="1" x="30"/>
        <item m="1" x="174"/>
        <item m="1" x="167"/>
        <item m="1" x="172"/>
        <item m="1" x="79"/>
        <item m="1" x="145"/>
        <item m="1" x="40"/>
        <item m="1" x="26"/>
        <item x="10"/>
        <item m="1" x="41"/>
        <item x="11"/>
        <item m="1" x="87"/>
        <item m="1" x="114"/>
        <item x="18"/>
        <item m="1" x="175"/>
        <item x="5"/>
        <item m="1" x="27"/>
        <item m="1" x="67"/>
        <item x="17"/>
        <item m="1" x="38"/>
        <item m="1" x="37"/>
        <item m="1" x="25"/>
        <item x="23"/>
        <item x="24"/>
        <item m="1" x="171"/>
        <item m="1" x="170"/>
        <item m="1" x="36"/>
        <item m="1" x="55"/>
        <item m="1" x="161"/>
        <item m="1" x="29"/>
        <item x="4"/>
        <item m="1" x="46"/>
        <item m="1" x="47"/>
        <item m="1" x="48"/>
        <item m="1" x="59"/>
        <item m="1" x="52"/>
        <item m="1" x="68"/>
        <item m="1" x="168"/>
        <item m="1" x="83"/>
        <item m="1" x="127"/>
        <item m="1" x="111"/>
        <item m="1" x="49"/>
        <item m="1" x="159"/>
        <item m="1" x="109"/>
        <item m="1" x="165"/>
        <item m="1" x="104"/>
        <item m="1" x="166"/>
        <item m="1" x="155"/>
        <item m="1" x="164"/>
        <item m="1" x="160"/>
        <item x="9"/>
        <item m="1" x="162"/>
        <item m="1" x="163"/>
        <item m="1" x="147"/>
        <item m="1" x="158"/>
        <item m="1" x="90"/>
        <item m="1" x="135"/>
        <item x="16"/>
        <item m="1" x="133"/>
        <item m="1" x="142"/>
        <item m="1" x="64"/>
        <item m="1" x="81"/>
        <item m="1" x="148"/>
        <item m="1" x="44"/>
        <item m="1" x="141"/>
        <item m="1" x="157"/>
        <item m="1" x="156"/>
        <item m="1" x="101"/>
        <item m="1" x="102"/>
        <item x="13"/>
        <item m="1" x="56"/>
        <item m="1" x="154"/>
        <item x="12"/>
        <item m="1" x="152"/>
        <item m="1" x="151"/>
        <item m="1" x="117"/>
        <item m="1" x="89"/>
        <item m="1" x="150"/>
        <item m="1" x="153"/>
        <item x="19"/>
        <item m="1" x="143"/>
        <item m="1" x="100"/>
        <item m="1" x="42"/>
        <item m="1" x="84"/>
        <item m="1" x="146"/>
        <item m="1" x="57"/>
        <item m="1" x="110"/>
        <item m="1" x="144"/>
        <item m="1" x="50"/>
        <item m="1" x="128"/>
        <item m="1" x="129"/>
        <item m="1" x="115"/>
        <item m="1" x="58"/>
        <item m="1" x="140"/>
        <item m="1" x="96"/>
        <item m="1" x="139"/>
        <item m="1" x="137"/>
        <item m="1" x="138"/>
        <item m="1" x="136"/>
        <item m="1" x="132"/>
        <item m="1" x="71"/>
        <item x="20"/>
        <item m="1" x="134"/>
        <item m="1" x="131"/>
        <item m="1" x="113"/>
        <item x="7"/>
        <item m="1" x="120"/>
        <item m="1" x="121"/>
        <item m="1" x="61"/>
        <item m="1" x="124"/>
        <item m="1" x="116"/>
        <item m="1" x="105"/>
        <item m="1" x="118"/>
        <item m="1" x="126"/>
        <item m="1" x="123"/>
        <item m="1" x="125"/>
        <item m="1" x="91"/>
        <item m="1" x="66"/>
        <item m="1" x="122"/>
        <item m="1" x="80"/>
        <item m="1" x="119"/>
        <item m="1" x="97"/>
        <item m="1" x="98"/>
        <item m="1" x="85"/>
        <item m="1" x="62"/>
        <item m="1" x="107"/>
        <item m="1" x="45"/>
        <item m="1" x="92"/>
        <item m="1" x="82"/>
        <item m="1" x="86"/>
        <item m="1" x="88"/>
        <item m="1" x="63"/>
        <item m="1" x="108"/>
        <item m="1" x="112"/>
        <item m="1" x="103"/>
        <item m="1" x="94"/>
        <item x="3"/>
        <item m="1" x="99"/>
        <item m="1" x="72"/>
        <item m="1" x="78"/>
        <item m="1" x="60"/>
        <item m="1" x="54"/>
        <item m="1" x="70"/>
        <item m="1" x="77"/>
        <item m="1" x="76"/>
        <item m="1" x="73"/>
        <item m="1" x="69"/>
        <item m="1" x="65"/>
        <item m="1" x="51"/>
        <item m="1" x="43"/>
        <item m="1" x="39"/>
        <item m="1" x="31"/>
        <item x="15"/>
        <item m="1" x="28"/>
        <item m="1" x="32"/>
        <item x="14"/>
        <item m="1" x="35"/>
        <item m="1" x="33"/>
        <item x="21"/>
        <item m="1" x="34"/>
        <item x="6"/>
        <item x="1"/>
        <item x="0"/>
        <item x="8"/>
        <item x="22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5">
    <i>
      <x/>
    </i>
    <i r="1">
      <x v="5"/>
    </i>
    <i r="1">
      <x v="172"/>
    </i>
    <i r="1">
      <x v="173"/>
    </i>
    <i>
      <x v="2"/>
    </i>
    <i r="1">
      <x v="26"/>
    </i>
    <i r="1">
      <x v="41"/>
    </i>
    <i r="1">
      <x v="147"/>
    </i>
    <i>
      <x v="5"/>
    </i>
    <i r="1">
      <x v="171"/>
    </i>
    <i>
      <x v="13"/>
    </i>
    <i r="1">
      <x v="24"/>
    </i>
    <i r="1">
      <x v="29"/>
    </i>
    <i r="1">
      <x v="68"/>
    </i>
    <i r="1">
      <x v="90"/>
    </i>
    <i r="1">
      <x v="112"/>
    </i>
    <i>
      <x v="14"/>
    </i>
    <i r="1">
      <x v="80"/>
    </i>
    <i r="1">
      <x v="83"/>
    </i>
    <i>
      <x v="21"/>
    </i>
    <i r="1">
      <x v="163"/>
    </i>
    <i r="1">
      <x v="166"/>
    </i>
    <i>
      <x v="23"/>
    </i>
    <i r="1">
      <x v="169"/>
    </i>
    <i r="1">
      <x v="175"/>
    </i>
    <i>
      <x v="25"/>
    </i>
    <i r="1">
      <x v="19"/>
    </i>
    <i r="1">
      <x v="21"/>
    </i>
    <i r="1">
      <x v="61"/>
    </i>
    <i r="1">
      <x v="116"/>
    </i>
    <i r="1">
      <x v="174"/>
    </i>
    <i>
      <x v="26"/>
    </i>
    <i r="1">
      <x v="33"/>
    </i>
    <i r="1">
      <x v="3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811">
      <pivotArea outline="0" collapsedLevelsAreSubtotals="1" fieldPosition="0"/>
    </format>
    <format dxfId="181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80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808">
      <pivotArea outline="0" collapsedLevelsAreSubtotals="1" fieldPosition="0"/>
    </format>
    <format dxfId="1807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806">
      <pivotArea outline="0" collapsedLevelsAreSubtotals="1" fieldPosition="0"/>
    </format>
    <format dxfId="180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804">
      <pivotArea outline="0" collapsedLevelsAreSubtotals="1" fieldPosition="0"/>
    </format>
    <format dxfId="1803">
      <pivotArea type="all" dataOnly="0" outline="0" fieldPosition="0"/>
    </format>
    <format dxfId="1802">
      <pivotArea dataOnly="0" labelOnly="1" grandRow="1" outline="0" fieldPosition="0"/>
    </format>
    <format dxfId="180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800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9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9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9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96">
      <pivotArea dataOnly="0" labelOnly="1" grandRow="1" outline="0" fieldPosition="0"/>
    </format>
    <format dxfId="1795">
      <pivotArea type="all" dataOnly="0" outline="0" fieldPosition="0"/>
    </format>
    <format dxfId="179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93">
      <pivotArea type="all" dataOnly="0" outline="0" fieldPosition="0"/>
    </format>
    <format dxfId="1792">
      <pivotArea outline="0" collapsedLevelsAreSubtotals="1" fieldPosition="0"/>
    </format>
    <format dxfId="1791">
      <pivotArea dataOnly="0" labelOnly="1" grandRow="1" outline="0" fieldPosition="0"/>
    </format>
    <format dxfId="179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8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8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8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8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84">
      <pivotArea type="all" dataOnly="0" outline="0" fieldPosition="0"/>
    </format>
    <format dxfId="1783">
      <pivotArea outline="0" collapsedLevelsAreSubtotals="1" fieldPosition="0"/>
    </format>
    <format dxfId="1782">
      <pivotArea dataOnly="0" labelOnly="1" grandRow="1" outline="0" fieldPosition="0"/>
    </format>
    <format dxfId="17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80">
      <pivotArea type="all" dataOnly="0" outline="0" fieldPosition="0"/>
    </format>
    <format dxfId="1779">
      <pivotArea outline="0" collapsedLevelsAreSubtotals="1" fieldPosition="0"/>
    </format>
    <format dxfId="1778">
      <pivotArea dataOnly="0" labelOnly="1" grandRow="1" outline="0" fieldPosition="0"/>
    </format>
    <format dxfId="177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75">
      <pivotArea field="1" type="button" dataOnly="0" labelOnly="1" outline="0" axis="axisRow" fieldPosition="0"/>
    </format>
    <format dxfId="17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73">
      <pivotArea field="1" type="button" dataOnly="0" labelOnly="1" outline="0" axis="axisRow" fieldPosition="0"/>
    </format>
    <format dxfId="177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71">
      <pivotArea field="1" type="button" dataOnly="0" labelOnly="1" outline="0" axis="axisRow" fieldPosition="0"/>
    </format>
    <format dxfId="177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44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1" totalsRowShown="0" headerRowDxfId="1769" dataDxfId="1767" headerRowBorderDxfId="1768" tableBorderDxfId="1766">
  <autoFilter ref="B11:AI41" xr:uid="{488A667B-27C2-4003-A53C-C52DE885F6F5}"/>
  <sortState xmlns:xlrd2="http://schemas.microsoft.com/office/spreadsheetml/2017/richdata2" ref="B12:AI41">
    <sortCondition ref="C11:C41"/>
  </sortState>
  <tableColumns count="34">
    <tableColumn id="1" xr3:uid="{C4869650-AB2A-4E52-A8FD-8FC4A1E9B450}" name="Ticker" dataDxfId="1765" totalsRowDxfId="1764"/>
    <tableColumn id="2" xr3:uid="{3392DCC0-4423-44FF-B70A-0E06289D8EEE}" name="Sector" dataDxfId="1763"/>
    <tableColumn id="29" xr3:uid="{7A835F51-8D98-481A-BCE1-CD91D7445A8F}" name="Diretoria" dataDxfId="1762"/>
    <tableColumn id="3" xr3:uid="{B1589ED3-B8E2-4F6B-B66F-D68F68C1ABA6}" name="Crncy" dataDxfId="1761"/>
    <tableColumn id="4" xr3:uid="{616D46BC-AC49-4393-8BDA-875BFB778D29}" name="Long / Short" dataDxfId="1760" totalsRowDxfId="1759">
      <calculatedColumnFormula>IF(T12&gt;0,"Long","Short")</calculatedColumnFormula>
    </tableColumn>
    <tableColumn id="33" xr3:uid="{F6985B5B-9203-43DA-8157-CAE6E92D0561}" name="Qtdd " dataDxfId="1758"/>
    <tableColumn id="5" xr3:uid="{9A4DCF38-5D0D-4646-8CF9-69904711743E}" name="Qtt Shs" dataDxfId="1757"/>
    <tableColumn id="6" xr3:uid="{BC11B5F3-DE4D-477B-AAED-C5AB103E9DA0}" name="Price Today" dataDxfId="1756" totalsRowDxfId="1755">
      <calculatedColumnFormula array="1">_xll.BDP(B12&amp;" Equity","LAST_PRICE")</calculatedColumnFormula>
    </tableColumn>
    <tableColumn id="7" xr3:uid="{704FFD7D-1208-4AA6-81A9-0E257F085F19}" name="% Chg" dataDxfId="1754" totalsRowDxfId="1753">
      <calculatedColumnFormula>I12/K12-1</calculatedColumnFormula>
    </tableColumn>
    <tableColumn id="8" xr3:uid="{E069BEAC-4A43-4F60-BD21-C3F1FDA777D4}" name="Price Yest" dataDxfId="1752" dataCellStyle="Comma">
      <calculatedColumnFormula array="1">_xll.BDP(B12&amp;" EQUITY","PX_YEST_CLOSE")</calculatedColumnFormula>
    </tableColumn>
    <tableColumn id="9" xr3:uid="{A2F51CF4-C965-4A1F-975F-FCDA401F7124}" name="FX" dataDxfId="1751" totalsRowDxfId="1750">
      <calculatedColumnFormula array="1">_xll.BDP(E12&amp;" Curncy","PX_LAST")</calculatedColumnFormula>
    </tableColumn>
    <tableColumn id="10" xr3:uid="{0525E66F-8EF5-4CCF-835F-559F3DAE7E58}" name="Mult" dataDxfId="1749" totalsRowDxfId="1748" dataCellStyle="Comma"/>
    <tableColumn id="11" xr3:uid="{8FC681CE-75F1-4027-AD99-551C42A97619}" name="D1 Exp USD" dataDxfId="1747">
      <calculatedColumnFormula>IFERROR(IF(((I12/L12)*H12*M12)&lt;&gt;0,((I12/L12)*H12*M12),0),"-")</calculatedColumnFormula>
    </tableColumn>
    <tableColumn id="12" xr3:uid="{BE55CED1-1EEB-46EA-A2E5-D244B7925B83}" name="D1 Exp %" dataDxfId="1746">
      <calculatedColumnFormula>IFERROR(IF(Tabelad[[#This Row],[D1 Exp USD]]&lt;&gt;0,N12/$AE$7,0),"-")</calculatedColumnFormula>
    </tableColumn>
    <tableColumn id="13" xr3:uid="{622A85AF-E726-48C1-A6C0-2A26A6E13A5C}" name="D1 P&amp;L bps" dataDxfId="1745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44" totalsRowDxfId="1743">
      <calculatedColumnFormula>IF(SUM(SUMIFS(Options!$AL$4:$AL$33, Options!$D$4:$D$33, B12), SUMIFS(Options!$AL$4:$AL$33, Options!$D$4:$D$33, B12 &amp; " US"))=0,0,SUM(SUMIFS(Options!$AL$4:$AL$33, Options!$D$4:$D$33, B12), SUMIFS(Options!$AL$4:$AL$33, Options!$D$4:$D$33, B12 &amp; " US")))</calculatedColumnFormula>
    </tableColumn>
    <tableColumn id="15" xr3:uid="{F6743957-5F8D-4443-94E6-3E6136CB024F}" name="Option Exp %" dataDxfId="1742" totalsRowDxfId="1741" dataCellStyle="Percent">
      <calculatedColumnFormula>Q12/$AE$7</calculatedColumnFormula>
    </tableColumn>
    <tableColumn id="16" xr3:uid="{48C8F341-ED13-4859-B6ED-AB346A494BEF}" name="Options P&amp;L bps" dataDxfId="1740" totalsRowDxfId="1739">
      <calculatedColumnFormula>IF(SUM(SUMIFS(Options!$AK$4:$AK$33, Options!$D$4:$D$33, B12), SUMIFS(Options!$AK$4:$AK$33, Options!$D$4:$D$33, B12 &amp; " US"))=0,0,SUM(SUMIFS(Options!$AK$4:$AK$33, Options!$D$4:$D$33, B12), SUMIFS(Options!AK$4:$AK$33, Options!$D$4:$D$33, B12 &amp; " US")))</calculatedColumnFormula>
    </tableColumn>
    <tableColumn id="17" xr3:uid="{4E94A772-CD12-4BE4-A04C-0E1B9CF86096}" name="Exp" dataDxfId="1738" totalsRowDxfId="1737">
      <calculatedColumnFormula>N12+Q12</calculatedColumnFormula>
    </tableColumn>
    <tableColumn id="18" xr3:uid="{56683745-C1CE-4341-A873-C851B97E4432}" name="Exp %" dataDxfId="1736" totalsRowDxfId="1735">
      <calculatedColumnFormula>T12/$AE$7</calculatedColumnFormula>
    </tableColumn>
    <tableColumn id="19" xr3:uid="{AD790890-4299-4C9E-A460-9342E2B4BE92}" name="P&amp;L bps" dataDxfId="1734" totalsRowDxfId="1733">
      <calculatedColumnFormula>P12+S12</calculatedColumnFormula>
    </tableColumn>
    <tableColumn id="20" xr3:uid="{A3132FF2-B491-42D2-B6D5-98FB024D0411}" name="xx" dataDxfId="1732" totalsRowDxfId="1731">
      <calculatedColumnFormula>$W$10/(I12/L12*M12)</calculatedColumnFormula>
    </tableColumn>
    <tableColumn id="21" xr3:uid="{68119C5E-24ED-4841-8DFC-985A70CC957B}" name="Ticker2" dataDxfId="1730" totalsRowDxfId="1729"/>
    <tableColumn id="22" xr3:uid="{EAB0ADAA-AF64-4574-AD5E-BAD2211681D1}" name="xx2" dataDxfId="1728" totalsRowDxfId="1727">
      <calculatedColumnFormula>Tabelad[[#This Row],[Exp %]]*$Y$10*$AD$7/Tabelad[[#This Row],[Price Today]]</calculatedColumnFormula>
    </tableColumn>
    <tableColumn id="23" xr3:uid="{160D9866-3FEF-4C23-ADDC-0615A4FD8D8A}" name="Beta Adj" dataDxfId="1726">
      <calculatedColumnFormula>Tabelad[[#This Row],[Vol 10d]]/16*Tabelad[[#This Row],[Exp %]]*100</calculatedColumnFormula>
    </tableColumn>
    <tableColumn id="27" xr3:uid="{5FC9F15D-E683-4C75-83A6-A027ED24C573}" name="Expo Beta Adj" dataDxfId="1725" totalsRowDxfId="1724">
      <calculatedColumnFormula>Tabelad[[#This Row],[Exp %]]*Tabelad[[#This Row],[Beta Adj2]]</calculatedColumnFormula>
    </tableColumn>
    <tableColumn id="24" xr3:uid="{02F0D998-EE72-4509-80A1-181D260811AE}" name="Vol 10d" dataDxfId="1723">
      <calculatedColumnFormula>_xll.BDP($B12&amp;" Equity","volatility_10d")</calculatedColumnFormula>
    </tableColumn>
    <tableColumn id="25" xr3:uid="{06753197-209B-42CE-8324-F5BF4E6BBC8C}" name="Beta Adj2" dataDxfId="1722" totalsRowDxfId="1721">
      <calculatedColumnFormula>_xll.BDP(B12&amp;" EQUITY","eqy_beta")</calculatedColumnFormula>
    </tableColumn>
    <tableColumn id="26" xr3:uid="{E0099784-2515-472D-A708-E950C7C1F961}" name="Daily P&amp;L" dataDxfId="1720" totalsRowDxfId="1719">
      <calculatedColumnFormula>Tabelad[[#This Row],[D1 P&amp;L bps]]*$AD$5/10000</calculatedColumnFormula>
    </tableColumn>
    <tableColumn id="28" xr3:uid="{E8C15306-AE60-46ED-BE32-1873B2B613BE}" name="VALUE" dataDxfId="1718" totalsRowDxfId="1717"/>
    <tableColumn id="30" xr3:uid="{3553EED7-0690-4464-BFF1-737C1D716FE2}" name="Report Date2" dataDxfId="1716" totalsRowDxfId="1715">
      <calculatedColumnFormula>_xll.BDP(B12&amp;" Equity","EXPECTED_REPORT_DT")</calculatedColumnFormula>
    </tableColumn>
    <tableColumn id="31" xr3:uid="{5102101F-2C4E-4C70-B272-6AB453BA1BFE}" name="Column3" dataDxfId="1714" totalsRowDxfId="1713">
      <calculatedColumnFormula>_xll.BDP(B12&amp;" Index","CHG_PCT_1D_PRE_FROM_REGULAR")/100</calculatedColumnFormula>
    </tableColumn>
    <tableColumn id="32" xr3:uid="{78144925-541C-4BB9-B1CE-5128912D0AEA}" name="Column4" dataDxfId="1712">
      <calculatedColumnFormula>(T12*AG12)/$AD$7*10000</calculatedColumnFormula>
    </tableColumn>
    <tableColumn id="34" xr3:uid="{F48AA587-E15F-424C-9278-DC54512DF635}" name="Column5" dataDxfId="1711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710" dataDxfId="1709" totalsRowBorderDxfId="1708">
  <autoFilter ref="F3:G136" xr:uid="{50594F44-C7EB-4454-89DA-F08A9C91DB54}"/>
  <tableColumns count="2">
    <tableColumn id="1" xr3:uid="{C2C1762E-B58F-491C-8249-F5F204F351C6}" name="De (Lote)" totalsRowFunction="count" dataDxfId="1707"/>
    <tableColumn id="2" xr3:uid="{2A11C67E-26BC-4BE0-826C-B31A77595F54}" name="Para (Ticker Daniel)" totalsRowFunction="count" dataDxfId="170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2027</v>
      </c>
    </row>
    <row r="3" spans="2:12">
      <c r="B3" t="s">
        <v>2026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2015</v>
      </c>
      <c r="D5" t="s">
        <v>2014</v>
      </c>
    </row>
    <row r="6" spans="2:12">
      <c r="B6" t="s">
        <v>2008</v>
      </c>
      <c r="C6" s="398">
        <v>0.41</v>
      </c>
      <c r="D6" s="395">
        <f>C6^2</f>
        <v>0.16809999999999997</v>
      </c>
    </row>
    <row r="7" spans="2:12">
      <c r="B7" t="s">
        <v>2006</v>
      </c>
      <c r="C7" s="398">
        <v>0.25</v>
      </c>
      <c r="D7" s="395">
        <f>C7^2</f>
        <v>6.25E-2</v>
      </c>
    </row>
    <row r="8" spans="2:12">
      <c r="B8" t="s">
        <v>2004</v>
      </c>
      <c r="C8" s="393">
        <f>SQRT(D6+D7+2*C10)</f>
        <v>0.35791060336346558</v>
      </c>
    </row>
    <row r="9" spans="2:12">
      <c r="B9" t="s">
        <v>2002</v>
      </c>
      <c r="C9" s="397">
        <v>-0.5</v>
      </c>
    </row>
    <row r="10" spans="2:12">
      <c r="B10" t="s">
        <v>2000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2015</v>
      </c>
      <c r="D15" t="s">
        <v>2014</v>
      </c>
      <c r="J15" s="402">
        <f>J14/5.19</f>
        <v>53179190.751445085</v>
      </c>
    </row>
    <row r="16" spans="2:12">
      <c r="B16" t="s">
        <v>2025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2024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2004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2002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2000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2023</v>
      </c>
      <c r="U23">
        <f>0.89-0.24</f>
        <v>0.65</v>
      </c>
    </row>
    <row r="24" spans="1:21">
      <c r="C24" t="s">
        <v>2015</v>
      </c>
      <c r="D24" t="s">
        <v>2014</v>
      </c>
      <c r="U24">
        <f>U23/2</f>
        <v>0.32500000000000001</v>
      </c>
    </row>
    <row r="25" spans="1:21">
      <c r="A25" s="400">
        <v>0.82</v>
      </c>
      <c r="B25" t="s">
        <v>2022</v>
      </c>
      <c r="C25" s="398">
        <v>0.3</v>
      </c>
      <c r="D25" s="395">
        <f>C25^2</f>
        <v>0.09</v>
      </c>
      <c r="I25" t="s">
        <v>2021</v>
      </c>
      <c r="J25">
        <v>21</v>
      </c>
    </row>
    <row r="26" spans="1:21">
      <c r="A26">
        <f>1-A25</f>
        <v>0.18000000000000005</v>
      </c>
      <c r="B26" t="s">
        <v>2020</v>
      </c>
      <c r="C26" s="398">
        <v>0.4</v>
      </c>
      <c r="D26" s="395">
        <f>C26^2</f>
        <v>0.16000000000000003</v>
      </c>
      <c r="I26" t="s">
        <v>2019</v>
      </c>
      <c r="J26">
        <v>1</v>
      </c>
      <c r="R26" s="399"/>
    </row>
    <row r="27" spans="1:21">
      <c r="B27" t="s">
        <v>2018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2017</v>
      </c>
      <c r="C28" s="397">
        <v>0.3</v>
      </c>
    </row>
    <row r="29" spans="1:21">
      <c r="B29" t="s">
        <v>2016</v>
      </c>
      <c r="C29">
        <f>C28*C25*C26</f>
        <v>3.5999999999999997E-2</v>
      </c>
    </row>
    <row r="31" spans="1:21">
      <c r="C31" t="s">
        <v>2015</v>
      </c>
      <c r="D31" t="s">
        <v>2014</v>
      </c>
      <c r="F31" t="s">
        <v>2013</v>
      </c>
      <c r="G31" t="s">
        <v>2012</v>
      </c>
      <c r="H31" t="s">
        <v>2011</v>
      </c>
      <c r="I31" t="s">
        <v>2010</v>
      </c>
      <c r="J31" t="s">
        <v>2009</v>
      </c>
    </row>
    <row r="32" spans="1:21">
      <c r="B32" t="s">
        <v>2008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2007</v>
      </c>
      <c r="Q32" s="43">
        <v>0.36620000000000003</v>
      </c>
    </row>
    <row r="33" spans="2:17">
      <c r="B33" t="s">
        <v>2006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2005</v>
      </c>
    </row>
    <row r="34" spans="2:17">
      <c r="B34" t="s">
        <v>2004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2003</v>
      </c>
    </row>
    <row r="35" spans="2:17">
      <c r="B35" t="s">
        <v>2002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2001</v>
      </c>
      <c r="Q35" s="43">
        <v>0.27179999999999999</v>
      </c>
    </row>
    <row r="36" spans="2:17">
      <c r="B36" t="s">
        <v>2000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1999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1998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1997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1996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1995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1994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1993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7.5453677172874781E-2</v>
      </c>
      <c r="B6" s="145">
        <f>H6-J6</f>
        <v>10.470000000000002</v>
      </c>
      <c r="C6" s="145">
        <f>L6-H6</f>
        <v>0.78999999999999915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33.56</v>
      </c>
      <c r="I6" s="153">
        <f>H6/J6-1</f>
        <v>0.45344304893893472</v>
      </c>
      <c r="J6" s="149" cm="1">
        <f t="array" ref="J6">IF(ISTEXT($E6),_xll.BDH($E6,"PX_LAST",J$2,J$2,"Fill=P","CDR=US"),"")</f>
        <v>23.09</v>
      </c>
      <c r="K6" s="153">
        <f t="shared" ref="K6:K20" si="0">H6/L6-1</f>
        <v>-2.2998544395924303E-2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0.21566739678382874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7991.7</v>
      </c>
      <c r="I7" s="153">
        <f t="shared" ref="I7:I20" si="1">H7/J7-1</f>
        <v>0.53497323491618975</v>
      </c>
      <c r="J7" s="143" cm="1">
        <f t="array" ref="J7">IF(ISTEXT($E7),_xll.BDH($E7,"PX_LAST",J$2,J$2,"Fill=P","CDR=US"),"")</f>
        <v>5206.41</v>
      </c>
      <c r="K7" s="153">
        <f t="shared" si="0"/>
        <v>-1.0604950132221402E-2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17.064314846516744</v>
      </c>
      <c r="Q7" s="153">
        <f>$P7/T7-1</f>
        <v>0.26453850431781412</v>
      </c>
      <c r="R7" s="153">
        <f>$P7/U7-1</f>
        <v>0.13089138736159889</v>
      </c>
      <c r="S7" s="144" cm="1">
        <f t="array" ref="S7">_xll.BDP($E7,S$2)</f>
        <v>10.869808267103734</v>
      </c>
      <c r="T7" s="150">
        <f>MEDIAN(_xll.BDH($E7," best pe ratio","-7ay",""," be997=1gy","array=true"," dts=h"  ))</f>
        <v>13.4945</v>
      </c>
      <c r="U7" s="151">
        <f>T7+W7</f>
        <v>15.089260593210694</v>
      </c>
      <c r="V7" s="151">
        <f>T7-W7</f>
        <v>11.899739406789307</v>
      </c>
      <c r="W7" s="150">
        <f>STDEV(_xll.BDH($E7," best pe ratio","-7ay",""," be997=1gy","array=true"," dts=h"  ))</f>
        <v>1.5947605932106943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4731.87</v>
      </c>
      <c r="I8" s="154">
        <f t="shared" si="1"/>
        <v>0.4728364396967093</v>
      </c>
      <c r="J8" s="140" cm="1">
        <f t="array" ref="J8">IF(ISTEXT($E8),_xll.BDH($E8,"PX_LAST",J$2,J$2,"Fill=P","CDR=US"),"")</f>
        <v>3212.76</v>
      </c>
      <c r="K8" s="154">
        <f t="shared" si="0"/>
        <v>-2.172645628659331E-2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16.959210623817729</v>
      </c>
      <c r="Q8" s="154">
        <f>P8/T8-1</f>
        <v>0.24427435647021456</v>
      </c>
      <c r="R8" s="154">
        <f>$P8/U8-1</f>
        <v>0.10690975571986772</v>
      </c>
      <c r="S8" s="141" cm="1">
        <f t="array" ref="S8">_xll.BDP($E8,S$2)</f>
        <v>10.813325415771263</v>
      </c>
      <c r="T8" s="146">
        <f>MEDIAN(_xll.BDH($E8," best pe ratio","-7ay",""," be997=1gy","array=true"," dts=h"  ))</f>
        <v>13.629799999999999</v>
      </c>
      <c r="U8" s="147">
        <f>T8+W8</f>
        <v>15.321222472005838</v>
      </c>
      <c r="V8" s="147">
        <f>T8-W8</f>
        <v>11.938377527994161</v>
      </c>
      <c r="W8" s="146">
        <f>STDEV(_xll.BDH($E8," best pe ratio","-7ay",""," be997=1gy","array=true"," dts=h"  ))</f>
        <v>1.6914224720058375</v>
      </c>
    </row>
    <row r="9" spans="1:26">
      <c r="A9" s="2">
        <f>C9/B9</f>
        <v>0.23235800344234109</v>
      </c>
      <c r="B9" s="145">
        <f>H9-J9</f>
        <v>11.619999999999997</v>
      </c>
      <c r="C9" s="145">
        <f>L9-H9</f>
        <v>2.7000000000000028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39.299999999999997</v>
      </c>
      <c r="I9" s="153">
        <f t="shared" si="1"/>
        <v>0.4197976878612717</v>
      </c>
      <c r="J9" s="149" cm="1">
        <f t="array" ref="J9">IF(ISTEXT($E9),_xll.BDH($E9,"PX_LAST",J$2,J$2,"Fill=P","CDR=US"),"")</f>
        <v>27.68</v>
      </c>
      <c r="K9" s="153">
        <f t="shared" si="0"/>
        <v>-6.428571428571439E-2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37106.15</v>
      </c>
      <c r="I10" s="153">
        <f t="shared" si="1"/>
        <v>0.51610729809083877</v>
      </c>
      <c r="J10" s="143" cm="1">
        <f t="array" ref="J10">IF(ISTEXT($E10),_xll.BDH($E10,"PX_LAST",J$2,J$2,"Fill=P","CDR=US"),"")</f>
        <v>24474.62</v>
      </c>
      <c r="K10" s="153">
        <f t="shared" si="0"/>
        <v>-4.4554735879906771E-2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27234.720000000001</v>
      </c>
      <c r="O10" t="str" cm="1">
        <f t="array" ref="O10">_xll.BDP(E10,O$2)</f>
        <v>16/01/2025</v>
      </c>
      <c r="P10" s="144" cm="1">
        <f t="array" ref="P10">_xll.BDP($E10,P$2)</f>
        <v>11.366928713293742</v>
      </c>
      <c r="Q10" s="153">
        <f>P10/T10-1</f>
        <v>0.24856422597690497</v>
      </c>
      <c r="R10" s="153">
        <f>$P10/U10-1</f>
        <v>7.7430883656768756E-2</v>
      </c>
      <c r="S10" s="144" cm="1">
        <f t="array" ref="S10">_xll.BDP($E10,S$2)</f>
        <v>11.291274401283339</v>
      </c>
      <c r="T10" s="150">
        <f>MEDIAN(_xll.BDH($E10," best pe ratio","-7ay",""," be997=1gy","array=true"," dts=h"  ))</f>
        <v>9.1039999999999992</v>
      </c>
      <c r="U10" s="151">
        <f>T10+W10</f>
        <v>10.550030526983521</v>
      </c>
      <c r="V10" s="151">
        <f>T10-W10</f>
        <v>7.6579694730164771</v>
      </c>
      <c r="W10" s="150">
        <f>STDEV(_xll.BDH($E10," best pe ratio","-7ay",""," be997=1gy","array=true"," dts=h"  ))</f>
        <v>1.4460305269835216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15233.96</v>
      </c>
      <c r="I11" s="154">
        <f t="shared" si="1"/>
        <v>0.34501951228125916</v>
      </c>
      <c r="J11" s="140" cm="1">
        <f t="array" ref="J11">IF(ISTEXT($E11),_xll.BDH($E11,"PX_LAST",J$2,J$2,"Fill=P","CDR=US"),"")</f>
        <v>11326.2</v>
      </c>
      <c r="K11" s="154">
        <f t="shared" si="0"/>
        <v>-3.3354251786687716E-2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13.770475185913559</v>
      </c>
      <c r="Q11" s="154">
        <f>P11/T11-1</f>
        <v>0.19366479598428943</v>
      </c>
      <c r="R11" s="154">
        <f>$P11/U11-1</f>
        <v>5.7092357085660517E-2</v>
      </c>
      <c r="S11" s="141" cm="1">
        <f t="array" ref="S11">_xll.BDP($E11,S$2)</f>
        <v>12.232376174416604</v>
      </c>
      <c r="T11" s="146">
        <f>MEDIAN(_xll.BDH($E11," best pe ratio","-7ay",""," be997=1gy","array=true"," dts=h"  ))</f>
        <v>11.536300000000001</v>
      </c>
      <c r="U11" s="147">
        <f>T11+W11</f>
        <v>13.02674746781627</v>
      </c>
      <c r="V11" s="147">
        <f>T11-W11</f>
        <v>10.045852532183732</v>
      </c>
      <c r="W11" s="146">
        <f>STDEV(_xll.BDH($E11," best pe ratio","-7ay",""," be997=1gy","array=true"," dts=h"  ))</f>
        <v>1.4904474678162685</v>
      </c>
    </row>
    <row r="12" spans="1:26">
      <c r="A12" s="2">
        <f>C12/B12</f>
        <v>0.90271226415094352</v>
      </c>
      <c r="B12" s="145">
        <f>H12-J12</f>
        <v>8.48</v>
      </c>
      <c r="C12" s="145">
        <f>L12-H12</f>
        <v>7.6550000000000011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35.71</v>
      </c>
      <c r="I12" s="153">
        <f t="shared" si="1"/>
        <v>0.31142122658832161</v>
      </c>
      <c r="J12" s="149" cm="1">
        <f t="array" ref="J12">IF(ISTEXT($E12),_xll.BDH($E12,"PX_LAST",J$2,J$2,"Fill=P","CDR=US"),"")</f>
        <v>27.23</v>
      </c>
      <c r="K12" s="153">
        <f t="shared" si="0"/>
        <v>-0.17652484722702644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6080.8867</v>
      </c>
      <c r="I13" s="153">
        <f t="shared" si="1"/>
        <v>0.45475723570401061</v>
      </c>
      <c r="J13" s="143" cm="1">
        <f t="array" ref="J13">IF(ISTEXT($E13),_xll.BDH($E13,"PX_LAST",J$2,J$2,"Fill=P","CDR=US"),"")</f>
        <v>4180.0010000000002</v>
      </c>
      <c r="K13" s="153">
        <f t="shared" si="0"/>
        <v>-0.11552038290055666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4584.53</v>
      </c>
      <c r="O13" t="str" cm="1">
        <f t="array" ref="O13">_xll.BDP(E13,O$2)</f>
        <v>16/01/2025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5822.18</v>
      </c>
      <c r="I14" s="154">
        <f t="shared" si="1"/>
        <v>0.57429825296692782</v>
      </c>
      <c r="J14" s="140" cm="1">
        <f t="array" ref="J14">IF(ISTEXT($E14),_xll.BDH($E14,"PX_LAST",J$2,J$2,"Fill=P","CDR=US"),"")</f>
        <v>3698.27</v>
      </c>
      <c r="K14" s="154">
        <f t="shared" si="0"/>
        <v>-0.13301843805189817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28.160569845414621</v>
      </c>
      <c r="Q14" s="154">
        <f>P14/T14-1</f>
        <v>3.9906714774228247E-2</v>
      </c>
      <c r="R14" s="154">
        <f>$P14/U14-1</f>
        <v>-0.27004367838567678</v>
      </c>
      <c r="S14" s="141" cm="1">
        <f t="array" ref="S14">_xll.BDP($E14,S$2)</f>
        <v>9.5013682242369022</v>
      </c>
      <c r="T14" s="146">
        <f>MEDIAN(_xll.BDH($E14," best pe ratio","-7ay",""," be997=1gy","array=true"," dts=h"  ))</f>
        <v>27.079899999999999</v>
      </c>
      <c r="U14" s="147">
        <f>T14+W14</f>
        <v>38.578431354819372</v>
      </c>
      <c r="V14" s="147">
        <f>T14-W14</f>
        <v>15.581368645180621</v>
      </c>
      <c r="W14" s="146">
        <f>STDEV(_xll.BDH($E14," best pe ratio","-7ay",""," be997=1gy","array=true"," dts=h"  ))</f>
        <v>11.498531354819377</v>
      </c>
    </row>
    <row r="15" spans="1:26">
      <c r="A15" s="2">
        <f>C15/B15</f>
        <v>0.25207914483274574</v>
      </c>
      <c r="B15" s="145">
        <f>H15-J15</f>
        <v>19.240000000000002</v>
      </c>
      <c r="C15" s="145">
        <f>L15-H15</f>
        <v>4.8500027465820281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62.52</v>
      </c>
      <c r="I15" s="153">
        <f t="shared" si="1"/>
        <v>0.44454713493530496</v>
      </c>
      <c r="J15" s="149" cm="1">
        <f t="array" ref="J15">IF(ISTEXT($E15),_xll.BDH($E15,"PX_LAST",J$2,J$2,"Fill=P","CDR=US"),"")</f>
        <v>43.28</v>
      </c>
      <c r="K15" s="153">
        <f t="shared" si="0"/>
        <v>-7.1990538056317499E-2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697.93589999999995</v>
      </c>
      <c r="I16" s="153">
        <f t="shared" si="1"/>
        <v>0.54387029413651433</v>
      </c>
      <c r="J16" s="143" cm="1">
        <f t="array" ref="J16">IF(ISTEXT($E16),_xll.BDH($E16,"PX_LAST",J$2,J$2,"Fill=P","CDR=US"),"")</f>
        <v>452.06900000000002</v>
      </c>
      <c r="K16" s="153">
        <f t="shared" si="0"/>
        <v>-4.2812037648096601E-2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489.48009999999999</v>
      </c>
      <c r="O16" t="str" cm="1">
        <f t="array" ref="O16">_xll.BDP(E16,O$2)</f>
        <v>16/01/2025</v>
      </c>
      <c r="P16" s="144" cm="1">
        <f t="array" ref="P16">_xll.BDP($E16,P$2)</f>
        <v>14.393883766499579</v>
      </c>
      <c r="Q16" s="153">
        <f>P16/T16-1</f>
        <v>0.17269425025660157</v>
      </c>
      <c r="R16" s="153">
        <f>$P16/U16-1</f>
        <v>-2.9216397356959911E-2</v>
      </c>
      <c r="S16" s="144" cm="1">
        <f t="array" ref="S16">_xll.BDP($E16,S$2)</f>
        <v>11.472878529149524</v>
      </c>
      <c r="T16" s="150">
        <f>MEDIAN(_xll.BDH($E16," best pe ratio","-7ay",""," be997=1gy","array=true"," dts=h"  ))</f>
        <v>12.2742</v>
      </c>
      <c r="U16" s="151">
        <f>T16+W16</f>
        <v>14.827077556018683</v>
      </c>
      <c r="V16" s="151">
        <f>T16-W16</f>
        <v>9.7213224439813182</v>
      </c>
      <c r="W16" s="150">
        <f>STDEV(_xll.BDH($E16," best pe ratio","-7ay",""," be997=1gy","array=true"," dts=h"  ))</f>
        <v>2.5528775560186832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87.19</v>
      </c>
      <c r="I17" s="154">
        <f t="shared" si="1"/>
        <v>0.50639253628196257</v>
      </c>
      <c r="J17" s="140" cm="1">
        <f t="array" ref="J17">IF(ISTEXT($E17),_xll.BDH($E17,"PX_LAST",J$2,J$2,"Fill=P","CDR=US"),"")</f>
        <v>57.88</v>
      </c>
      <c r="K17" s="154">
        <f t="shared" si="0"/>
        <v>-4.8040179058849275E-2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61.8</v>
      </c>
      <c r="O17" s="138" t="str" cm="1">
        <f t="array" ref="O17">_xll.BDP(E17,O$2)</f>
        <v>16/01/2025</v>
      </c>
      <c r="P17" s="141" cm="1">
        <f t="array" ref="P17">_xll.BDP($E17,P$2)</f>
        <v>14.393883766499579</v>
      </c>
      <c r="Q17" s="154">
        <f>P17/T17-1</f>
        <v>0.17288536419709422</v>
      </c>
      <c r="R17" s="154">
        <f>$P17/U17-1</f>
        <v>-2.9090800379862114E-2</v>
      </c>
      <c r="S17" s="141" cm="1">
        <f t="array" ref="S17">_xll.BDP($E17,S$2)</f>
        <v>11.472878529149524</v>
      </c>
      <c r="T17" s="146">
        <f>MEDIAN(_xll.BDH($E17," best pe ratio","-7ay",""," be997=1gy","array=true"," dts=h"  ))</f>
        <v>12.2722</v>
      </c>
      <c r="U17" s="147">
        <f>T17+W17</f>
        <v>14.825159522776275</v>
      </c>
      <c r="V17" s="147">
        <f>T17-W17</f>
        <v>9.7192404772237246</v>
      </c>
      <c r="W17" s="146">
        <f>STDEV(_xll.BDH($E17," best pe ratio","-7ay",""," be997=1gy","array=true"," dts=h"  ))</f>
        <v>2.5529595227762751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26844.959999999999</v>
      </c>
      <c r="I18" s="153">
        <f t="shared" si="1"/>
        <v>0.4711896842842509</v>
      </c>
      <c r="J18" s="143" cm="1">
        <f t="array" ref="J18">IF(ISTEXT($E18),_xll.BDH($E18,"PX_LAST",J$2,J$2,"Fill=P","CDR=US"),"")</f>
        <v>18247.11</v>
      </c>
      <c r="K18" s="153">
        <f t="shared" si="0"/>
        <v>-1.9607155691509393E-2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13.100304418058283</v>
      </c>
      <c r="Q18" s="153">
        <f>P18/T18-1</f>
        <v>0.20303271236783305</v>
      </c>
      <c r="R18" s="153">
        <f>$P18/U18-1</f>
        <v>4.4155677840445051E-2</v>
      </c>
      <c r="S18" s="144" cm="1">
        <f t="array" ref="S18">_xll.BDP($E18,S$2)</f>
        <v>10.542407537372069</v>
      </c>
      <c r="T18" s="150">
        <f>MEDIAN(_xll.BDH($E18," best pe ratio","-7ay",""," be997=1gy","array=true"," dts=h"  ))</f>
        <v>10.8894</v>
      </c>
      <c r="U18" s="151">
        <f>T18+W18</f>
        <v>12.546313443559235</v>
      </c>
      <c r="V18" s="151">
        <f>T18-W18</f>
        <v>9.2324865564407652</v>
      </c>
      <c r="W18" s="150">
        <f>STDEV(_xll.BDH($E18," best pe ratio","-7ay",""," be997=1gy","array=true"," dts=h"  ))</f>
        <v>1.6569134435592352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9220.81</v>
      </c>
      <c r="I19" s="153">
        <f t="shared" si="1"/>
        <v>0.44321404646678397</v>
      </c>
      <c r="J19" s="143" cm="1">
        <f t="array" ref="J19">IF(ISTEXT($E19),_xll.BDH($E19,"PX_LAST",J$2,J$2,"Fill=P","CDR=US"),"")</f>
        <v>6389.08</v>
      </c>
      <c r="K19" s="153">
        <f t="shared" si="0"/>
        <v>-5.6232158776525765E-2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7018.73</v>
      </c>
      <c r="O19" t="str" cm="1">
        <f t="array" ref="O19">_xll.BDP(E19,O$2)</f>
        <v>16/01/2025</v>
      </c>
      <c r="P19" s="144" cm="1">
        <f t="array" ref="P19">_xll.BDP($E19,P$2)</f>
        <v>11.951431368169956</v>
      </c>
      <c r="Q19" s="153">
        <f>P19/T19-1</f>
        <v>0.3442923759259835</v>
      </c>
      <c r="R19" s="153">
        <f>$P19/U19-1</f>
        <v>0.18186101962628354</v>
      </c>
      <c r="S19" s="144" cm="1">
        <f t="array" ref="S19">_xll.BDP($E19,S$2)</f>
        <v>11.068062639832336</v>
      </c>
      <c r="T19" s="150">
        <f>MEDIAN(_xll.BDH($E19," best pe ratio","-7ay",""," be997=1gy","array=true"," dts=h"  ))</f>
        <v>8.8904999999999994</v>
      </c>
      <c r="U19" s="151">
        <f>T19+W19</f>
        <v>10.1123830718684</v>
      </c>
      <c r="V19" s="151">
        <f>T19-W19</f>
        <v>7.6686169281315983</v>
      </c>
      <c r="W19" s="150">
        <f>STDEV(_xll.BDH($E19," best pe ratio","-7ay",""," be997=1gy","array=true"," dts=h"  ))</f>
        <v>1.2218830718684006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4101.9139999999998</v>
      </c>
      <c r="I20" s="153">
        <f t="shared" si="1"/>
        <v>0.49219220071315317</v>
      </c>
      <c r="J20" s="143" cm="1">
        <f t="array" ref="J20">IF(ISTEXT($E20),_xll.BDH($E20,"PX_LAST",J$2,J$2,"Fill=P","CDR=US"),"")</f>
        <v>2748.9180000000001</v>
      </c>
      <c r="K20" s="153">
        <f t="shared" si="0"/>
        <v>-2.1225207391503353E-2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15.92735939982242</v>
      </c>
      <c r="Q20" s="153">
        <f>P20/T20-1</f>
        <v>0.30477262225136559</v>
      </c>
      <c r="R20" s="153">
        <f>$P20/U20-1</f>
        <v>0.17043809643076591</v>
      </c>
      <c r="S20" s="144" cm="1">
        <f t="array" ref="S20">_xll.BDP($E20,S$2)</f>
        <v>9.6723908339647799</v>
      </c>
      <c r="T20" s="150">
        <f>MEDIAN(_xll.BDH($E20," best pe ratio","-7ay",""," be997=1gy","array=true"," dts=h"  ))</f>
        <v>12.207000000000001</v>
      </c>
      <c r="U20" s="151">
        <f>T20+W20</f>
        <v>13.608032281581291</v>
      </c>
      <c r="V20" s="151">
        <f>T20-W20</f>
        <v>10.80596771841871</v>
      </c>
      <c r="W20" s="150">
        <f>STDEV(_xll.BDH($E20," best pe ratio","-7ay",""," be997=1gy","array=true"," dts=h"  ))</f>
        <v>1.4010322815812899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9.9348147561560112E-3</v>
      </c>
      <c r="AP1" s="23"/>
    </row>
    <row r="2" spans="1:47" outlineLevel="1">
      <c r="D2" s="7" t="s">
        <v>66</v>
      </c>
      <c r="E2" s="265">
        <f>D4+E4</f>
        <v>6.1663093586220661E-3</v>
      </c>
      <c r="Q2" s="179">
        <f ca="1">WORKDAY(Q3,-126)</f>
        <v>45862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46038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46008</v>
      </c>
      <c r="AN3" s="180">
        <f ca="1">WORKDAY($Q$3,-66)</f>
        <v>45946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8.0505620573890387E-3</v>
      </c>
      <c r="E4" s="265">
        <f>SUM(E8:E24)</f>
        <v>-1.8842526987669721E-3</v>
      </c>
      <c r="Q4" s="181" t="str">
        <f ca="1">YEAR($Q$2)&amp;TEXT(MONTH($Q$2),"00")&amp;TEXT(DAY($Q$2),"00")</f>
        <v>20250724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20260116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459.86</v>
      </c>
      <c r="H8" s="188" cm="1">
        <f t="array" ref="H8">G8/_xll.BDP(B8&amp;" Equity", "PREV_CLOSE_VAL")-1</f>
        <v>7.0074015679060242E-3</v>
      </c>
      <c r="I8" s="187" cm="1">
        <f t="array" ref="I8">_xll.BDP(C8&amp;" Equity","LAST PRICE")</f>
        <v>98.31</v>
      </c>
      <c r="J8" s="188" cm="1">
        <f t="array" ref="J8">I8/_xll.BDP(C8&amp;" Equity", "PREV_CLOSE_VAL")-1</f>
        <v>-1.4732411304870685E-2</v>
      </c>
      <c r="K8" s="189">
        <f t="shared" ref="K8:K18" si="1">G8/I8</f>
        <v>4.6776523242803378</v>
      </c>
      <c r="L8" s="188" cm="1">
        <f t="array" ref="L8">K8/(_xll.BDP(B8&amp;" Equity", "PREV_CLOSE_VAL")/_xll.BDP(C8&amp;" Equity", "PREV_CLOSE_VAL"))-1</f>
        <v>2.2064881786651114E-2</v>
      </c>
      <c r="M8" s="188"/>
      <c r="N8" s="190">
        <f t="shared" ref="N8:N18" si="2">ABS(L8/O8)</f>
        <v>2.1771102231336634</v>
      </c>
      <c r="O8" s="191">
        <f t="shared" ref="O8:O18" si="3">P8/15.87/100</f>
        <v>1.013494013862634E-2</v>
      </c>
      <c r="P8" s="192" cm="1">
        <f t="array" ref="P8">_xll.BDP($A8&amp;" Index","VOLATILITY_30D")</f>
        <v>16.084150000000001</v>
      </c>
      <c r="Q8" s="192" cm="1">
        <f t="array" aca="1" ref="Q8" ca="1">(_xll.BDP(($B8&amp; " Equity"),"CORR_COEF", "BETA_OVERRIDE_REL_INDEX",($C8&amp; " Equity"),"BETA_OVERRIDE_END_DT",$Q$5,"BETA_OVERRIDE_START_DT",$Q$4))*100</f>
        <v>65.77197968625191</v>
      </c>
      <c r="R8" s="188"/>
      <c r="S8" s="188" cm="1">
        <f t="array" ref="S8">_xll.BDP($A8&amp;" Index","CHG_PCT_2D")/100</f>
        <v>6.9310980000000001E-3</v>
      </c>
      <c r="T8" s="188" cm="1">
        <f t="array" ref="T8">_xll.BDP($A8&amp;" Index","CHG_PCT_5D")/100</f>
        <v>2.650632E-3</v>
      </c>
      <c r="U8" s="188" cm="1">
        <f t="array" ref="U8">K8/_xll.BDP($A8&amp;" Index","HIGH_52WEEK")-1</f>
        <v>-3.1662252250168055E-2</v>
      </c>
      <c r="V8" s="188" cm="1">
        <f t="array" ref="V8">K8/_xll.BDP($A8&amp;" Index","LOW_52WEEK")-1</f>
        <v>0.23130460714839862</v>
      </c>
      <c r="W8" s="188"/>
      <c r="X8" s="192" cm="1">
        <f t="array" ref="X8">_xll.BDP($A8&amp;" Index","RSI_14D")</f>
        <v>53.446069999999999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7.0400989537834802E-2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2.3714501288647094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1.771550975510916E-2</v>
      </c>
      <c r="AN8" s="194">
        <f ca="1">IF(ISTEXT(B8),AP8/_xll.BDH(B8 &amp;  " Equity","BEST_EPS",$AN$3,$AN$3,"BEST_FPERIOD_OVERRIDE=1BF","CDR=US","Fill=p")-1,"")</f>
        <v>7.1041247791384876E-2</v>
      </c>
      <c r="AO8" s="196">
        <f t="shared" ref="AO8:AO18" ca="1" si="7">G8/AP8</f>
        <v>26.159622276580009</v>
      </c>
      <c r="AP8" s="196" cm="1">
        <f t="array" aca="1" ref="AP8" ca="1">IF(ISTEXT(B8),_xll.BDH(B8 &amp;  " Equity","BEST_EPS",$Q$3,$Q$3,"BEST_FPERIOD_OVERRIDE=1BF","CDR=US","Fill=p"),"")</f>
        <v>17.579000000000001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1.0014510212681561E-3</v>
      </c>
      <c r="E9" s="255">
        <f>SUMIF(Tabelad[Ticker],PAIR_Monitor!C9,Tabelad[Exp %])</f>
        <v>-1.0014510212681561E-3</v>
      </c>
      <c r="F9" s="254"/>
      <c r="G9" s="187" cm="1">
        <f t="array" ref="G9">_xll.BDP(B9&amp;" Equity","LAST PRICE")</f>
        <v>459.86</v>
      </c>
      <c r="H9" s="188" cm="1">
        <f t="array" ref="H9">G9/_xll.BDP(B9&amp;" Equity", "PREV_CLOSE_VAL")-1</f>
        <v>7.0074015679060242E-3</v>
      </c>
      <c r="I9" s="187" cm="1">
        <f t="array" ref="I9">_xll.BDP(C9&amp;" Equity","LAST PRICE")</f>
        <v>82.11</v>
      </c>
      <c r="J9" s="188" cm="1">
        <f t="array" ref="J9">I9/_xll.BDP(C9&amp;" Equity", "PREV_CLOSE_VAL")-1</f>
        <v>-3.1564890129902601E-3</v>
      </c>
      <c r="K9" s="189">
        <f t="shared" si="1"/>
        <v>5.6005358665205218</v>
      </c>
      <c r="L9" s="188" cm="1">
        <f t="array" ref="L9">K9/(_xll.BDP(B9&amp;" Equity", "PREV_CLOSE_VAL")/_xll.BDP(C9&amp;" Equity", "PREV_CLOSE_VAL"))-1</f>
        <v>1.0196074377645026E-2</v>
      </c>
      <c r="M9" s="188"/>
      <c r="N9" s="190">
        <f t="shared" si="2"/>
        <v>0.61384550335002086</v>
      </c>
      <c r="O9" s="191">
        <f t="shared" si="3"/>
        <v>1.6610163831127914E-2</v>
      </c>
      <c r="P9" s="192" cm="1">
        <f t="array" ref="P9">_xll.BDP($A9&amp;" Index","VOLATILITY_30D")</f>
        <v>26.360330000000001</v>
      </c>
      <c r="Q9" s="192" cm="1">
        <f t="array" aca="1" ref="Q9" ca="1">(_xll.BDP(($B9&amp; " Equity"),"CORR_COEF", "BETA_OVERRIDE_REL_INDEX",($C9&amp; " Equity"),"BETA_OVERRIDE_END_DT",$Q$5,"BETA_OVERRIDE_START_DT",$Q$4))*100</f>
        <v>-15.228814802445306</v>
      </c>
      <c r="R9" s="188"/>
      <c r="S9" s="188" cm="1">
        <f t="array" ref="S9">_xll.BDP($A9&amp;" Index","CHG_PCT_2D")/100</f>
        <v>-7.610454E-3</v>
      </c>
      <c r="T9" s="188" cm="1">
        <f t="array" ref="T9">_xll.BDP($A9&amp;" Index","CHG_PCT_5D")/100</f>
        <v>-8.3285750000000006E-2</v>
      </c>
      <c r="U9" s="188" cm="1">
        <f t="array" ref="U9">K9/_xll.BDP($A9&amp;" Index","HIGH_52WEEK")-1</f>
        <v>-0.20803430770855036</v>
      </c>
      <c r="V9" s="188" cm="1">
        <f t="array" ref="V9">K9/_xll.BDP($A9&amp;" Index","LOW_52WEEK")-1</f>
        <v>0.26461183891301698</v>
      </c>
      <c r="W9" s="188"/>
      <c r="X9" s="192" cm="1">
        <f t="array" ref="X9">_xll.BDP($A9&amp;" Index","RSI_14D")</f>
        <v>27.00919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1.0927051718505831E-2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2.3714501288647094</v>
      </c>
      <c r="AI9" s="196" cm="1">
        <f t="array" ref="AI9">(_xll.BDP(C9&amp;" Equity","SHORT_INT")/_xll.BDP(C9&amp;" Equity","VOLUME_AVG_90D"))</f>
        <v>3.9033090495318188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1.771550975510916E-2</v>
      </c>
      <c r="AN9" s="194">
        <f ca="1">IF(ISTEXT(B9),AP9/_xll.BDH(B9 &amp;  " Equity","BEST_EPS",$AN$3,$AN$3,"BEST_FPERIOD_OVERRIDE=1BF","CDR=US","Fill=p")-1,"")</f>
        <v>7.1041247791384876E-2</v>
      </c>
      <c r="AO9" s="196">
        <f t="shared" ca="1" si="7"/>
        <v>26.159622276580009</v>
      </c>
      <c r="AP9" s="196" cm="1">
        <f t="array" aca="1" ref="AP9" ca="1">IF(ISTEXT(B9),_xll.BDH(B9 &amp;  " Equity","BEST_EPS",$Q$3,$Q$3,"BEST_FPERIOD_OVERRIDE=1BF","CDR=US","Fill=p"),"")</f>
        <v>17.579000000000001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620.25</v>
      </c>
      <c r="H10" s="257" cm="1">
        <f t="array" ref="H10">G10/_xll.BDP(B10&amp;" Equity", "PREV_CLOSE_VAL")-1</f>
        <v>-8.8595360824739178E-4</v>
      </c>
      <c r="I10" s="256" cm="1">
        <f t="array" ref="I10">_xll.BDP(C10&amp;" Equity","LAST PRICE")</f>
        <v>691.66</v>
      </c>
      <c r="J10" s="257" cm="1">
        <f t="array" ref="J10">I10/_xll.BDP(C10&amp;" Equity", "PREV_CLOSE_VAL")-1</f>
        <v>-8.378597018375844E-4</v>
      </c>
      <c r="K10" s="258">
        <f t="shared" si="1"/>
        <v>0.89675563137957959</v>
      </c>
      <c r="L10" s="257" cm="1">
        <f t="array" ref="L10">K10/(_xll.BDP(B10&amp;" Equity", "PREV_CLOSE_VAL")/_xll.BDP(C10&amp;" Equity", "PREV_CLOSE_VAL"))-1</f>
        <v>-4.8134236146579745E-5</v>
      </c>
      <c r="M10" s="257"/>
      <c r="N10" s="190">
        <f t="shared" si="2"/>
        <v>3.7699335609085688E-3</v>
      </c>
      <c r="O10" s="191">
        <f t="shared" si="3"/>
        <v>1.2767926906112162E-2</v>
      </c>
      <c r="P10" s="259" cm="1">
        <f t="array" ref="P10">_xll.BDP($A10&amp;" Index","VOLATILITY_30D")</f>
        <v>20.262699999999999</v>
      </c>
      <c r="Q10" s="259" cm="1">
        <f t="array" aca="1" ref="Q10" ca="1">(_xll.BDP(($B10&amp; " Equity"),"CORR_COEF", "BETA_OVERRIDE_REL_INDEX",($C10&amp; " Equity"),"BETA_OVERRIDE_END_DT",$Q$5,"BETA_OVERRIDE_START_DT",$Q$4))*100</f>
        <v>34.764771658920132</v>
      </c>
      <c r="R10" s="257"/>
      <c r="S10" s="257" cm="1">
        <f t="array" ref="S10">_xll.BDP($A10&amp;" Index","CHG_PCT_2D")/100</f>
        <v>5.840334E-3</v>
      </c>
      <c r="T10" s="257" cm="1">
        <f t="array" ref="T10">_xll.BDP($A10&amp;" Index","CHG_PCT_5D")/100</f>
        <v>-4.6883899999999999E-2</v>
      </c>
      <c r="U10" s="257" cm="1">
        <f t="array" ref="U10">K10/_xll.BDP($A10&amp;" Index","HIGH_52WEEK")-1</f>
        <v>-0.27096001676388803</v>
      </c>
      <c r="V10" s="257" cm="1">
        <f t="array" ref="V10">K10/_xll.BDP($A10&amp;" Index","LOW_52WEEK")-1</f>
        <v>6.6066108181659366E-3</v>
      </c>
      <c r="W10" s="257"/>
      <c r="X10" s="259" cm="1">
        <f t="array" ref="X10">_xll.BDP($A10&amp;" Index","RSI_14D")</f>
        <v>30.97315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-0.18476760783674595</v>
      </c>
      <c r="AE10" s="257"/>
      <c r="AF10" s="261">
        <f>IF(ISTEXT(B10),_xll.BDP(B10 &amp; " Equity","EXPECTED_REPORT_DT")*1,"")</f>
        <v>46050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2.0112794845580537</v>
      </c>
      <c r="AI10" s="262" cm="1">
        <f t="array" ref="AI10">(_xll.BDP(C10&amp;" Equity","SHORT_INT")/_xll.BDP(C10&amp;" Equity","VOLUME_AVG_90D"))</f>
        <v>1.2767900837992929</v>
      </c>
      <c r="AJ10" s="262" cm="1">
        <f t="array" ref="AJ10">(_xll.BDP(B10&amp;" Equity","SHORT_INT"))/((_xll.BDP(B10&amp;" Equity","EQY_FREE_FLOAT_PCT"))*(_xll.BDP(B10&amp;" Equity","EQY_SH_OUT_TOT_MULT_SH")))/100</f>
        <v>1.3150295972392925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2.6922845268927187E-2</v>
      </c>
      <c r="AN10" s="260">
        <f ca="1">IF(ISTEXT(B10),AP10/_xll.BDH(B10 &amp;  " Equity","BEST_EPS",$AN$3,$AN$3,"BEST_FPERIOD_OVERRIDE=1BF","CDR=US","Fill=p")-1,"")</f>
        <v>-1.2195475217983254E-2</v>
      </c>
      <c r="AO10" s="262">
        <f t="shared" ca="1" si="7"/>
        <v>18.189149560117301</v>
      </c>
      <c r="AP10" s="262" cm="1">
        <f t="array" aca="1" ref="AP10" ca="1">IF(ISTEXT(B10),_xll.BDH(B10 &amp;  " Equity","BEST_EPS",$Q$3,$Q$3,"BEST_FPERIOD_OVERRIDE=1BF","CDR=US","Fill=p"),"")</f>
        <v>34.1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620.25</v>
      </c>
      <c r="H11" s="257" cm="1">
        <f t="array" ref="H11">G11/_xll.BDP(B11&amp;" Equity", "PREV_CLOSE_VAL")-1</f>
        <v>-8.8595360824739178E-4</v>
      </c>
      <c r="I11" s="256" cm="1">
        <f t="array" ref="I11">_xll.BDP(C11&amp;" Equity","LAST PRICE")</f>
        <v>255.53</v>
      </c>
      <c r="J11" s="257" cm="1">
        <f t="array" ref="J11">I11/_xll.BDP(C11&amp;" Equity", "PREV_CLOSE_VAL")-1</f>
        <v>-1.0379148754889322E-2</v>
      </c>
      <c r="K11" s="258">
        <f t="shared" si="1"/>
        <v>2.4273079481861228</v>
      </c>
      <c r="L11" s="257" cm="1">
        <f t="array" ref="L11">K11/(_xll.BDP(B11&amp;" Equity", "PREV_CLOSE_VAL")/_xll.BDP(C11&amp;" Equity", "PREV_CLOSE_VAL"))-1</f>
        <v>9.5927598278653381E-3</v>
      </c>
      <c r="M11" s="257"/>
      <c r="N11" s="190">
        <f t="shared" si="2"/>
        <v>0.55887847160206283</v>
      </c>
      <c r="O11" s="191">
        <f t="shared" si="3"/>
        <v>1.7164303717706365E-2</v>
      </c>
      <c r="P11" s="259" cm="1">
        <f t="array" ref="P11">_xll.BDP($A11&amp;" Index","VOLATILITY_30D")</f>
        <v>27.239750000000001</v>
      </c>
      <c r="Q11" s="259" cm="1">
        <f t="array" aca="1" ref="Q11" ca="1">(_xll.BDP(($B11&amp; " Equity"),"CORR_COEF", "BETA_OVERRIDE_REL_INDEX",($C11&amp; " Equity"),"BETA_OVERRIDE_END_DT",$Q$5,"BETA_OVERRIDE_START_DT",$Q$4))*100</f>
        <v>7.0126463471577489</v>
      </c>
      <c r="R11" s="257"/>
      <c r="S11" s="257" cm="1">
        <f t="array" ref="S11">_xll.BDP($A11&amp;" Index","CHG_PCT_2D")/100</f>
        <v>1.5411680000000001E-2</v>
      </c>
      <c r="T11" s="257" cm="1">
        <f t="array" ref="T11">_xll.BDP($A11&amp;" Index","CHG_PCT_5D")/100</f>
        <v>-4.5129409999999995E-2</v>
      </c>
      <c r="U11" s="257" cm="1">
        <f t="array" ref="U11">K11/_xll.BDP($A11&amp;" Index","HIGH_52WEEK")-1</f>
        <v>-0.36422956384763272</v>
      </c>
      <c r="V11" s="257" cm="1">
        <f t="array" ref="V11">K11/_xll.BDP($A11&amp;" Index","LOW_52WEEK")-1</f>
        <v>0.10894211489417871</v>
      </c>
      <c r="W11" s="257"/>
      <c r="X11" s="259" cm="1">
        <f t="array" ref="X11">_xll.BDP($A11&amp;" Index","RSI_14D")</f>
        <v>47.58417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-0.20154343809667008</v>
      </c>
      <c r="AE11" s="257"/>
      <c r="AF11" s="261">
        <f>IF(ISTEXT(B11),_xll.BDP(B11 &amp; " Equity","EXPECTED_REPORT_DT")*1,"")</f>
        <v>46050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2.0112794845580537</v>
      </c>
      <c r="AI11" s="262" cm="1">
        <f t="array" ref="AI11">(_xll.BDP(C11&amp;" Equity","SHORT_INT")/_xll.BDP(C11&amp;" Equity","VOLUME_AVG_90D"))</f>
        <v>2.3335669119531977</v>
      </c>
      <c r="AJ11" s="262" cm="1">
        <f t="array" ref="AJ11">(_xll.BDP(B11&amp;" Equity","SHORT_INT"))/((_xll.BDP(B11&amp;" Equity","EQY_FREE_FLOAT_PCT"))*(_xll.BDP(B11&amp;" Equity","EQY_SH_OUT_TOT_MULT_SH")))/100</f>
        <v>1.3150295972392925</v>
      </c>
      <c r="AK11" s="262" cm="1">
        <f t="array" ref="AK11">(_xll.BDP(C11&amp;" Equity","SHORT_INT"))/((_xll.BDP(C11&amp;" Equity","EQY_FREE_FLOAT_PCT"))*(_xll.BDP(C11&amp;" Equity","EQY_SH_OUT_TOT_MULT_SH")))/100</f>
        <v>0.78048981334343837</v>
      </c>
      <c r="AM11" s="260">
        <f ca="1">IF(ISTEXT(B11),AP11/_xll.BDH(B11 &amp;  " Equity","BEST_EPS",$AM$3,$AM$3,"BEST_FPERIOD_OVERRIDE=1BF","CDR=US","Fill=p")-1,"")</f>
        <v>2.6922845268927187E-2</v>
      </c>
      <c r="AN11" s="260">
        <f ca="1">IF(ISTEXT(B11),AP11/_xll.BDH(B11 &amp;  " Equity","BEST_EPS",$AN$3,$AN$3,"BEST_FPERIOD_OVERRIDE=1BF","CDR=US","Fill=p")-1,"")</f>
        <v>-1.2195475217983254E-2</v>
      </c>
      <c r="AO11" s="262">
        <f t="shared" ca="1" si="7"/>
        <v>18.189149560117301</v>
      </c>
      <c r="AP11" s="262" cm="1">
        <f t="array" aca="1" ref="AP11" ca="1">IF(ISTEXT(B11),_xll.BDH(B11 &amp;  " Equity","BEST_EPS",$Q$3,$Q$3,"BEST_FPERIOD_OVERRIDE=1BF","CDR=US","Fill=p"),"")</f>
        <v>34.1</v>
      </c>
      <c r="AR11" s="260">
        <f ca="1">IF(ISTEXT(C11),AU11/_xll.BDH(C11 &amp;  " Equity","BEST_EPS",$AM$3,$AM$3,"BEST_FPERIOD_OVERRIDE=1BF","CDR=US","Fill=p")-1,"")</f>
        <v>5.7947019867550242E-3</v>
      </c>
      <c r="AS11" s="260">
        <f ca="1">IF(ISTEXT(C11),AU11/_xll.BDH(C11 &amp;  " Equity","BEST_EPS",$AN$3,$AN$3,"BEST_FPERIOD_OVERRIDE=1BF","CDR=US","Fill=p")-1,"")</f>
        <v>6.4988730277986573E-2</v>
      </c>
      <c r="AT11" s="262">
        <f t="shared" ca="1" si="8"/>
        <v>30.044679600235153</v>
      </c>
      <c r="AU11" s="262" cm="1">
        <f t="array" aca="1" ref="AU11" ca="1">IF(ISTEXT(C11),_xll.BDH(C11 &amp;  " Equity","BEST_EPS",$Q$3,$Q$3,"BEST_FPERIOD_OVERRIDE=1BF","CDR=US","Fill=p"),"")</f>
        <v>8.5050000000000008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5115.91</v>
      </c>
      <c r="H12" s="188" cm="1">
        <f t="array" ref="H12">G12/_xll.BDP(B12&amp;" Equity", "PREV_CLOSE_VAL")-1</f>
        <v>-1.4856365996156473E-2</v>
      </c>
      <c r="I12" s="187" cm="1">
        <f t="array" ref="I12">_xll.BDP(C12&amp;" Equity","LAST PRICE")</f>
        <v>130.66</v>
      </c>
      <c r="J12" s="188" cm="1">
        <f t="array" ref="J12">I12/_xll.BDP(C12&amp;" Equity", "PREV_CLOSE_VAL")-1</f>
        <v>-1.463046757164399E-2</v>
      </c>
      <c r="K12" s="189">
        <f t="shared" si="1"/>
        <v>39.15437012092454</v>
      </c>
      <c r="L12" s="188" cm="1">
        <f t="array" ref="L12">K12/(_xll.BDP(B12&amp;" Equity", "PREV_CLOSE_VAL")/_xll.BDP(C12&amp;" Equity", "PREV_CLOSE_VAL"))-1</f>
        <v>-2.2925249571659201E-4</v>
      </c>
      <c r="M12" s="188"/>
      <c r="N12" s="190">
        <f t="shared" si="2"/>
        <v>1.6572477118773896E-2</v>
      </c>
      <c r="O12" s="191">
        <f t="shared" si="3"/>
        <v>1.3833327032136104E-2</v>
      </c>
      <c r="P12" s="192" cm="1">
        <f t="array" ref="P12">_xll.BDP($A12&amp;" Index","VOLATILITY_30D")</f>
        <v>21.953489999999999</v>
      </c>
      <c r="Q12" s="192" cm="1">
        <f t="array" aca="1" ref="Q12" ca="1">(_xll.BDP(($B12&amp; " Equity"),"CORR_COEF", "BETA_OVERRIDE_REL_INDEX",($C12&amp; " Equity"),"BETA_OVERRIDE_END_DT",$Q$5,"BETA_OVERRIDE_START_DT",$Q$4))*100</f>
        <v>70.764663462034576</v>
      </c>
      <c r="R12" s="188"/>
      <c r="S12" s="188" cm="1">
        <f t="array" ref="S12">_xll.BDP($A12&amp;" Index","CHG_PCT_2D")/100</f>
        <v>2.5989570000000003E-3</v>
      </c>
      <c r="T12" s="188" cm="1">
        <f t="array" ref="T12">_xll.BDP($A12&amp;" Index","CHG_PCT_5D")/100</f>
        <v>-6.8880470000000004E-3</v>
      </c>
      <c r="U12" s="188" cm="1">
        <f t="array" ref="U12">K12/_xll.BDP($A12&amp;" Index","HIGH_52WEEK")-1</f>
        <v>-0.15231015445232055</v>
      </c>
      <c r="V12" s="188" cm="1">
        <f t="array" ref="V12">K12/_xll.BDP($A12&amp;" Index","LOW_52WEEK")-1</f>
        <v>0.25293382978720214</v>
      </c>
      <c r="W12" s="188"/>
      <c r="X12" s="192" cm="1">
        <f t="array" ref="X12">_xll.BDP($A12&amp;" Index","RSI_14D")</f>
        <v>44.808970000000002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1.1479465795002364E-2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2.6997559824370145</v>
      </c>
      <c r="AI12" s="196" cm="1">
        <f t="array" ref="AI12">(_xll.BDP(C12&amp;" Equity","SHORT_INT")/_xll.BDP(C12&amp;" Equity","VOLUME_AVG_90D"))</f>
        <v>3.7614604873876218</v>
      </c>
      <c r="AJ12" s="196" cm="1">
        <f t="array" ref="AJ12">(_xll.BDP(B12&amp;" Equity","SHORT_INT"))/((_xll.BDP(B12&amp;" Equity","EQY_FREE_FLOAT_PCT"))*(_xll.BDP(B12&amp;" Equity","EQY_SH_OUT_TOT_MULT_SH")))/100</f>
        <v>2.0741542073562114</v>
      </c>
      <c r="AK12" s="196" cm="1">
        <f t="array" ref="AK12">(_xll.BDP(C12&amp;" Equity","SHORT_INT"))/((_xll.BDP(C12&amp;" Equity","EQY_FREE_FLOAT_PCT"))*(_xll.BDP(C12&amp;" Equity","EQY_SH_OUT_TOT_MULT_SH")))/100</f>
        <v>3.3215084244268835</v>
      </c>
      <c r="AM12" s="194">
        <f ca="1">IF(ISTEXT(B12),AP12/_xll.BDH(B12 &amp;  " Equity","BEST_EPS",$AM$3,$AM$3,"BEST_FPERIOD_OVERRIDE=1BF","CDR=US","Fill=p")-1,"")</f>
        <v>1.4331204161918132E-2</v>
      </c>
      <c r="AN12" s="194">
        <f ca="1">IF(ISTEXT(B12),AP12/_xll.BDH(B12 &amp;  " Equity","BEST_EPS",$AN$3,$AN$3,"BEST_FPERIOD_OVERRIDE=1BF","CDR=US","Fill=p")-1,"")</f>
        <v>6.6775510204081678E-2</v>
      </c>
      <c r="AO12" s="196">
        <f t="shared" ca="1" si="7"/>
        <v>19.096769617833917</v>
      </c>
      <c r="AP12" s="196" cm="1">
        <f t="array" aca="1" ref="AP12" ca="1">IF(ISTEXT(B12),_xll.BDH(B12 &amp;  " Equity","BEST_EPS",$Q$3,$Q$3,"BEST_FPERIOD_OVERRIDE=1BF","CDR=US","Fill=p"),"")</f>
        <v>267.89400000000001</v>
      </c>
      <c r="AR12" s="194">
        <f ca="1">IF(ISTEXT(C12),AU12/_xll.BDH(C12 &amp;  " Equity","BEST_EPS",$AM$3,$AM$3,"BEST_FPERIOD_OVERRIDE=1BF","CDR=US","Fill=p")-1,"")</f>
        <v>1.39525197834236E-2</v>
      </c>
      <c r="AS12" s="194">
        <f ca="1">IF(ISTEXT(C12),AU12/_xll.BDH(C12 &amp;  " Equity","BEST_EPS",$AN$3,$AN$3,"BEST_FPERIOD_OVERRIDE=1BF","CDR=US","Fill=p")-1,"")</f>
        <v>4.1051956382296417E-2</v>
      </c>
      <c r="AT12" s="196">
        <f t="shared" ca="1" si="8"/>
        <v>26.835079071677963</v>
      </c>
      <c r="AU12" s="196" cm="1">
        <f t="array" aca="1" ref="AU12" ca="1">IF(ISTEXT(C12),_xll.BDH(C12 &amp;  " Equity","BEST_EPS",$Q$3,$Q$3,"BEST_FPERIOD_OVERRIDE=1BF","CDR=US","Fill=p"),"")</f>
        <v>4.8689999999999998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3.9547041471153475E-3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342.4</v>
      </c>
      <c r="H13" s="257" cm="1">
        <f t="array" ref="H13">G13/_xll.BDP(B13&amp;" Equity", "PREV_CLOSE_VAL")-1</f>
        <v>2.2245638683995317E-3</v>
      </c>
      <c r="I13" s="256" cm="1">
        <f t="array" ref="I13">_xll.BDP(C13&amp;" Equity","LAST PRICE")</f>
        <v>342.47</v>
      </c>
      <c r="J13" s="257" cm="1">
        <f t="array" ref="J13">I13/_xll.BDP(C13&amp;" Equity", "PREV_CLOSE_VAL")-1</f>
        <v>1.5568471620900359E-2</v>
      </c>
      <c r="K13" s="258">
        <f t="shared" si="1"/>
        <v>0.99979560253452837</v>
      </c>
      <c r="L13" s="257" cm="1">
        <f t="array" ref="L13">K13/(_xll.BDP(B13&amp;" Equity", "PREV_CLOSE_VAL")/_xll.BDP(C13&amp;" Equity", "PREV_CLOSE_VAL"))-1</f>
        <v>-1.3139348183193844E-2</v>
      </c>
      <c r="M13" s="257"/>
      <c r="N13" s="190">
        <f t="shared" si="2"/>
        <v>1.0883137343967595</v>
      </c>
      <c r="O13" s="191">
        <f t="shared" si="3"/>
        <v>1.2073125393824826E-2</v>
      </c>
      <c r="P13" s="259" cm="1">
        <f t="array" ref="P13">_xll.BDP($A13&amp;" Index","VOLATILITY_30D")</f>
        <v>19.160049999999998</v>
      </c>
      <c r="Q13" s="259" cm="1">
        <f t="array" aca="1" ref="Q13" ca="1">(_xll.BDP(($B13&amp; " Equity"),"CORR_COEF", "BETA_OVERRIDE_REL_INDEX",($C13&amp; " Equity"),"BETA_OVERRIDE_END_DT",$Q$5,"BETA_OVERRIDE_START_DT",$Q$4))*100</f>
        <v>73.751698748863816</v>
      </c>
      <c r="R13" s="257"/>
      <c r="S13" s="257" cm="1">
        <f t="array" ref="S13">_xll.BDP($A13&amp;" Index","CHG_PCT_2D")/100</f>
        <v>2.794541E-2</v>
      </c>
      <c r="T13" s="257" cm="1">
        <f t="array" ref="T13">_xll.BDP($A13&amp;" Index","CHG_PCT_5D")/100</f>
        <v>2.9231889999999996E-2</v>
      </c>
      <c r="U13" s="257" cm="1">
        <f t="array" ref="U13">K13/_xll.BDP($A13&amp;" Index","HIGH_52WEEK")-1</f>
        <v>-5.9688502779632224E-2</v>
      </c>
      <c r="V13" s="257" cm="1">
        <f t="array" ref="V13">K13/_xll.BDP($A13&amp;" Index","LOW_52WEEK")-1</f>
        <v>0.16866815024491921</v>
      </c>
      <c r="W13" s="257"/>
      <c r="X13" s="259" cm="1">
        <f t="array" ref="X13">_xll.BDP($A13&amp;" Index","RSI_14D")</f>
        <v>57.679279999999999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0.11088400281614263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1.8495768434947519</v>
      </c>
      <c r="AI13" s="262" cm="1">
        <f t="array" ref="AI13">(_xll.BDP(C13&amp;" Equity","SHORT_INT")/_xll.BDP(C13&amp;" Equity","VOLUME_AVG_90D"))</f>
        <v>1.1119946862567973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0.13037087260871516</v>
      </c>
      <c r="AN13" s="260">
        <f ca="1">IF(ISTEXT(B13),AP13/_xll.BDH(B13 &amp;  " Equity","BEST_EPS",$AN$3,$AN$3,"BEST_FPERIOD_OVERRIDE=1BF","CDR=US","Fill=p")-1,"")</f>
        <v>0.19618213208668256</v>
      </c>
      <c r="AO13" s="262">
        <f t="shared" ca="1" si="7"/>
        <v>0.80226245510118477</v>
      </c>
      <c r="AP13" s="262" cm="1">
        <f t="array" aca="1" ref="AP13" ca="1">IF(ISTEXT(B13),_xll.BDH(B13 &amp;  " Equity","BEST_EPS",$Q$3,$Q$3,"BEST_FPERIOD_OVERRIDE=1BF","CDR=US","Fill=p"),"")</f>
        <v>426.79300000000001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2.0972370456288124E-3</v>
      </c>
      <c r="E14" s="263"/>
      <c r="F14" s="254"/>
      <c r="G14" s="256" cm="1">
        <f t="array" ref="G14">_xll.BDP(B14&amp;" Equity","LAST PRICE")</f>
        <v>186.23</v>
      </c>
      <c r="H14" s="257" cm="1">
        <f t="array" ref="H14">G14/_xll.BDP(B14&amp;" Equity", "PREV_CLOSE_VAL")-1</f>
        <v>-4.3838545843358778E-3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1.4077129501711565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1.0985587192214339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4.4051049814738619E-2</v>
      </c>
      <c r="AN14" s="260">
        <f ca="1">IF(ISTEXT(B14),AP14/_xll.BDH(B14 &amp;  " Equity","BEST_EPS",$AN$3,$AN$3,"BEST_FPERIOD_OVERRIDE=1BF","CDR=US","Fill=p")-1,"")</f>
        <v>0.29365754123448373</v>
      </c>
      <c r="AO14" s="262">
        <f t="shared" ca="1" si="7"/>
        <v>24.478180862250262</v>
      </c>
      <c r="AP14" s="262" cm="1">
        <f t="array" aca="1" ref="AP14" ca="1">IF(ISTEXT(B14),_xll.BDH(B14 &amp;  " Equity","BEST_EPS",$Q$3,$Q$3,"BEST_FPERIOD_OVERRIDE=1BF","CDR=US","Fill=p"),"")</f>
        <v>7.6079999999999997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328.3</v>
      </c>
      <c r="H15" s="188" cm="1">
        <f t="array" ref="H15">G15/_xll.BDP(B15&amp;" Equity", "PREV_CLOSE_VAL")-1</f>
        <v>1.6781083142638487E-3</v>
      </c>
      <c r="I15" s="187" cm="1">
        <f t="array" ref="I15">_xll.BDP(C15&amp;" Equity","LAST PRICE")</f>
        <v>199.05</v>
      </c>
      <c r="J15" s="188" cm="1">
        <f t="array" ref="J15">I15/_xll.BDP(C15&amp;" Equity", "PREV_CLOSE_VAL")-1</f>
        <v>-2.5556223692122515E-3</v>
      </c>
      <c r="K15" s="189">
        <f t="shared" si="1"/>
        <v>1.6493343381060035</v>
      </c>
      <c r="L15" s="188" cm="1">
        <f t="array" ref="L15">K15/(_xll.BDP(B15&amp;" Equity", "PREV_CLOSE_VAL")/_xll.BDP(C15&amp;" Equity", "PREV_CLOSE_VAL"))-1</f>
        <v>4.2445782225295492E-3</v>
      </c>
      <c r="M15" s="188"/>
      <c r="N15" s="190">
        <f t="shared" si="2"/>
        <v>0.26519423164445194</v>
      </c>
      <c r="O15" s="191">
        <f t="shared" si="3"/>
        <v>1.6005545053560177E-2</v>
      </c>
      <c r="P15" s="192" cm="1">
        <f t="array" ref="P15">_xll.BDP($A15&amp;" Index","VOLATILITY_30D")</f>
        <v>25.4008</v>
      </c>
      <c r="Q15" s="192" cm="1">
        <f t="array" aca="1" ref="Q15" ca="1">(_xll.BDP(($B15&amp; " Equity"),"CORR_COEF", "BETA_OVERRIDE_REL_INDEX",($C15&amp; " Equity"),"BETA_OVERRIDE_END_DT",$Q$5,"BETA_OVERRIDE_START_DT",$Q$4))*100</f>
        <v>54.295756423397037</v>
      </c>
      <c r="R15" s="188"/>
      <c r="S15" s="188" cm="1">
        <f t="array" ref="S15">_xll.BDP($A15&amp;" Index","CHG_PCT_2D")/100</f>
        <v>-8.7066220000000007E-3</v>
      </c>
      <c r="T15" s="188" cm="1">
        <f t="array" ref="T15">_xll.BDP($A15&amp;" Index","CHG_PCT_5D")/100</f>
        <v>-7.2160700000000008E-2</v>
      </c>
      <c r="U15" s="188" cm="1">
        <f t="array" ref="U15">K15/_xll.BDP($A15&amp;" Index","HIGH_52WEEK")-1</f>
        <v>-0.2087132619899521</v>
      </c>
      <c r="V15" s="188" cm="1">
        <f t="array" ref="V15">K15/_xll.BDP($A15&amp;" Index","LOW_52WEEK")-1</f>
        <v>4.2465343201267824E-3</v>
      </c>
      <c r="W15" s="188"/>
      <c r="X15" s="192" cm="1">
        <f t="array" ref="X15">_xll.BDP($A15&amp;" Index","RSI_14D")</f>
        <v>24.256879999999999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-0.17533283094699825</v>
      </c>
      <c r="AE15" s="188"/>
      <c r="AF15" s="195">
        <f>IF(ISTEXT(B15),_xll.BDP(B15 &amp; " Equity","EXPECTED_REPORT_DT")*1,"")</f>
        <v>46051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3.5809934813426829</v>
      </c>
      <c r="AI15" s="196" cm="1">
        <f t="array" ref="AI15">(_xll.BDP(C15&amp;" Equity","SHORT_INT")/_xll.BDP(C15&amp;" Equity","VOLUME_AVG_90D"))</f>
        <v>3.091673545257863</v>
      </c>
      <c r="AJ15" s="196" cm="1">
        <f t="array" ref="AJ15">(_xll.BDP(B15&amp;" Equity","SHORT_INT"))/((_xll.BDP(B15&amp;" Equity","EQY_FREE_FLOAT_PCT"))*(_xll.BDP(B15&amp;" Equity","EQY_SH_OUT_TOT_MULT_SH")))/100</f>
        <v>1.2834191718448422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9.8889396013996933E-3</v>
      </c>
      <c r="AN15" s="194">
        <f ca="1">IF(ISTEXT(B15),AP15/_xll.BDH(B15 &amp;  " Equity","BEST_EPS",$AN$3,$AN$3,"BEST_FPERIOD_OVERRIDE=1BF","CDR=US","Fill=p")-1,"")</f>
        <v>2.7156673114119956E-2</v>
      </c>
      <c r="AO15" s="196">
        <f t="shared" ca="1" si="7"/>
        <v>24.728833986140405</v>
      </c>
      <c r="AP15" s="196" cm="1">
        <f t="array" aca="1" ref="AP15" ca="1">IF(ISTEXT(B15),_xll.BDH(B15 &amp;  " Equity","BEST_EPS",$Q$3,$Q$3,"BEST_FPERIOD_OVERRIDE=1BF","CDR=US","Fill=p"),"")</f>
        <v>13.276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539.49</v>
      </c>
      <c r="H16" s="188" cm="1">
        <f t="array" ref="H16">G16/_xll.BDP(B16&amp;" Equity", "PREV_CLOSE_VAL")-1</f>
        <v>-5.8232746705979554E-3</v>
      </c>
      <c r="I16" s="187" cm="1">
        <f t="array" ref="I16">_xll.BDP(C16&amp;" Equity","LAST PRICE")</f>
        <v>199.05</v>
      </c>
      <c r="J16" s="188" cm="1">
        <f t="array" ref="J16">I16/_xll.BDP(C16&amp;" Equity", "PREV_CLOSE_VAL")-1</f>
        <v>-2.5556223692122515E-3</v>
      </c>
      <c r="K16" s="189">
        <f t="shared" si="1"/>
        <v>2.7103240391861338</v>
      </c>
      <c r="L16" s="188" cm="1">
        <f t="array" ref="L16">K16/(_xll.BDP(B16&amp;" Equity", "PREV_CLOSE_VAL")/_xll.BDP(C16&amp;" Equity", "PREV_CLOSE_VAL"))-1</f>
        <v>-3.2760245830925072E-3</v>
      </c>
      <c r="M16" s="188"/>
      <c r="N16" s="190">
        <f t="shared" si="2"/>
        <v>0.23702738090130651</v>
      </c>
      <c r="O16" s="191">
        <f t="shared" si="3"/>
        <v>1.3821291745431633E-2</v>
      </c>
      <c r="P16" s="192" cm="1">
        <f t="array" ref="P16">_xll.BDP($A16&amp;" Index","VOLATILITY_30D")</f>
        <v>21.93439</v>
      </c>
      <c r="Q16" s="192" cm="1">
        <f t="array" aca="1" ref="Q16" ca="1">(_xll.BDP(($B16&amp; " Equity"),"CORR_COEF", "BETA_OVERRIDE_REL_INDEX",($C16&amp; " Equity"),"BETA_OVERRIDE_END_DT",$Q$5,"BETA_OVERRIDE_START_DT",$Q$4))*100</f>
        <v>61.602470472060133</v>
      </c>
      <c r="R16" s="188"/>
      <c r="S16" s="188" cm="1">
        <f t="array" ref="S16">_xll.BDP($A16&amp;" Index","CHG_PCT_2D")/100</f>
        <v>-1.2002839999999999E-2</v>
      </c>
      <c r="T16" s="188" cm="1">
        <f t="array" ref="T16">_xll.BDP($A16&amp;" Index","CHG_PCT_5D")/100</f>
        <v>-6.6407519999999998E-2</v>
      </c>
      <c r="U16" s="188" cm="1">
        <f t="array" ref="U16">K16/_xll.BDP($A16&amp;" Index","HIGH_52WEEK")-1</f>
        <v>-0.18343073573249447</v>
      </c>
      <c r="V16" s="188" cm="1">
        <f t="array" ref="V16">K16/_xll.BDP($A16&amp;" Index","LOW_52WEEK")-1</f>
        <v>-3.2751774634238728E-3</v>
      </c>
      <c r="W16" s="188"/>
      <c r="X16" s="192" cm="1">
        <f t="array" ref="X16">_xll.BDP($A16&amp;" Index","RSI_14D")</f>
        <v>25.55463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-0.16861225791836376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2.289151760918938</v>
      </c>
      <c r="AI16" s="196" cm="1">
        <f t="array" ref="AI16">(_xll.BDP(C16&amp;" Equity","SHORT_INT")/_xll.BDP(C16&amp;" Equity","VOLUME_AVG_90D"))</f>
        <v>3.091673545257863</v>
      </c>
      <c r="AJ16" s="196" cm="1">
        <f t="array" ref="AJ16">(_xll.BDP(B16&amp;" Equity","SHORT_INT"))/((_xll.BDP(B16&amp;" Equity","EQY_FREE_FLOAT_PCT"))*(_xll.BDP(B16&amp;" Equity","EQY_SH_OUT_TOT_MULT_SH")))/100</f>
        <v>0.80025053597448659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1.2881177707676272E-2</v>
      </c>
      <c r="AN16" s="194">
        <f ca="1">IF(ISTEXT(B16),AP16/_xll.BDH(B16 &amp;  " Equity","BEST_EPS",$AN$3,$AN$3,"BEST_FPERIOD_OVERRIDE=1BF","CDR=US","Fill=p")-1,"")</f>
        <v>4.5590230664857456E-2</v>
      </c>
      <c r="AO16" s="196">
        <f t="shared" ca="1" si="7"/>
        <v>28.003633532312485</v>
      </c>
      <c r="AP16" s="196" cm="1">
        <f t="array" aca="1" ref="AP16" ca="1">IF(ISTEXT(B16),_xll.BDH(B16 &amp;  " Equity","BEST_EPS",$Q$3,$Q$3,"BEST_FPERIOD_OVERRIDE=1BF","CDR=US","Fill=p"),"")</f>
        <v>19.265000000000001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8.8280167749881617E-4</v>
      </c>
      <c r="E17" s="255">
        <f>SUMIF(Tabelad[Ticker],PAIR_Monitor!C17,Tabelad[Exp %])-E16-E15</f>
        <v>-8.8280167749881617E-4</v>
      </c>
      <c r="F17" s="254"/>
      <c r="G17" s="187" cm="1">
        <f t="array" ref="G17">_xll.BDP(B17&amp;" Equity","LAST PRICE")</f>
        <v>54.44</v>
      </c>
      <c r="H17" s="188" cm="1">
        <f t="array" ref="H17">G17/_xll.BDP(B17&amp;" Equity", "PREV_CLOSE_VAL")-1</f>
        <v>1.2874747103182038E-3</v>
      </c>
      <c r="I17" s="187" cm="1">
        <f t="array" ref="I17">_xll.BDP(C17&amp;" Equity","LAST PRICE")</f>
        <v>199.05</v>
      </c>
      <c r="J17" s="188" cm="1">
        <f t="array" ref="J17">I17/_xll.BDP(C17&amp;" Equity", "PREV_CLOSE_VAL")-1</f>
        <v>-2.5556223692122515E-3</v>
      </c>
      <c r="K17" s="189">
        <f t="shared" si="1"/>
        <v>0.27349912082391359</v>
      </c>
      <c r="L17" s="188" cm="1">
        <f t="array" ref="L17">K17/(_xll.BDP(B17&amp;" Equity", "PREV_CLOSE_VAL")/_xll.BDP(C17&amp;" Equity", "PREV_CLOSE_VAL"))-1</f>
        <v>3.8529437487619944E-3</v>
      </c>
      <c r="M17" s="188"/>
      <c r="N17" s="190">
        <f t="shared" si="2"/>
        <v>0.61388733484483304</v>
      </c>
      <c r="O17" s="191">
        <f t="shared" si="3"/>
        <v>6.2763043478260873E-3</v>
      </c>
      <c r="P17" s="192" cm="1">
        <f t="array" ref="P17">_xll.BDP($A17&amp;" Index","VOLATILITY_30D")</f>
        <v>9.9604949999999999</v>
      </c>
      <c r="Q17" s="192" cm="1">
        <f t="array" aca="1" ref="Q17" ca="1">(_xll.BDP(($B17&amp; " Equity"),"CORR_COEF", "BETA_OVERRIDE_REL_INDEX",($C17&amp; " Equity"),"BETA_OVERRIDE_END_DT",$Q$5,"BETA_OVERRIDE_START_DT",$Q$4))*100</f>
        <v>77.524511059979289</v>
      </c>
      <c r="R17" s="188"/>
      <c r="S17" s="188" cm="1">
        <f t="array" ref="S17">_xll.BDP($A17&amp;" Index","CHG_PCT_2D")/100</f>
        <v>-3.625039E-4</v>
      </c>
      <c r="T17" s="188" cm="1">
        <f t="array" ref="T17">_xll.BDP($A17&amp;" Index","CHG_PCT_5D")/100</f>
        <v>-3.3983090000000001E-2</v>
      </c>
      <c r="U17" s="188" cm="1">
        <f t="array" ref="U17">K17/_xll.BDP($A17&amp;" Index","HIGH_52WEEK")-1</f>
        <v>-5.7711900692804186E-2</v>
      </c>
      <c r="V17" s="188" cm="1">
        <f t="array" ref="V17">K17/_xll.BDP($A17&amp;" Index","LOW_52WEEK")-1</f>
        <v>3.8506912237605828E-3</v>
      </c>
      <c r="W17" s="188"/>
      <c r="X17" s="192" cm="1">
        <f t="array" ref="X17">_xll.BDP($A17&amp;" Index","RSI_14D")</f>
        <v>26.342890000000001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-5.6899583365815132E-2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1.4773685488142103</v>
      </c>
      <c r="AI17" s="196" cm="1">
        <f t="array" ref="AI17">(_xll.BDP(C17&amp;" Equity","SHORT_INT")/_xll.BDP(C17&amp;" Equity","VOLUME_AVG_90D"))</f>
        <v>3.091673545257863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54.44</v>
      </c>
      <c r="H18" s="188" cm="1">
        <f t="array" ref="H18">G18/_xll.BDP(B18&amp;" Equity", "PREV_CLOSE_VAL")-1</f>
        <v>1.2874747103182038E-3</v>
      </c>
      <c r="I18" s="187" cm="1">
        <f t="array" ref="I18">_xll.BDP(C18&amp;" Equity","LAST PRICE")</f>
        <v>493.29</v>
      </c>
      <c r="J18" s="188" cm="1">
        <f t="array" ref="J18">I18/_xll.BDP(C18&amp;" Equity", "PREV_CLOSE_VAL")-1</f>
        <v>1.3600747026105697E-3</v>
      </c>
      <c r="K18" s="189">
        <f t="shared" si="1"/>
        <v>0.11036104522694561</v>
      </c>
      <c r="L18" s="188" cm="1">
        <f t="array" ref="L18">K18/(_xll.BDP(B18&amp;" Equity", "PREV_CLOSE_VAL")/_xll.BDP(C18&amp;" Equity", "PREV_CLOSE_VAL"))-1</f>
        <v>-7.2501384992595952E-5</v>
      </c>
      <c r="M18" s="188"/>
      <c r="N18" s="190">
        <f t="shared" si="2"/>
        <v>7.7882912679156056E-3</v>
      </c>
      <c r="O18" s="191">
        <f t="shared" si="3"/>
        <v>9.3090233144297423E-3</v>
      </c>
      <c r="P18" s="192" cm="1">
        <f t="array" ref="P18">_xll.BDP($A18&amp;" Index","VOLATILITY_30D")</f>
        <v>14.77342</v>
      </c>
      <c r="Q18" s="192" cm="1">
        <f t="array" aca="1" ref="Q18" ca="1">(_xll.BDP(($B18&amp; " Equity"),"CORR_COEF", "BETA_OVERRIDE_REL_INDEX",($C18&amp; " Equity"),"BETA_OVERRIDE_END_DT",$Q$5,"BETA_OVERRIDE_START_DT",$Q$4))*100</f>
        <v>48.754080543575398</v>
      </c>
      <c r="R18" s="188"/>
      <c r="S18" s="188" cm="1">
        <f t="array" ref="S18">_xll.BDP($A18&amp;" Index","CHG_PCT_2D")/100</f>
        <v>5.1518929999999994E-3</v>
      </c>
      <c r="T18" s="188" cm="1">
        <f t="array" ref="T18">_xll.BDP($A18&amp;" Index","CHG_PCT_5D")/100</f>
        <v>-1.1561779999999999E-2</v>
      </c>
      <c r="U18" s="188" cm="1">
        <f t="array" ref="U18">K18/_xll.BDP($A18&amp;" Index","HIGH_52WEEK")-1</f>
        <v>-2.3958209720123747E-2</v>
      </c>
      <c r="V18" s="188" cm="1">
        <f t="array" ref="V18">K18/_xll.BDP($A18&amp;" Index","LOW_52WEEK")-1</f>
        <v>0.23987243261370184</v>
      </c>
      <c r="W18" s="188"/>
      <c r="X18" s="192" cm="1">
        <f t="array" ref="X18">_xll.BDP($A18&amp;" Index","RSI_14D")</f>
        <v>52.511499999999998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0.10361045226945609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1.4773685488142103</v>
      </c>
      <c r="AI18" s="196" cm="1">
        <f t="array" ref="AI18">(_xll.BDP(C18&amp;" Equity","SHORT_INT")/_xll.BDP(C18&amp;" Equity","VOLUME_AVG_90D"))</f>
        <v>2.4264420771794009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0.80829109816973665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1.7938913279516022E-3</v>
      </c>
      <c r="AS18" s="194">
        <f ca="1">IF(ISTEXT(C18),AU18/_xll.BDH(C18 &amp;  " Equity","BEST_EPS",$AN$3,$AN$3,"BEST_FPERIOD_OVERRIDE=1BF","CDR=US","Fill=p")-1,"")</f>
        <v>-1.2471497044999835E-2</v>
      </c>
      <c r="AT18" s="196">
        <f t="shared" ca="1" si="8"/>
        <v>23.24537015220772</v>
      </c>
      <c r="AU18" s="196" cm="1">
        <f t="array" aca="1" ref="AU18" ca="1">IF(ISTEXT(C18),_xll.BDH(C18 &amp;  " Equity","BEST_EPS",$Q$3,$Q$3,"BEST_FPERIOD_OVERRIDE=1BF","CDR=US","Fill=p"),"")</f>
        <v>21.221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1.1436816587790755E-4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35.380000000000003</v>
      </c>
      <c r="H29" s="188" cm="1">
        <f t="array" ref="H29">G29/_xll.BDP(B29&amp;" Equity", "PREV_CLOSE_VAL")-1</f>
        <v>6.5433854907539502E-3</v>
      </c>
      <c r="I29" s="187" cm="1">
        <f t="array" ref="I29">_xll.BDP(C29&amp;" Equity","LAST PRICE")</f>
        <v>66.25</v>
      </c>
      <c r="J29" s="188" cm="1">
        <f t="array" ref="J29">I29/_xll.BDP(C29&amp;" Equity", "PREV_CLOSE_VAL")-1</f>
        <v>8.8320389827927226E-3</v>
      </c>
      <c r="K29" s="189">
        <f t="shared" ref="K29:K41" si="9">G29/I29</f>
        <v>0.53403773584905667</v>
      </c>
      <c r="L29" s="188" cm="1">
        <f t="array" ref="L29">K29/(_xll.BDP(B29&amp;" Equity", "PREV_CLOSE_VAL")/_xll.BDP(C29&amp;" Equity", "PREV_CLOSE_VAL"))-1</f>
        <v>-2.2686169784479349E-3</v>
      </c>
      <c r="M29" s="188"/>
      <c r="N29" s="190">
        <f t="shared" ref="N29:N41" si="10">ABS(L29/O29)</f>
        <v>0.19453483751171824</v>
      </c>
      <c r="O29" s="191">
        <f>P29/15.87/100</f>
        <v>1.166175173282924E-2</v>
      </c>
      <c r="P29" s="192" cm="1">
        <f t="array" ref="P29">_xll.BDP($A29&amp;" Index","VOLATILITY_30D")</f>
        <v>18.507200000000001</v>
      </c>
      <c r="Q29" s="192" cm="1">
        <f t="array" aca="1" ref="Q29" ca="1">(_xll.BDP(($B29&amp; " Equity"),"CORR_COEF", "BETA_OVERRIDE_REL_INDEX",($C29&amp; " Equity"),"BETA_OVERRIDE_END_DT",$Q$5,"BETA_OVERRIDE_START_DT",$Q$4))*100</f>
        <v>54.997821337729476</v>
      </c>
      <c r="R29" s="188"/>
      <c r="S29" s="188" cm="1">
        <f t="array" ref="S29">_xll.BDP($A29&amp;" Index","CHG_PCT_2D")/100</f>
        <v>-5.8575010000000002E-3</v>
      </c>
      <c r="T29" s="188" cm="1">
        <f t="array" ref="T29">_xll.BDP($A29&amp;" Index","CHG_PCT_5D")/100</f>
        <v>-2.0842040000000001E-3</v>
      </c>
      <c r="U29" s="188" cm="1">
        <f t="array" ref="U29">K29/_xll.BDP($A29&amp;" Index","HIGH_52WEEK")-1</f>
        <v>-9.9445648725895675E-2</v>
      </c>
      <c r="V29" s="188" cm="1">
        <f t="array" ref="V29">K29/_xll.BDP($A29&amp;" Index","LOW_52WEEK")-1</f>
        <v>0.13198748510726976</v>
      </c>
      <c r="W29" s="188"/>
      <c r="X29" s="192" cm="1">
        <f t="array" ref="X29">_xll.BDP($A29&amp;" Index","RSI_14D")</f>
        <v>48.375509999999998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1.5464085943818975</v>
      </c>
      <c r="AI29" s="196" cm="1">
        <f t="array" ref="AI29">(_xll.BDP(C29&amp;" Equity","SHORT_INT")/_xll.BDP(C29&amp;" Equity","VOLUME_AVG_90D"))</f>
        <v>15.807818626064581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0.26181691462546786</v>
      </c>
      <c r="AM29" s="194">
        <f ca="1">IF(ISTEXT(B29),AP29/_xll.BDH(B29 &amp;  " Equity","BEST_EPS",$AM$3,$AM$3,"BEST_FPERIOD_OVERRIDE=1BF","CDR=US","Fill=p")-1,"")</f>
        <v>-1.6990291262135915E-2</v>
      </c>
      <c r="AN29" s="194">
        <f ca="1">IF(ISTEXT(B29),AP29/_xll.BDH(B29 &amp;  " Equity","BEST_EPS",$AN$3,$AN$3,"BEST_FPERIOD_OVERRIDE=1BF","CDR=US","Fill=p")-1,"")</f>
        <v>-2.4630541871921707E-3</v>
      </c>
      <c r="AO29" s="196">
        <f t="shared" ref="AO29:AO41" ca="1" si="14">G29/AP29</f>
        <v>12.479717813051147</v>
      </c>
      <c r="AP29" s="196" cm="1">
        <f t="array" aca="1" ref="AP29" ca="1">IF(ISTEXT(B29),_xll.BDH(B29 &amp;  " Equity","BEST_EPS",$Q$3,$Q$3,"BEST_FPERIOD_OVERRIDE=1BF","CDR=US","Fill=p"),"")</f>
        <v>2.835</v>
      </c>
      <c r="AR29" s="194">
        <f ca="1">IF(ISTEXT(C29),AU29/_xll.BDH(C29 &amp;  " Equity","BEST_EPS",$AM$3,$AM$3,"BEST_FPERIOD_OVERRIDE=1BF","CDR=US","Fill=p")-1,"")</f>
        <v>-1.428992339422519E-2</v>
      </c>
      <c r="AS29" s="194">
        <f ca="1">IF(ISTEXT(C29),AU29/_xll.BDH(C29 &amp;  " Equity","BEST_EPS",$AN$3,$AN$3,"BEST_FPERIOD_OVERRIDE=1BF","CDR=US","Fill=p")-1,"")</f>
        <v>-3.0149296999565145E-2</v>
      </c>
      <c r="AT29" s="196">
        <f t="shared" ref="AT29:AT41" ca="1" si="15">I29/AU29</f>
        <v>9.9013600358690788</v>
      </c>
      <c r="AU29" s="196" cm="1">
        <f t="array" aca="1" ref="AU29" ca="1">IF(ISTEXT(C29),_xll.BDH(C29 &amp;  " Equity","BEST_EPS",$Q$3,$Q$3,"BEST_FPERIOD_OVERRIDE=1BF","CDR=US","Fill=p"),"")</f>
        <v>6.6909999999999998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35.380000000000003</v>
      </c>
      <c r="H30" s="188" cm="1">
        <f t="array" ref="H30">G30/_xll.BDP(B30&amp;" Equity", "PREV_CLOSE_VAL")-1</f>
        <v>6.5433854907539502E-3</v>
      </c>
      <c r="I30" s="187" cm="1">
        <f t="array" ref="I30">_xll.BDP(C30&amp;" Equity","LAST PRICE")</f>
        <v>74.25</v>
      </c>
      <c r="J30" s="188" cm="1">
        <f t="array" ref="J30">I30/_xll.BDP(C30&amp;" Equity", "PREV_CLOSE_VAL")-1</f>
        <v>1.1304821574502855E-2</v>
      </c>
      <c r="K30" s="189">
        <f t="shared" si="9"/>
        <v>0.47649831649831653</v>
      </c>
      <c r="L30" s="188" cm="1">
        <f t="array" ref="L30">K30/(_xll.BDP(B30&amp;" Equity", "PREV_CLOSE_VAL")/_xll.BDP(C30&amp;" Equity", "PREV_CLOSE_VAL"))-1</f>
        <v>-4.7082106029473492E-3</v>
      </c>
      <c r="M30" s="188"/>
      <c r="N30" s="190">
        <f>ABS(L30/O30)</f>
        <v>0.40063474964530965</v>
      </c>
      <c r="O30" s="191">
        <f>P30/15.87/100</f>
        <v>1.1751877756773787E-2</v>
      </c>
      <c r="P30" s="192" cm="1">
        <f t="array" ref="P30">_xll.BDP($A30&amp;" Index","VOLATILITY_30D")</f>
        <v>18.650230000000001</v>
      </c>
      <c r="Q30" s="192" cm="1">
        <f t="array" aca="1" ref="Q30" ca="1">(_xll.BDP(($B30&amp; " Equity"),"CORR_COEF", "BETA_OVERRIDE_REL_INDEX",($C30&amp; " Equity"),"BETA_OVERRIDE_END_DT",$Q$5,"BETA_OVERRIDE_START_DT",$Q$4))*100</f>
        <v>65.007559029785341</v>
      </c>
      <c r="R30" s="188"/>
      <c r="S30" s="188" cm="1">
        <f t="array" ref="S30">_xll.BDP($A30&amp;" Index","CHG_PCT_2D")/100</f>
        <v>-6.2796900000000001E-3</v>
      </c>
      <c r="T30" s="188" cm="1">
        <f t="array" ref="T30">_xll.BDP($A30&amp;" Index","CHG_PCT_5D")/100</f>
        <v>-1.1085959999999999E-2</v>
      </c>
      <c r="U30" s="188" cm="1">
        <f t="array" ref="U30">K30/_xll.BDP($A30&amp;" Index","HIGH_52WEEK")-1</f>
        <v>-8.6082480152064544E-2</v>
      </c>
      <c r="V30" s="188" cm="1">
        <f t="array" ref="V30">K30/_xll.BDP($A30&amp;" Index","LOW_52WEEK")-1</f>
        <v>0.12922320662207398</v>
      </c>
      <c r="W30" s="188"/>
      <c r="X30" s="192" cm="1">
        <f t="array" ref="X30">_xll.BDP($A30&amp;" Index","RSI_14D")</f>
        <v>49.589329999999997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1.5464085943818975</v>
      </c>
      <c r="AI30" s="196" cm="1">
        <f t="array" ref="AI30">(_xll.BDP(C30&amp;" Equity","SHORT_INT")/_xll.BDP(C30&amp;" Equity","VOLUME_AVG_90D"))</f>
        <v>2.7426878158598815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-1.6990291262135915E-2</v>
      </c>
      <c r="AN30" s="194">
        <f ca="1">IF(ISTEXT(B30),AP30/_xll.BDH(B30 &amp;  " Equity","BEST_EPS",$AN$3,$AN$3,"BEST_FPERIOD_OVERRIDE=1BF","CDR=US","Fill=p")-1,"")</f>
        <v>-2.4630541871921707E-3</v>
      </c>
      <c r="AO30" s="196">
        <f t="shared" ca="1" si="14"/>
        <v>12.479717813051147</v>
      </c>
      <c r="AP30" s="196" cm="1">
        <f t="array" aca="1" ref="AP30" ca="1">IF(ISTEXT(B30),_xll.BDH(B30 &amp;  " Equity","BEST_EPS",$Q$3,$Q$3,"BEST_FPERIOD_OVERRIDE=1BF","CDR=US","Fill=p"),"")</f>
        <v>2.835</v>
      </c>
      <c r="AR30" s="194">
        <f ca="1">IF(ISTEXT(C30),AU30/_xll.BDH(C30 &amp;  " Equity","BEST_EPS",$AM$3,$AM$3,"BEST_FPERIOD_OVERRIDE=1BF","CDR=US","Fill=p")-1,"")</f>
        <v>4.4621513944222979E-3</v>
      </c>
      <c r="AS30" s="194">
        <f ca="1">IF(ISTEXT(C30),AU30/_xll.BDH(C30 &amp;  " Equity","BEST_EPS",$AN$3,$AN$3,"BEST_FPERIOD_OVERRIDE=1BF","CDR=US","Fill=p")-1,"")</f>
        <v>-1.0207286432160845E-2</v>
      </c>
      <c r="AT30" s="196">
        <f t="shared" ca="1" si="15"/>
        <v>11.780104712041885</v>
      </c>
      <c r="AU30" s="196" cm="1">
        <f t="array" aca="1" ref="AU30" ca="1">IF(ISTEXT(C30),_xll.BDH(C30 &amp;  " Equity","BEST_EPS",$Q$3,$Q$3,"BEST_FPERIOD_OVERRIDE=1BF","CDR=US","Fill=p"),"")</f>
        <v>6.3029999999999999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227.11</v>
      </c>
      <c r="H31" s="188" cm="1">
        <f t="array" ref="H31">G31/_xll.BDP(B31&amp;" Equity", "PREV_CLOSE_VAL")-1</f>
        <v>-2.7491114631952973E-2</v>
      </c>
      <c r="I31" s="187" cm="1">
        <f t="array" ref="I31">_xll.BDP(C31&amp;" Equity","LAST PRICE")</f>
        <v>621.26</v>
      </c>
      <c r="J31" s="188" cm="1">
        <f t="array" ref="J31">I31/_xll.BDP(C31&amp;" Equity", "PREV_CLOSE_VAL")-1</f>
        <v>-8.3630866222772493E-4</v>
      </c>
      <c r="K31" s="189">
        <f t="shared" si="9"/>
        <v>0.36556353217654447</v>
      </c>
      <c r="L31" s="188" cm="1">
        <f t="array" ref="L31">K31/(_xll.BDP(B31&amp;" Equity", "PREV_CLOSE_VAL")/_xll.BDP(C31&amp;" Equity", "PREV_CLOSE_VAL"))-1</f>
        <v>-2.6677116273147727E-2</v>
      </c>
      <c r="M31" s="188"/>
      <c r="N31" s="190">
        <f t="shared" si="10"/>
        <v>1.1395539641586321</v>
      </c>
      <c r="O31" s="191">
        <f>P31/15.87/100</f>
        <v>2.3410138626339005E-2</v>
      </c>
      <c r="P31" s="192" cm="1">
        <f t="array" ref="P31">_xll.BDP($A31&amp;" Index","VOLATILITY_30D")</f>
        <v>37.151890000000002</v>
      </c>
      <c r="Q31" s="192" cm="1">
        <f t="array" aca="1" ref="Q31" ca="1">(_xll.BDP(($B31&amp; " Equity"),"CORR_COEF", "BETA_OVERRIDE_REL_INDEX",($C31&amp; " Equity"),"BETA_OVERRIDE_END_DT",$Q$5,"BETA_OVERRIDE_START_DT",$Q$4))*100</f>
        <v>41.699491339718634</v>
      </c>
      <c r="R31" s="188"/>
      <c r="S31" s="188" cm="1">
        <f t="array" ref="S31">_xll.BDP($A31&amp;" Index","CHG_PCT_2D")/100</f>
        <v>-2.87157E-2</v>
      </c>
      <c r="T31" s="188" cm="1">
        <f t="array" ref="T31">_xll.BDP($A31&amp;" Index","CHG_PCT_5D")/100</f>
        <v>-9.4571020000000006E-2</v>
      </c>
      <c r="U31" s="188" cm="1">
        <f t="array" ref="U31">K31/_xll.BDP($A31&amp;" Index","HIGH_52WEEK")-1</f>
        <v>-0.4700518517033031</v>
      </c>
      <c r="V31" s="188" cm="1">
        <f t="array" ref="V31">K31/_xll.BDP($A31&amp;" Index","LOW_52WEEK")-1</f>
        <v>-1.5767777242624237E-2</v>
      </c>
      <c r="W31" s="188"/>
      <c r="X31" s="192" cm="1">
        <f t="array" ref="X31">_xll.BDP($A31&amp;" Index","RSI_14D")</f>
        <v>30.549099999999999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2.0377571778085364</v>
      </c>
      <c r="AI31" s="196" cm="1">
        <f t="array" ref="AI31">(_xll.BDP(C31&amp;" Equity","SHORT_INT")/_xll.BDP(C31&amp;" Equity","VOLUME_AVG_90D"))</f>
        <v>0.77899092727734198</v>
      </c>
      <c r="AJ31" s="196" cm="1">
        <f t="array" ref="AJ31">(_xll.BDP(B31&amp;" Equity","SHORT_INT"))/((_xll.BDP(B31&amp;" Equity","EQY_FREE_FLOAT_PCT"))*(_xll.BDP(B31&amp;" Equity","EQY_SH_OUT_TOT_MULT_SH")))/100</f>
        <v>1.8450467518064286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1.0824504836480786E-2</v>
      </c>
      <c r="AN31" s="194">
        <f ca="1">IF(ISTEXT(B31),AP31/_xll.BDH(B31 &amp;  " Equity","BEST_EPS",$AN$3,$AN$3,"BEST_FPERIOD_OVERRIDE=1BF","CDR=US","Fill=p")-1,"")</f>
        <v>6.866325785244709E-2</v>
      </c>
      <c r="AO31" s="196">
        <f t="shared" ca="1" si="14"/>
        <v>17.248424090529355</v>
      </c>
      <c r="AP31" s="196" cm="1">
        <f t="array" aca="1" ref="AP31" ca="1">IF(ISTEXT(B31),_xll.BDH(B31 &amp;  " Equity","BEST_EPS",$Q$3,$Q$3,"BEST_FPERIOD_OVERRIDE=1BF","CDR=US","Fill=p"),"")</f>
        <v>13.167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227.11</v>
      </c>
      <c r="H32" s="188" cm="1">
        <f t="array" ref="H32">G32/_xll.BDP(B32&amp;" Equity", "PREV_CLOSE_VAL")-1</f>
        <v>-2.7491114631952973E-2</v>
      </c>
      <c r="I32" s="187" cm="1">
        <f t="array" ref="I32">_xll.BDP(C32&amp;" Equity","LAST PRICE")</f>
        <v>98.31</v>
      </c>
      <c r="J32" s="188" cm="1">
        <f t="array" ref="J32">I32/_xll.BDP(C32&amp;" Equity", "PREV_CLOSE_VAL")-1</f>
        <v>-1.4732411304870685E-2</v>
      </c>
      <c r="K32" s="189">
        <f t="shared" si="9"/>
        <v>2.3101413894822502</v>
      </c>
      <c r="L32" s="188" cm="1">
        <f t="array" ref="L32">K32/(_xll.BDP(B32&amp;" Equity", "PREV_CLOSE_VAL")/_xll.BDP(C32&amp;" Equity", "PREV_CLOSE_VAL"))-1</f>
        <v>-1.2949480398497304E-2</v>
      </c>
      <c r="M32" s="188"/>
      <c r="N32" s="190">
        <f t="shared" si="10"/>
        <v>0.77597252799110183</v>
      </c>
      <c r="O32" s="191">
        <f t="shared" ref="O32:O55" si="17">P32/15.87/100</f>
        <v>1.6688065532451165E-2</v>
      </c>
      <c r="P32" s="192" cm="1">
        <f t="array" ref="P32">_xll.BDP($A32&amp;" Index","VOLATILITY_30D")</f>
        <v>26.48396</v>
      </c>
      <c r="Q32" s="192" cm="1">
        <f t="array" aca="1" ref="Q32" ca="1">(_xll.BDP(($B32&amp; " Equity"),"CORR_COEF", "BETA_OVERRIDE_REL_INDEX",($C32&amp; " Equity"),"BETA_OVERRIDE_END_DT",$Q$5,"BETA_OVERRIDE_START_DT",$Q$4))*100</f>
        <v>73.454116917514781</v>
      </c>
      <c r="R32" s="188"/>
      <c r="S32" s="188" cm="1">
        <f t="array" ref="S32">_xll.BDP($A32&amp;" Index","CHG_PCT_2D")/100</f>
        <v>-1.2608760000000002E-2</v>
      </c>
      <c r="T32" s="188" cm="1">
        <f t="array" ref="T32">_xll.BDP($A32&amp;" Index","CHG_PCT_5D")/100</f>
        <v>-5.4600080000000002E-2</v>
      </c>
      <c r="U32" s="188" cm="1">
        <f t="array" ref="U32">K32/_xll.BDP($A32&amp;" Index","HIGH_52WEEK")-1</f>
        <v>-0.32617900097355335</v>
      </c>
      <c r="V32" s="188" cm="1">
        <f t="array" ref="V32">K32/_xll.BDP($A32&amp;" Index","LOW_52WEEK")-1</f>
        <v>0.12787206001389007</v>
      </c>
      <c r="W32" s="188"/>
      <c r="X32" s="192" cm="1">
        <f t="array" ref="X32">_xll.BDP($A32&amp;" Index","RSI_14D")</f>
        <v>40.615389999999998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2.0377571778085364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1.8450467518064286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1.0824504836480786E-2</v>
      </c>
      <c r="AN32" s="194">
        <f ca="1">IF(ISTEXT(B32),AP32/_xll.BDH(B32 &amp;  " Equity","BEST_EPS",$AN$3,$AN$3,"BEST_FPERIOD_OVERRIDE=1BF","CDR=US","Fill=p")-1,"")</f>
        <v>6.866325785244709E-2</v>
      </c>
      <c r="AO32" s="196">
        <f t="shared" ca="1" si="14"/>
        <v>17.248424090529355</v>
      </c>
      <c r="AP32" s="196" cm="1">
        <f t="array" aca="1" ref="AP32" ca="1">IF(ISTEXT(B32),_xll.BDH(B32 &amp;  " Equity","BEST_EPS",$Q$3,$Q$3,"BEST_FPERIOD_OVERRIDE=1BF","CDR=US","Fill=p"),"")</f>
        <v>13.167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620.25</v>
      </c>
      <c r="H33" s="188" cm="1">
        <f t="array" ref="H33">G33/_xll.BDP(B33&amp;" Equity", "PREV_CLOSE_VAL")-1</f>
        <v>-8.8595360824739178E-4</v>
      </c>
      <c r="I33" s="187" cm="1">
        <f t="array" ref="I33">_xll.BDP(C33&amp;" Equity","LAST PRICE")</f>
        <v>621.26</v>
      </c>
      <c r="J33" s="188" cm="1">
        <f t="array" ref="J33">I33/_xll.BDP(C33&amp;" Equity", "PREV_CLOSE_VAL")-1</f>
        <v>-8.3630866222772493E-4</v>
      </c>
      <c r="K33" s="189">
        <f t="shared" si="9"/>
        <v>0.99837427164150272</v>
      </c>
      <c r="L33" s="188" cm="1">
        <f t="array" ref="L33">K33/(_xll.BDP(B33&amp;" Equity", "PREV_CLOSE_VAL")/_xll.BDP(C33&amp;" Equity", "PREV_CLOSE_VAL"))-1</f>
        <v>-4.9686499269396833E-5</v>
      </c>
      <c r="M33" s="188"/>
      <c r="N33" s="190">
        <f t="shared" si="10"/>
        <v>3.8792732452943594E-3</v>
      </c>
      <c r="O33" s="191">
        <f t="shared" si="17"/>
        <v>1.2808197857592941E-2</v>
      </c>
      <c r="P33" s="192" cm="1">
        <f t="array" ref="P33">_xll.BDP($A33&amp;" Index","VOLATILITY_30D")</f>
        <v>20.326609999999999</v>
      </c>
      <c r="Q33" s="192" cm="1">
        <f t="array" aca="1" ref="Q33" ca="1">(_xll.BDP(($B33&amp; " Equity"),"CORR_COEF", "BETA_OVERRIDE_REL_INDEX",($C33&amp; " Equity"),"BETA_OVERRIDE_END_DT",$Q$5,"BETA_OVERRIDE_START_DT",$Q$4))*100</f>
        <v>41.923494561175303</v>
      </c>
      <c r="R33" s="188"/>
      <c r="S33" s="188" cm="1">
        <f t="array" ref="S33">_xll.BDP($A33&amp;" Index","CHG_PCT_2D")/100</f>
        <v>4.9569430000000001E-3</v>
      </c>
      <c r="T33" s="188" cm="1">
        <f t="array" ref="T33">_xll.BDP($A33&amp;" Index","CHG_PCT_5D")/100</f>
        <v>-4.1956730000000005E-2</v>
      </c>
      <c r="U33" s="188" cm="1">
        <f t="array" ref="U33">K33/_xll.BDP($A33&amp;" Index","HIGH_52WEEK")-1</f>
        <v>-0.27459545764622351</v>
      </c>
      <c r="V33" s="188" cm="1">
        <f t="array" ref="V33">K33/_xll.BDP($A33&amp;" Index","LOW_52WEEK")-1</f>
        <v>1.8157063383035021E-2</v>
      </c>
      <c r="W33" s="188"/>
      <c r="X33" s="192" cm="1">
        <f t="array" ref="X33">_xll.BDP($A33&amp;" Index","RSI_14D")</f>
        <v>31.894449999999999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46050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2.0112794845580537</v>
      </c>
      <c r="AI33" s="196" cm="1">
        <f t="array" ref="AI33">(_xll.BDP(C33&amp;" Equity","SHORT_INT")/_xll.BDP(C33&amp;" Equity","VOLUME_AVG_90D"))</f>
        <v>0.77899092727734198</v>
      </c>
      <c r="AJ33" s="196" cm="1">
        <f t="array" ref="AJ33">(_xll.BDP(B33&amp;" Equity","SHORT_INT"))/((_xll.BDP(B33&amp;" Equity","EQY_FREE_FLOAT_PCT"))*(_xll.BDP(B33&amp;" Equity","EQY_SH_OUT_TOT_MULT_SH")))/100</f>
        <v>1.3150295972392925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2.6922845268927187E-2</v>
      </c>
      <c r="AN33" s="194">
        <f ca="1">IF(ISTEXT(B33),AP33/_xll.BDH(B33 &amp;  " Equity","BEST_EPS",$AN$3,$AN$3,"BEST_FPERIOD_OVERRIDE=1BF","CDR=US","Fill=p")-1,"")</f>
        <v>-1.2195475217983254E-2</v>
      </c>
      <c r="AO33" s="196">
        <f t="shared" ca="1" si="14"/>
        <v>18.189149560117301</v>
      </c>
      <c r="AP33" s="196" cm="1">
        <f t="array" aca="1" ref="AP33" ca="1">IF(ISTEXT(B33),_xll.BDH(B33 &amp;  " Equity","BEST_EPS",$Q$3,$Q$3,"BEST_FPERIOD_OVERRIDE=1BF","CDR=US","Fill=p"),"")</f>
        <v>34.1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342.4</v>
      </c>
      <c r="H34" s="188" cm="1">
        <f t="array" ref="H34">G34/_xll.BDP(B34&amp;" Equity", "PREV_CLOSE_VAL")-1</f>
        <v>2.2245638683995317E-3</v>
      </c>
      <c r="I34" s="187" cm="1">
        <f t="array" ref="I34">_xll.BDP(C34&amp;" Equity","LAST PRICE")</f>
        <v>400.39</v>
      </c>
      <c r="J34" s="188" cm="1">
        <f t="array" ref="J34">I34/_xll.BDP(C34&amp;" Equity", "PREV_CLOSE_VAL")-1</f>
        <v>1.0040109987134338E-2</v>
      </c>
      <c r="K34" s="189">
        <f t="shared" si="9"/>
        <v>0.85516621294238115</v>
      </c>
      <c r="L34" s="188" cm="1">
        <f t="array" ref="L34">K34/(_xll.BDP(B34&amp;" Equity", "PREV_CLOSE_VAL")/_xll.BDP(C34&amp;" Equity", "PREV_CLOSE_VAL"))-1</f>
        <v>-7.7378571815672759E-3</v>
      </c>
      <c r="M34" s="188"/>
      <c r="N34" s="190">
        <f t="shared" si="10"/>
        <v>0.71805774101153141</v>
      </c>
      <c r="O34" s="191">
        <f t="shared" si="17"/>
        <v>1.0776093257718966E-2</v>
      </c>
      <c r="P34" s="192" cm="1">
        <f t="array" ref="P34">_xll.BDP($A34&amp;" Index","VOLATILITY_30D")</f>
        <v>17.101659999999999</v>
      </c>
      <c r="Q34" s="192" cm="1">
        <f t="array" aca="1" ref="Q34" ca="1">(_xll.BDP(($B34&amp; " Equity"),"CORR_COEF", "BETA_OVERRIDE_REL_INDEX",($C34&amp; " Equity"),"BETA_OVERRIDE_END_DT",$Q$5,"BETA_OVERRIDE_START_DT",$Q$4))*100</f>
        <v>79.44868155964086</v>
      </c>
      <c r="R34" s="188"/>
      <c r="S34" s="188" cm="1">
        <f t="array" ref="S34">_xll.BDP($A34&amp;" Index","CHG_PCT_2D")/100</f>
        <v>2.317777E-2</v>
      </c>
      <c r="T34" s="188" cm="1">
        <f t="array" ref="T34">_xll.BDP($A34&amp;" Index","CHG_PCT_5D")/100</f>
        <v>3.6496819999999999E-2</v>
      </c>
      <c r="U34" s="188" cm="1">
        <f t="array" ref="U34">K34/_xll.BDP($A34&amp;" Index","HIGH_52WEEK")-1</f>
        <v>-4.0798827935503601E-2</v>
      </c>
      <c r="V34" s="188" cm="1">
        <f t="array" ref="V34">K34/_xll.BDP($A34&amp;" Index","LOW_52WEEK")-1</f>
        <v>0.13570906656535531</v>
      </c>
      <c r="W34" s="188"/>
      <c r="X34" s="192" cm="1">
        <f t="array" ref="X34">_xll.BDP($A34&amp;" Index","RSI_14D")</f>
        <v>62.322479999999999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1.8495768434947519</v>
      </c>
      <c r="AI34" s="196" cm="1">
        <f t="array" ref="AI34">(_xll.BDP(C34&amp;" Equity","SHORT_INT")/_xll.BDP(C34&amp;" Equity","VOLUME_AVG_90D"))</f>
        <v>1.2270195206950749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0.13037087260871516</v>
      </c>
      <c r="AN34" s="194">
        <f ca="1">IF(ISTEXT(B34),AP34/_xll.BDH(B34 &amp;  " Equity","BEST_EPS",$AN$3,$AN$3,"BEST_FPERIOD_OVERRIDE=1BF","CDR=US","Fill=p")-1,"")</f>
        <v>0.19618213208668256</v>
      </c>
      <c r="AO34" s="196">
        <f t="shared" ca="1" si="14"/>
        <v>0.80226245510118477</v>
      </c>
      <c r="AP34" s="196" cm="1">
        <f t="array" aca="1" ref="AP34" ca="1">IF(ISTEXT(B34),_xll.BDH(B34 &amp;  " Equity","BEST_EPS",$Q$3,$Q$3,"BEST_FPERIOD_OVERRIDE=1BF","CDR=US","Fill=p"),"")</f>
        <v>426.79300000000001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186.23</v>
      </c>
      <c r="H35" s="188" cm="1">
        <f t="array" ref="H35">G35/_xll.BDP(B35&amp;" Equity", "PREV_CLOSE_VAL")-1</f>
        <v>-4.3838545843358778E-3</v>
      </c>
      <c r="I35" s="187" cm="1">
        <f t="array" ref="I35">_xll.BDP(C35&amp;" Equity","LAST PRICE")</f>
        <v>400.39</v>
      </c>
      <c r="J35" s="188" cm="1">
        <f t="array" ref="J35">I35/_xll.BDP(C35&amp;" Equity", "PREV_CLOSE_VAL")-1</f>
        <v>1.0040109987134338E-2</v>
      </c>
      <c r="K35" s="189">
        <f t="shared" si="9"/>
        <v>0.46512150653113216</v>
      </c>
      <c r="L35" s="188" cm="1">
        <f t="array" ref="L35">K35/(_xll.BDP(B35&amp;" Equity", "PREV_CLOSE_VAL")/_xll.BDP(C35&amp;" Equity", "PREV_CLOSE_VAL"))-1</f>
        <v>-1.4280585918171051E-2</v>
      </c>
      <c r="M35" s="188"/>
      <c r="N35" s="190">
        <f t="shared" si="10"/>
        <v>1.0064199853338671</v>
      </c>
      <c r="O35" s="191">
        <f t="shared" si="17"/>
        <v>1.4189489603024574E-2</v>
      </c>
      <c r="P35" s="192" cm="1">
        <f t="array" ref="P35">_xll.BDP($A35&amp;" Index","VOLATILITY_30D")</f>
        <v>22.518719999999998</v>
      </c>
      <c r="Q35" s="192" cm="1">
        <f t="array" aca="1" ref="Q35" ca="1">(_xll.BDP(($B35&amp; " Equity"),"CORR_COEF", "BETA_OVERRIDE_REL_INDEX",($C35&amp; " Equity"),"BETA_OVERRIDE_END_DT",$Q$5,"BETA_OVERRIDE_START_DT",$Q$4))*100</f>
        <v>58.266282301807323</v>
      </c>
      <c r="R35" s="188"/>
      <c r="S35" s="188" cm="1">
        <f t="array" ref="S35">_xll.BDP($A35&amp;" Index","CHG_PCT_2D")/100</f>
        <v>5.8335199999999998E-4</v>
      </c>
      <c r="T35" s="188" cm="1">
        <f t="array" ref="T35">_xll.BDP($A35&amp;" Index","CHG_PCT_5D")/100</f>
        <v>-6.505739E-3</v>
      </c>
      <c r="U35" s="188" cm="1">
        <f t="array" ref="U35">K35/_xll.BDP($A35&amp;" Index","HIGH_52WEEK")-1</f>
        <v>-0.25698252922389797</v>
      </c>
      <c r="V35" s="188" cm="1">
        <f t="array" ref="V35">K35/_xll.BDP($A35&amp;" Index","LOW_52WEEK")-1</f>
        <v>-1.3695435491046792E-2</v>
      </c>
      <c r="W35" s="188"/>
      <c r="X35" s="192" cm="1">
        <f t="array" ref="X35">_xll.BDP($A35&amp;" Index","RSI_14D")</f>
        <v>31.808540000000001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1.4077129501711565</v>
      </c>
      <c r="AI35" s="196" cm="1">
        <f t="array" ref="AI35">(_xll.BDP(C35&amp;" Equity","SHORT_INT")/_xll.BDP(C35&amp;" Equity","VOLUME_AVG_90D"))</f>
        <v>1.2270195206950749</v>
      </c>
      <c r="AJ35" s="196" cm="1">
        <f t="array" ref="AJ35">(_xll.BDP(B35&amp;" Equity","SHORT_INT"))/((_xll.BDP(B35&amp;" Equity","EQY_FREE_FLOAT_PCT"))*(_xll.BDP(B35&amp;" Equity","EQY_SH_OUT_TOT_MULT_SH")))/100</f>
        <v>1.0985587192214339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4.4051049814738619E-2</v>
      </c>
      <c r="AN35" s="194">
        <f ca="1">IF(ISTEXT(B35),AP35/_xll.BDH(B35 &amp;  " Equity","BEST_EPS",$AN$3,$AN$3,"BEST_FPERIOD_OVERRIDE=1BF","CDR=US","Fill=p")-1,"")</f>
        <v>0.29365754123448373</v>
      </c>
      <c r="AO35" s="196">
        <f t="shared" ca="1" si="14"/>
        <v>24.478180862250262</v>
      </c>
      <c r="AP35" s="196" cm="1">
        <f t="array" aca="1" ref="AP35" ca="1">IF(ISTEXT(B35),_xll.BDH(B35 &amp;  " Equity","BEST_EPS",$Q$3,$Q$3,"BEST_FPERIOD_OVERRIDE=1BF","CDR=US","Fill=p"),"")</f>
        <v>7.6079999999999997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351.71</v>
      </c>
      <c r="H36" s="188" cm="1">
        <f t="array" ref="H36">G36/_xll.BDP(B36&amp;" Equity", "PREV_CLOSE_VAL")-1</f>
        <v>2.5333799778438637E-2</v>
      </c>
      <c r="I36" s="187" cm="1">
        <f t="array" ref="I36">_xll.BDP(C36&amp;" Equity","LAST PRICE")</f>
        <v>400.39</v>
      </c>
      <c r="J36" s="188" cm="1">
        <f t="array" ref="J36">I36/_xll.BDP(C36&amp;" Equity", "PREV_CLOSE_VAL")-1</f>
        <v>1.0040109987134338E-2</v>
      </c>
      <c r="K36" s="189">
        <f t="shared" si="9"/>
        <v>0.87841854192162638</v>
      </c>
      <c r="L36" s="188" cm="1">
        <f t="array" ref="L36">K36/(_xll.BDP(B36&amp;" Equity", "PREV_CLOSE_VAL")/_xll.BDP(C36&amp;" Equity", "PREV_CLOSE_VAL"))-1</f>
        <v>1.5141665801270854E-2</v>
      </c>
      <c r="M36" s="188"/>
      <c r="N36" s="190">
        <f t="shared" si="10"/>
        <v>0.69422929225987429</v>
      </c>
      <c r="O36" s="191">
        <f t="shared" si="17"/>
        <v>2.1810756143667297E-2</v>
      </c>
      <c r="P36" s="192" cm="1">
        <f t="array" ref="P36">_xll.BDP($A36&amp;" Index","VOLATILITY_30D")</f>
        <v>34.613669999999999</v>
      </c>
      <c r="Q36" s="192" cm="1">
        <f t="array" aca="1" ref="Q36" ca="1">(_xll.BDP(($B36&amp; " Equity"),"CORR_COEF", "BETA_OVERRIDE_REL_INDEX",($C36&amp; " Equity"),"BETA_OVERRIDE_END_DT",$Q$5,"BETA_OVERRIDE_START_DT",$Q$4))*100</f>
        <v>60.167143068553422</v>
      </c>
      <c r="R36" s="188"/>
      <c r="S36" s="188" cm="1">
        <f t="array" ref="S36">_xll.BDP($A36&amp;" Index","CHG_PCT_2D")/100</f>
        <v>-1.130658E-2</v>
      </c>
      <c r="T36" s="188" cm="1">
        <f t="array" ref="T36">_xll.BDP($A36&amp;" Index","CHG_PCT_5D")/100</f>
        <v>-2.368367E-2</v>
      </c>
      <c r="U36" s="188" cm="1">
        <f t="array" ref="U36">K36/_xll.BDP($A36&amp;" Index","HIGH_52WEEK")-1</f>
        <v>-0.28496659184238793</v>
      </c>
      <c r="V36" s="188" cm="1">
        <f t="array" ref="V36">K36/_xll.BDP($A36&amp;" Index","LOW_52WEEK")-1</f>
        <v>0.11546628137706683</v>
      </c>
      <c r="W36" s="188"/>
      <c r="X36" s="192" cm="1">
        <f t="array" ref="X36">_xll.BDP($A36&amp;" Index","RSI_14D")</f>
        <v>29.158670000000001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2.0007515542485819</v>
      </c>
      <c r="AI36" s="196" cm="1">
        <f t="array" ref="AI36">(_xll.BDP(C36&amp;" Equity","SHORT_INT")/_xll.BDP(C36&amp;" Equity","VOLUME_AVG_90D"))</f>
        <v>1.2270195206950749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4.0632486823191094E-2</v>
      </c>
      <c r="AN36" s="194">
        <f ca="1">IF(ISTEXT(B36),AP36/_xll.BDH(B36 &amp;  " Equity","BEST_EPS",$AN$3,$AN$3,"BEST_FPERIOD_OVERRIDE=1BF","CDR=US","Fill=p")-1,"")</f>
        <v>0.1796849538294405</v>
      </c>
      <c r="AO36" s="196">
        <f t="shared" ca="1" si="14"/>
        <v>32.388801915461826</v>
      </c>
      <c r="AP36" s="196" cm="1">
        <f t="array" aca="1" ref="AP36" ca="1">IF(ISTEXT(B36),_xll.BDH(B36 &amp;  " Equity","BEST_EPS",$Q$3,$Q$3,"BEST_FPERIOD_OVERRIDE=1BF","CDR=US","Fill=p"),"")</f>
        <v>10.859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80.459999999999994</v>
      </c>
      <c r="H37" s="188" cm="1">
        <f t="array" ref="H37">G37/_xll.BDP(B37&amp;" Equity", "PREV_CLOSE_VAL")-1</f>
        <v>9.9527245583486135E-4</v>
      </c>
      <c r="I37" s="187" cm="1">
        <f t="array" ref="I37">_xll.BDP(C37&amp;" Equity","LAST PRICE")</f>
        <v>400.39</v>
      </c>
      <c r="J37" s="188" cm="1">
        <f t="array" ref="J37">I37/_xll.BDP(C37&amp;" Equity", "PREV_CLOSE_VAL")-1</f>
        <v>1.0040109987134338E-2</v>
      </c>
      <c r="K37" s="189">
        <f t="shared" si="9"/>
        <v>0.20095406978196259</v>
      </c>
      <c r="L37" s="188" cm="1">
        <f t="array" ref="L37">K37/(_xll.BDP(B37&amp;" Equity", "PREV_CLOSE_VAL")/_xll.BDP(C37&amp;" Equity", "PREV_CLOSE_VAL"))-1</f>
        <v>-8.9549290586240504E-3</v>
      </c>
      <c r="M37" s="188"/>
      <c r="N37" s="190">
        <f t="shared" si="10"/>
        <v>0.38338489787361762</v>
      </c>
      <c r="O37" s="191">
        <f t="shared" si="17"/>
        <v>2.3357542533081289E-2</v>
      </c>
      <c r="P37" s="192" cm="1">
        <f t="array" ref="P37">_xll.BDP($A37&amp;" Index","VOLATILITY_30D")</f>
        <v>37.068420000000003</v>
      </c>
      <c r="Q37" s="192" cm="1">
        <f t="array" aca="1" ref="Q37" ca="1">(_xll.BDP(($B37&amp; " Equity"),"CORR_COEF", "BETA_OVERRIDE_REL_INDEX",($C37&amp; " Equity"),"BETA_OVERRIDE_END_DT",$Q$5,"BETA_OVERRIDE_START_DT",$Q$4))*100</f>
        <v>68.466882749559161</v>
      </c>
      <c r="R37" s="188"/>
      <c r="S37" s="188" cm="1">
        <f t="array" ref="S37">_xll.BDP($A37&amp;" Index","CHG_PCT_2D")/100</f>
        <v>-3.0344470000000002E-2</v>
      </c>
      <c r="T37" s="188" cm="1">
        <f t="array" ref="T37">_xll.BDP($A37&amp;" Index","CHG_PCT_5D")/100</f>
        <v>-5.1644389999999998E-2</v>
      </c>
      <c r="U37" s="188" cm="1">
        <f t="array" ref="U37">K37/_xll.BDP($A37&amp;" Index","HIGH_52WEEK")-1</f>
        <v>-0.58403214700483841</v>
      </c>
      <c r="V37" s="188" cm="1">
        <f t="array" ref="V37">K37/_xll.BDP($A37&amp;" Index","LOW_52WEEK")-1</f>
        <v>-8.9556158112019668E-3</v>
      </c>
      <c r="W37" s="188"/>
      <c r="X37" s="192" cm="1">
        <f t="array" ref="X37">_xll.BDP($A37&amp;" Index","RSI_14D")</f>
        <v>23.935469999999999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2.0854401955625361</v>
      </c>
      <c r="AI37" s="196" cm="1">
        <f t="array" ref="AI37">(_xll.BDP(C37&amp;" Equity","SHORT_INT")/_xll.BDP(C37&amp;" Equity","VOLUME_AVG_90D"))</f>
        <v>1.2270195206950749</v>
      </c>
      <c r="AJ37" s="196" cm="1">
        <f t="array" ref="AJ37">(_xll.BDP(B37&amp;" Equity","SHORT_INT"))/((_xll.BDP(B37&amp;" Equity","EQY_FREE_FLOAT_PCT"))*(_xll.BDP(B37&amp;" Equity","EQY_SH_OUT_TOT_MULT_SH")))/100</f>
        <v>4.5784632137618599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1.8619306788885792E-2</v>
      </c>
      <c r="AN37" s="194">
        <f ca="1">IF(ISTEXT(B37),AP37/_xll.BDH(B37 &amp;  " Equity","BEST_EPS",$AN$3,$AN$3,"BEST_FPERIOD_OVERRIDE=1BF","CDR=US","Fill=p")-1,"")</f>
        <v>0.10537768106931922</v>
      </c>
      <c r="AO37" s="196">
        <f t="shared" ca="1" si="14"/>
        <v>22.626546681664792</v>
      </c>
      <c r="AP37" s="196" cm="1">
        <f t="array" aca="1" ref="AP37" ca="1">IF(ISTEXT(B37),_xll.BDH(B37 &amp;  " Equity","BEST_EPS",$Q$3,$Q$3,"BEST_FPERIOD_OVERRIDE=1BF","CDR=US","Fill=p"),"")</f>
        <v>3.556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539.49</v>
      </c>
      <c r="H38" s="188" cm="1">
        <f t="array" ref="H38">G38/_xll.BDP(B38&amp;" Equity", "PREV_CLOSE_VAL")-1</f>
        <v>-5.8232746705979554E-3</v>
      </c>
      <c r="I38" s="187" cm="1">
        <f t="array" ref="I38">_xll.BDP(C38&amp;" Equity","LAST PRICE")</f>
        <v>199.05</v>
      </c>
      <c r="J38" s="188" cm="1">
        <f t="array" ref="J38">I38/_xll.BDP(C38&amp;" Equity", "PREV_CLOSE_VAL")-1</f>
        <v>-2.5556223692122515E-3</v>
      </c>
      <c r="K38" s="189">
        <f t="shared" si="9"/>
        <v>2.7103240391861338</v>
      </c>
      <c r="L38" s="188" cm="1">
        <f t="array" ref="L38">K38/(_xll.BDP(B38&amp;" Equity", "PREV_CLOSE_VAL")/_xll.BDP(C38&amp;" Equity", "PREV_CLOSE_VAL"))-1</f>
        <v>-3.2760245830925072E-3</v>
      </c>
      <c r="M38" s="188"/>
      <c r="N38" s="190">
        <f t="shared" si="10"/>
        <v>0.23702738090130651</v>
      </c>
      <c r="O38" s="191">
        <f t="shared" si="17"/>
        <v>1.3821291745431633E-2</v>
      </c>
      <c r="P38" s="192" cm="1">
        <f t="array" ref="P38">_xll.BDP($A38&amp;" Index","VOLATILITY_30D")</f>
        <v>21.93439</v>
      </c>
      <c r="Q38" s="192" cm="1">
        <f t="array" aca="1" ref="Q38" ca="1">(_xll.BDP(($B38&amp; " Equity"),"CORR_COEF", "BETA_OVERRIDE_REL_INDEX",($C38&amp; " Equity"),"BETA_OVERRIDE_END_DT",$Q$5,"BETA_OVERRIDE_START_DT",$Q$4))*100</f>
        <v>61.602470472060133</v>
      </c>
      <c r="R38" s="188"/>
      <c r="S38" s="188" cm="1">
        <f t="array" ref="S38">_xll.BDP($A38&amp;" Index","CHG_PCT_2D")/100</f>
        <v>-1.2002839999999999E-2</v>
      </c>
      <c r="T38" s="188" cm="1">
        <f t="array" ref="T38">_xll.BDP($A38&amp;" Index","CHG_PCT_5D")/100</f>
        <v>-6.6407519999999998E-2</v>
      </c>
      <c r="U38" s="188" cm="1">
        <f t="array" ref="U38">K38/_xll.BDP($A38&amp;" Index","HIGH_52WEEK")-1</f>
        <v>-0.18343073573249447</v>
      </c>
      <c r="V38" s="188" cm="1">
        <f t="array" ref="V38">K38/_xll.BDP($A38&amp;" Index","LOW_52WEEK")-1</f>
        <v>-3.2751774634238728E-3</v>
      </c>
      <c r="W38" s="188"/>
      <c r="X38" s="192" cm="1">
        <f t="array" ref="X38">_xll.BDP($A38&amp;" Index","RSI_14D")</f>
        <v>25.55463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2.289151760918938</v>
      </c>
      <c r="AI38" s="196" cm="1">
        <f t="array" ref="AI38">(_xll.BDP(C38&amp;" Equity","SHORT_INT")/_xll.BDP(C38&amp;" Equity","VOLUME_AVG_90D"))</f>
        <v>3.091673545257863</v>
      </c>
      <c r="AJ38" s="196" cm="1">
        <f t="array" ref="AJ38">(_xll.BDP(B38&amp;" Equity","SHORT_INT"))/((_xll.BDP(B38&amp;" Equity","EQY_FREE_FLOAT_PCT"))*(_xll.BDP(B38&amp;" Equity","EQY_SH_OUT_TOT_MULT_SH")))/100</f>
        <v>0.80025053597448659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1.2881177707676272E-2</v>
      </c>
      <c r="AN38" s="194">
        <f ca="1">IF(ISTEXT(B38),AP38/_xll.BDH(B38 &amp;  " Equity","BEST_EPS",$AN$3,$AN$3,"BEST_FPERIOD_OVERRIDE=1BF","CDR=US","Fill=p")-1,"")</f>
        <v>4.5590230664857456E-2</v>
      </c>
      <c r="AO38" s="196">
        <f t="shared" ca="1" si="14"/>
        <v>28.003633532312485</v>
      </c>
      <c r="AP38" s="196" cm="1">
        <f t="array" aca="1" ref="AP38" ca="1">IF(ISTEXT(B38),_xll.BDH(B38 &amp;  " Equity","BEST_EPS",$Q$3,$Q$3,"BEST_FPERIOD_OVERRIDE=1BF","CDR=US","Fill=p"),"")</f>
        <v>19.265000000000001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328.3</v>
      </c>
      <c r="H39" s="188" cm="1">
        <f t="array" ref="H39">G39/_xll.BDP(B39&amp;" Equity", "PREV_CLOSE_VAL")-1</f>
        <v>1.6781083142638487E-3</v>
      </c>
      <c r="I39" s="187" cm="1">
        <f t="array" ref="I39">_xll.BDP(C39&amp;" Equity","LAST PRICE")</f>
        <v>199.05</v>
      </c>
      <c r="J39" s="188" cm="1">
        <f t="array" ref="J39">I39/_xll.BDP(C39&amp;" Equity", "PREV_CLOSE_VAL")-1</f>
        <v>-2.5556223692122515E-3</v>
      </c>
      <c r="K39" s="189">
        <f t="shared" si="9"/>
        <v>1.6493343381060035</v>
      </c>
      <c r="L39" s="188" cm="1">
        <f t="array" ref="L39">K39/(_xll.BDP(B39&amp;" Equity", "PREV_CLOSE_VAL")/_xll.BDP(C39&amp;" Equity", "PREV_CLOSE_VAL"))-1</f>
        <v>4.2445782225295492E-3</v>
      </c>
      <c r="M39" s="188"/>
      <c r="N39" s="190">
        <f t="shared" si="10"/>
        <v>0.26519423164445194</v>
      </c>
      <c r="O39" s="191">
        <f>P39/15.87/100</f>
        <v>1.6005545053560177E-2</v>
      </c>
      <c r="P39" s="192" cm="1">
        <f t="array" ref="P39">_xll.BDP($A39&amp;" Index","VOLATILITY_30D")</f>
        <v>25.4008</v>
      </c>
      <c r="Q39" s="192" cm="1">
        <f t="array" aca="1" ref="Q39" ca="1">(_xll.BDP(($B39&amp; " Equity"),"CORR_COEF", "BETA_OVERRIDE_REL_INDEX",($C39&amp; " Equity"),"BETA_OVERRIDE_END_DT",$Q$5,"BETA_OVERRIDE_START_DT",$Q$4))*100</f>
        <v>54.295756423397037</v>
      </c>
      <c r="R39" s="188"/>
      <c r="S39" s="188" cm="1">
        <f t="array" ref="S39">_xll.BDP($A39&amp;" Index","CHG_PCT_2D")/100</f>
        <v>-8.7066220000000007E-3</v>
      </c>
      <c r="T39" s="188" cm="1">
        <f t="array" ref="T39">_xll.BDP($A39&amp;" Index","CHG_PCT_5D")/100</f>
        <v>-7.2160700000000008E-2</v>
      </c>
      <c r="U39" s="188" cm="1">
        <f t="array" ref="U39">K39/_xll.BDP($A39&amp;" Index","HIGH_52WEEK")-1</f>
        <v>-0.2087132619899521</v>
      </c>
      <c r="V39" s="188" cm="1">
        <f t="array" ref="V39">K39/_xll.BDP($A39&amp;" Index","LOW_52WEEK")-1</f>
        <v>4.2465343201267824E-3</v>
      </c>
      <c r="W39" s="188"/>
      <c r="X39" s="192" cm="1">
        <f t="array" ref="X39">_xll.BDP($A39&amp;" Index","RSI_14D")</f>
        <v>24.256879999999999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3.5809934813426829</v>
      </c>
      <c r="AI39" s="196" cm="1">
        <f t="array" ref="AI39">(_xll.BDP(C39&amp;" Equity","SHORT_INT")/_xll.BDP(C39&amp;" Equity","VOLUME_AVG_90D"))</f>
        <v>3.091673545257863</v>
      </c>
      <c r="AJ39" s="196" cm="1">
        <f t="array" ref="AJ39">(_xll.BDP(B39&amp;" Equity","SHORT_INT"))/((_xll.BDP(B39&amp;" Equity","EQY_FREE_FLOAT_PCT"))*(_xll.BDP(B39&amp;" Equity","EQY_SH_OUT_TOT_MULT_SH")))/100</f>
        <v>1.2834191718448422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9.8889396013996933E-3</v>
      </c>
      <c r="AN39" s="194">
        <f ca="1">IF(ISTEXT(B39),AP39/_xll.BDH(B39 &amp;  " Equity","BEST_EPS",$AN$3,$AN$3,"BEST_FPERIOD_OVERRIDE=1BF","CDR=US","Fill=p")-1,"")</f>
        <v>2.7156673114119956E-2</v>
      </c>
      <c r="AO39" s="196">
        <f t="shared" ca="1" si="14"/>
        <v>24.728833986140405</v>
      </c>
      <c r="AP39" s="196" cm="1">
        <f t="array" aca="1" ref="AP39" ca="1">IF(ISTEXT(B39),_xll.BDH(B39 &amp;  " Equity","BEST_EPS",$Q$3,$Q$3,"BEST_FPERIOD_OVERRIDE=1BF","CDR=US","Fill=p"),"")</f>
        <v>13.276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539.49</v>
      </c>
      <c r="H40" s="188" cm="1">
        <f t="array" ref="H40">G40/_xll.BDP(B40&amp;" Equity", "PREV_CLOSE_VAL")-1</f>
        <v>-5.8232746705979554E-3</v>
      </c>
      <c r="I40" s="187" cm="1">
        <f t="array" ref="I40">_xll.BDP(C40&amp;" Equity","LAST PRICE")</f>
        <v>328.3</v>
      </c>
      <c r="J40" s="188" cm="1">
        <f t="array" ref="J40">I40/_xll.BDP(C40&amp;" Equity", "PREV_CLOSE_VAL")-1</f>
        <v>1.6781083142638487E-3</v>
      </c>
      <c r="K40" s="189">
        <f t="shared" si="9"/>
        <v>1.6432835820895522</v>
      </c>
      <c r="L40" s="188" cm="1">
        <f t="array" ref="L40">K40/(_xll.BDP(B40&amp;" Equity", "PREV_CLOSE_VAL")/_xll.BDP(C40&amp;" Equity", "PREV_CLOSE_VAL"))-1</f>
        <v>-7.4888159405681609E-3</v>
      </c>
      <c r="M40" s="188"/>
      <c r="N40" s="190">
        <f t="shared" si="10"/>
        <v>1.2085642065791884</v>
      </c>
      <c r="O40" s="191">
        <f>P40/15.87/100</f>
        <v>6.1964568367989916E-3</v>
      </c>
      <c r="P40" s="192" cm="1">
        <f t="array" ref="P40">_xll.BDP($A40&amp;" Index","VOLATILITY_30D")</f>
        <v>9.8337769999999995</v>
      </c>
      <c r="Q40" s="192" cm="1">
        <f t="array" aca="1" ref="Q40" ca="1">(_xll.BDP(($B40&amp; " Equity"),"CORR_COEF", "BETA_OVERRIDE_REL_INDEX",($C40&amp; " Equity"),"BETA_OVERRIDE_END_DT",$Q$5,"BETA_OVERRIDE_START_DT",$Q$4))*100</f>
        <v>84.390639659897843</v>
      </c>
      <c r="R40" s="188"/>
      <c r="S40" s="188" cm="1">
        <f t="array" ref="S40">_xll.BDP($A40&amp;" Index","CHG_PCT_2D")/100</f>
        <v>-3.3276989999999999E-3</v>
      </c>
      <c r="T40" s="188" cm="1">
        <f t="array" ref="T40">_xll.BDP($A40&amp;" Index","CHG_PCT_5D")/100</f>
        <v>6.1981880000000003E-3</v>
      </c>
      <c r="U40" s="188" cm="1">
        <f t="array" ref="U40">K40/_xll.BDP($A40&amp;" Index","HIGH_52WEEK")-1</f>
        <v>-5.1742068675061481E-2</v>
      </c>
      <c r="V40" s="188" cm="1">
        <f t="array" ref="V40">K40/_xll.BDP($A40&amp;" Index","LOW_52WEEK")-1</f>
        <v>7.4807269289593359E-2</v>
      </c>
      <c r="W40" s="188"/>
      <c r="X40" s="192" cm="1">
        <f t="array" ref="X40">_xll.BDP($A40&amp;" Index","RSI_14D")</f>
        <v>57.7271</v>
      </c>
      <c r="Y40" s="193">
        <v>1.67</v>
      </c>
      <c r="Z40" s="188">
        <f t="shared" si="11"/>
        <v>1.6257947320617694E-2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46051</v>
      </c>
      <c r="AH40" s="196" cm="1">
        <f t="array" ref="AH40">(_xll.BDP(B40&amp;" Equity","SHORT_INT")/_xll.BDP(B40&amp;" Equity","VOLUME_AVG_90D"))</f>
        <v>2.289151760918938</v>
      </c>
      <c r="AI40" s="196" cm="1">
        <f t="array" ref="AI40">(_xll.BDP(C40&amp;" Equity","SHORT_INT")/_xll.BDP(C40&amp;" Equity","VOLUME_AVG_90D"))</f>
        <v>3.5809934813426829</v>
      </c>
      <c r="AJ40" s="196" cm="1">
        <f t="array" ref="AJ40">(_xll.BDP(B40&amp;" Equity","SHORT_INT"))/((_xll.BDP(B40&amp;" Equity","EQY_FREE_FLOAT_PCT"))*(_xll.BDP(B40&amp;" Equity","EQY_SH_OUT_TOT_MULT_SH")))/100</f>
        <v>0.80025053597448659</v>
      </c>
      <c r="AK40" s="196" cm="1">
        <f t="array" ref="AK40">(_xll.BDP(C40&amp;" Equity","SHORT_INT"))/((_xll.BDP(C40&amp;" Equity","EQY_FREE_FLOAT_PCT"))*(_xll.BDP(C40&amp;" Equity","EQY_SH_OUT_TOT_MULT_SH")))/100</f>
        <v>1.2834191718448422</v>
      </c>
      <c r="AM40" s="194">
        <f ca="1">IF(ISTEXT(B40),AP40/_xll.BDH(B40 &amp;  " Equity","BEST_EPS",$AM$3,$AM$3,"BEST_FPERIOD_OVERRIDE=1BF","CDR=US","Fill=p")-1,"")</f>
        <v>1.2881177707676272E-2</v>
      </c>
      <c r="AN40" s="194">
        <f ca="1">IF(ISTEXT(B40),AP40/_xll.BDH(B40 &amp;  " Equity","BEST_EPS",$AN$3,$AN$3,"BEST_FPERIOD_OVERRIDE=1BF","CDR=US","Fill=p")-1,"")</f>
        <v>4.5590230664857456E-2</v>
      </c>
      <c r="AO40" s="196">
        <f t="shared" ca="1" si="14"/>
        <v>28.003633532312485</v>
      </c>
      <c r="AP40" s="196" cm="1">
        <f t="array" aca="1" ref="AP40" ca="1">IF(ISTEXT(B40),_xll.BDH(B40 &amp;  " Equity","BEST_EPS",$Q$3,$Q$3,"BEST_FPERIOD_OVERRIDE=1BF","CDR=US","Fill=p"),"")</f>
        <v>19.265000000000001</v>
      </c>
      <c r="AR40" s="194">
        <f ca="1">IF(ISTEXT(C40),AU40/_xll.BDH(C40 &amp;  " Equity","BEST_EPS",$AM$3,$AM$3,"BEST_FPERIOD_OVERRIDE=1BF","CDR=US","Fill=p")-1,"")</f>
        <v>9.8889396013996933E-3</v>
      </c>
      <c r="AS40" s="194">
        <f ca="1">IF(ISTEXT(C40),AU40/_xll.BDH(C40 &amp;  " Equity","BEST_EPS",$AN$3,$AN$3,"BEST_FPERIOD_OVERRIDE=1BF","CDR=US","Fill=p")-1,"")</f>
        <v>2.7156673114119956E-2</v>
      </c>
      <c r="AT40" s="196">
        <f t="shared" ca="1" si="15"/>
        <v>24.728833986140405</v>
      </c>
      <c r="AU40" s="196" cm="1">
        <f t="array" aca="1" ref="AU40" ca="1">IF(ISTEXT(C40),_xll.BDH(C40 &amp;  " Equity","BEST_EPS",$Q$3,$Q$3,"BEST_FPERIOD_OVERRIDE=1BF","CDR=US","Fill=p"),"")</f>
        <v>13.276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219.1</v>
      </c>
      <c r="H41" s="188" cm="1">
        <f t="array" ref="H41">G41/_xll.BDP(B41&amp;" Equity", "PREV_CLOSE_VAL")-1</f>
        <v>2.9755092698557917E-3</v>
      </c>
      <c r="I41" s="187" cm="1">
        <f t="array" ref="I41">_xll.BDP(C41&amp;" Equity","LAST PRICE")</f>
        <v>621.26</v>
      </c>
      <c r="J41" s="188" cm="1">
        <f t="array" ref="J41">I41/_xll.BDP(C41&amp;" Equity", "PREV_CLOSE_VAL")-1</f>
        <v>-8.3630866222772493E-4</v>
      </c>
      <c r="K41" s="189">
        <f t="shared" si="9"/>
        <v>0.35267037955123459</v>
      </c>
      <c r="L41" s="188" cm="1">
        <f t="array" ref="L41">K41/(_xll.BDP(B41&amp;" Equity", "PREV_CLOSE_VAL")/_xll.BDP(C41&amp;" Equity", "PREV_CLOSE_VAL"))-1</f>
        <v>3.8150084567023512E-3</v>
      </c>
      <c r="M41" s="188"/>
      <c r="N41" s="190">
        <f t="shared" si="10"/>
        <v>0.284872116164958</v>
      </c>
      <c r="O41" s="191">
        <f t="shared" si="17"/>
        <v>1.3392003780718338E-2</v>
      </c>
      <c r="P41" s="192" cm="1">
        <f t="array" ref="P41">_xll.BDP($A41&amp;" Index","VOLATILITY_30D")</f>
        <v>21.25311</v>
      </c>
      <c r="Q41" s="192" cm="1">
        <f t="array" aca="1" ref="Q41" ca="1">(_xll.BDP(($B41&amp; " Equity"),"CORR_COEF", "BETA_OVERRIDE_REL_INDEX",($C41&amp; " Equity"),"BETA_OVERRIDE_END_DT",$Q$5,"BETA_OVERRIDE_START_DT",$Q$4))*100</f>
        <v>48.587499999999999</v>
      </c>
      <c r="R41" s="188"/>
      <c r="S41" s="188" cm="1">
        <f t="array" ref="S41">_xll.BDP($A41&amp;" Index","CHG_PCT_2D")/100</f>
        <v>2.094992E-2</v>
      </c>
      <c r="T41" s="188" cm="1">
        <f t="array" ref="T41">_xll.BDP($A41&amp;" Index","CHG_PCT_5D")/100</f>
        <v>5.1540229999999992E-2</v>
      </c>
      <c r="U41" s="188" cm="1">
        <f t="array" ref="U41">K41/_xll.BDP($A41&amp;" Index","HIGH_52WEEK")-1</f>
        <v>-5.7484687713842075E-2</v>
      </c>
      <c r="V41" s="188" cm="1">
        <f t="array" ref="V41">K41/_xll.BDP($A41&amp;" Index","LOW_52WEEK")-1</f>
        <v>0.30613821544103792</v>
      </c>
      <c r="W41" s="188"/>
      <c r="X41" s="192" cm="1">
        <f t="array" ref="X41">_xll.BDP($A41&amp;" Index","RSI_14D")</f>
        <v>63.346380000000003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0.77899092727734198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-2.0767736316742447E-3</v>
      </c>
      <c r="AN41" s="194">
        <f ca="1">IF(ISTEXT(B41),AP41/_xll.BDH(B41 &amp;  " Equity","BEST_EPS",$AN$3,$AN$3,"BEST_FPERIOD_OVERRIDE=1BF","CDR=US","Fill=p")-1,"")</f>
        <v>5.7316250842886163E-2</v>
      </c>
      <c r="AO41" s="196">
        <f t="shared" ca="1" si="14"/>
        <v>24.514411027568922</v>
      </c>
      <c r="AP41" s="196" cm="1">
        <f t="array" aca="1" ref="AP41" ca="1">IF(ISTEXT(B41),_xll.BDH(B41 &amp;  " Equity","BEST_EPS",$Q$3,$Q$3,"BEST_FPERIOD_OVERRIDE=1BF","CDR=US","Fill=p"),"")</f>
        <v>8.9375999999999998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219.1</v>
      </c>
      <c r="H42" s="188" cm="1">
        <f t="array" ref="H42">G42/_xll.BDP(B42&amp;" Equity", "PREV_CLOSE_VAL")-1</f>
        <v>2.9755092698557917E-3</v>
      </c>
      <c r="I42" s="187" cm="1">
        <f t="array" ref="I42">_xll.BDP(C42&amp;" Equity","LAST PRICE")</f>
        <v>43.39</v>
      </c>
      <c r="J42" s="188" cm="1">
        <f t="array" ref="J42">I42/_xll.BDP(C42&amp;" Equity", "PREV_CLOSE_VAL")-1</f>
        <v>-5.0447145150194217E-3</v>
      </c>
      <c r="K42" s="189">
        <f t="shared" ref="K42:K55" si="18">G42/I42</f>
        <v>5.0495505876930169</v>
      </c>
      <c r="L42" s="188" cm="1">
        <f t="array" ref="L42">K42/(_xll.BDP(B42&amp;" Equity", "PREV_CLOSE_VAL")/_xll.BDP(C42&amp;" Equity", "PREV_CLOSE_VAL"))-1</f>
        <v>8.060888666937549E-3</v>
      </c>
      <c r="M42" s="188"/>
      <c r="N42" s="190">
        <f t="shared" ref="N42:N55" si="19">ABS(L42/O42)</f>
        <v>0.54083090373455478</v>
      </c>
      <c r="O42" s="191">
        <f t="shared" si="17"/>
        <v>1.4904637681159421E-2</v>
      </c>
      <c r="P42" s="192" cm="1">
        <f t="array" ref="P42">_xll.BDP($A42&amp;" Index","VOLATILITY_30D")</f>
        <v>23.653659999999999</v>
      </c>
      <c r="Q42" s="192" cm="1">
        <f t="array" aca="1" ref="Q42" ca="1">(_xll.BDP(($B42&amp; " Equity"),"CORR_COEF", "BETA_OVERRIDE_REL_INDEX",($C42&amp; " Equity"),"BETA_OVERRIDE_END_DT",$Q$5,"BETA_OVERRIDE_START_DT",$Q$4))*100</f>
        <v>61.409329999999997</v>
      </c>
      <c r="R42" s="188"/>
      <c r="S42" s="188" cm="1">
        <f t="array" ref="S42">_xll.BDP($A42&amp;" Index","CHG_PCT_2D")/100</f>
        <v>1.428639E-2</v>
      </c>
      <c r="T42" s="188" cm="1">
        <f t="array" ref="T42">_xll.BDP($A42&amp;" Index","CHG_PCT_5D")/100</f>
        <v>1.7050289999999999E-2</v>
      </c>
      <c r="U42" s="188" cm="1">
        <f t="array" ref="U42">K42/_xll.BDP($A42&amp;" Index","HIGH_52WEEK")-1</f>
        <v>5.7042623136078774E-3</v>
      </c>
      <c r="V42" s="188" cm="1">
        <f t="array" ref="V42">K42/_xll.BDP($A42&amp;" Index","LOW_52WEEK")-1</f>
        <v>0.54289337740178589</v>
      </c>
      <c r="W42" s="188"/>
      <c r="X42" s="192" cm="1">
        <f t="array" ref="X42">_xll.BDP($A42&amp;" Index","RSI_14D")</f>
        <v>59.451149999999998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1.1145111876435267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-2.0767736316742447E-3</v>
      </c>
      <c r="AN42" s="194">
        <f ca="1">IF(ISTEXT(B42),AP42/_xll.BDH(B42 &amp;  " Equity","BEST_EPS",$AN$3,$AN$3,"BEST_FPERIOD_OVERRIDE=1BF","CDR=US","Fill=p")-1,"")</f>
        <v>5.7316250842886163E-2</v>
      </c>
      <c r="AO42" s="196">
        <f t="shared" ref="AO42:AO55" ca="1" si="23">G42/AP42</f>
        <v>24.514411027568922</v>
      </c>
      <c r="AP42" s="196" cm="1">
        <f t="array" aca="1" ref="AP42" ca="1">IF(ISTEXT(B42),_xll.BDH(B42 &amp;  " Equity","BEST_EPS",$Q$3,$Q$3,"BEST_FPERIOD_OVERRIDE=1BF","CDR=US","Fill=p"),"")</f>
        <v>8.9375999999999998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691.66</v>
      </c>
      <c r="H44" s="188" cm="1">
        <f t="array" ref="H44">G44/_xll.BDP(B44&amp;" Equity", "PREV_CLOSE_VAL")-1</f>
        <v>-8.378597018375844E-4</v>
      </c>
      <c r="I44" s="187" cm="1">
        <f t="array" ref="I44">_xll.BDP(C44&amp;" Equity","LAST PRICE")</f>
        <v>199.05</v>
      </c>
      <c r="J44" s="188" cm="1">
        <f t="array" ref="J44">I44/_xll.BDP(C44&amp;" Equity", "PREV_CLOSE_VAL")-1</f>
        <v>-2.5556223692122515E-3</v>
      </c>
      <c r="K44" s="189">
        <f t="shared" si="18"/>
        <v>3.4748053252951516</v>
      </c>
      <c r="L44" s="188" cm="1">
        <f t="array" ref="L44">K44/(_xll.BDP(B44&amp;" Equity", "PREV_CLOSE_VAL")/_xll.BDP(C44&amp;" Equity", "PREV_CLOSE_VAL"))-1</f>
        <v>1.7221638678788231E-3</v>
      </c>
      <c r="M44" s="188"/>
      <c r="N44" s="190">
        <f t="shared" si="19"/>
        <v>0.37222850946932817</v>
      </c>
      <c r="O44" s="191">
        <f t="shared" si="17"/>
        <v>4.6266307498424707E-3</v>
      </c>
      <c r="P44" s="192" cm="1">
        <f t="array" ref="P44">_xll.BDP($A44&amp;" Index","VOLATILITY_30D")</f>
        <v>7.3424630000000004</v>
      </c>
      <c r="Q44" s="192" cm="1">
        <f t="array" aca="1" ref="Q44" ca="1">(_xll.BDP(($B44&amp; " Equity"),"CORR_COEF", "BETA_OVERRIDE_REL_INDEX",($C44&amp; " Equity"),"BETA_OVERRIDE_END_DT",$Q$5,"BETA_OVERRIDE_START_DT",$Q$4))*100</f>
        <v>77.590373863390369</v>
      </c>
      <c r="R44" s="188"/>
      <c r="S44" s="188" cm="1">
        <f t="array" ref="S44">_xll.BDP($A44&amp;" Index","CHG_PCT_2D")/100</f>
        <v>-1.698836E-3</v>
      </c>
      <c r="T44" s="188" cm="1">
        <f t="array" ref="T44">_xll.BDP($A44&amp;" Index","CHG_PCT_5D")/100</f>
        <v>-1.2432739999999999E-2</v>
      </c>
      <c r="U44" s="188" cm="1">
        <f t="array" ref="U44">K44/_xll.BDP($A44&amp;" Index","HIGH_52WEEK")-1</f>
        <v>-4.7977674772282208E-2</v>
      </c>
      <c r="V44" s="188" cm="1">
        <f t="array" ref="V44">K44/_xll.BDP($A44&amp;" Index","LOW_52WEEK")-1</f>
        <v>8.0924677973767567E-2</v>
      </c>
      <c r="W44" s="188"/>
      <c r="X44" s="192" cm="1">
        <f t="array" ref="X44">_xll.BDP($A44&amp;" Index","RSI_14D")</f>
        <v>32.610790000000001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1.2767900837992929</v>
      </c>
      <c r="AI44" s="196" cm="1">
        <f t="array" ref="AI44">(_xll.BDP(C44&amp;" Equity","SHORT_INT")/_xll.BDP(C44&amp;" Equity","VOLUME_AVG_90D"))</f>
        <v>3.091673545257863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621.26</v>
      </c>
      <c r="H45" s="188" cm="1">
        <f t="array" ref="H45">G45/_xll.BDP(B45&amp;" Equity", "PREV_CLOSE_VAL")-1</f>
        <v>-8.3630866222772493E-4</v>
      </c>
      <c r="I45" s="187" cm="1">
        <f t="array" ref="I45">_xll.BDP(C45&amp;" Equity","LAST PRICE")</f>
        <v>104.28</v>
      </c>
      <c r="J45" s="188" cm="1">
        <f t="array" ref="J45">I45/_xll.BDP(C45&amp;" Equity", "PREV_CLOSE_VAL")-1</f>
        <v>-1.914241960183749E-3</v>
      </c>
      <c r="K45" s="189">
        <f t="shared" si="18"/>
        <v>5.957614115841964</v>
      </c>
      <c r="L45" s="188" cm="1">
        <f t="array" ref="L45">K45/(_xll.BDP(B45&amp;" Equity", "PREV_CLOSE_VAL")/_xll.BDP(C45&amp;" Equity", "PREV_CLOSE_VAL"))-1</f>
        <v>1.0800006805757878E-3</v>
      </c>
      <c r="M45" s="188"/>
      <c r="N45" s="190">
        <f t="shared" si="19"/>
        <v>0.25093437552139242</v>
      </c>
      <c r="O45" s="191">
        <f t="shared" si="17"/>
        <v>4.3039168241965978E-3</v>
      </c>
      <c r="P45" s="192" cm="1">
        <f t="array" ref="P45">_xll.BDP($A45&amp;" Index","VOLATILITY_30D")</f>
        <v>6.8303159999999998</v>
      </c>
      <c r="Q45" s="192" cm="1">
        <f t="array" aca="1" ref="Q45" ca="1">(_xll.BDP(($B45&amp; " Equity"),"CORR_COEF", "BETA_OVERRIDE_REL_INDEX",($C45&amp; " Equity"),"BETA_OVERRIDE_END_DT",$Q$5,"BETA_OVERRIDE_START_DT",$Q$4))*100</f>
        <v>87.010139785251454</v>
      </c>
      <c r="R45" s="188"/>
      <c r="S45" s="188" cm="1">
        <f t="array" ref="S45">_xll.BDP($A45&amp;" Index","CHG_PCT_2D")/100</f>
        <v>2.0629949999999998E-3</v>
      </c>
      <c r="T45" s="188" cm="1">
        <f t="array" ref="T45">_xll.BDP($A45&amp;" Index","CHG_PCT_5D")/100</f>
        <v>-1.028148E-3</v>
      </c>
      <c r="U45" s="188" cm="1">
        <f t="array" ref="U45">K45/_xll.BDP($A45&amp;" Index","HIGH_52WEEK")-1</f>
        <v>-2.5446026228296614E-2</v>
      </c>
      <c r="V45" s="188" cm="1">
        <f t="array" ref="V45">K45/_xll.BDP($A45&amp;" Index","LOW_52WEEK")-1</f>
        <v>0.11295696508884112</v>
      </c>
      <c r="W45" s="188"/>
      <c r="X45" s="192" cm="1">
        <f t="array" ref="X45">_xll.BDP($A45&amp;" Index","RSI_14D")</f>
        <v>45.157130000000002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0.77899092727734198</v>
      </c>
      <c r="AI45" s="196" cm="1">
        <f t="array" ref="AI45">(_xll.BDP(C45&amp;" Equity","SHORT_INT")/_xll.BDP(C45&amp;" Equity","VOLUME_AVG_90D"))</f>
        <v>4.6174936572486187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621.26</v>
      </c>
      <c r="H46" s="188" cm="1">
        <f t="array" ref="H46">G46/_xll.BDP(B46&amp;" Equity", "PREV_CLOSE_VAL")-1</f>
        <v>-8.3630866222772493E-4</v>
      </c>
      <c r="I46" s="187" cm="1">
        <f t="array" ref="I46">_xll.BDP(C46&amp;" Equity","LAST PRICE")</f>
        <v>98.31</v>
      </c>
      <c r="J46" s="188" cm="1">
        <f t="array" ref="J46">I46/_xll.BDP(C46&amp;" Equity", "PREV_CLOSE_VAL")-1</f>
        <v>-1.4732411304870685E-2</v>
      </c>
      <c r="K46" s="189">
        <f>G46/I46</f>
        <v>6.3193978232122872</v>
      </c>
      <c r="L46" s="188" cm="1">
        <f t="array" ref="L46">K46/(_xll.BDP(B46&amp;" Equity", "PREV_CLOSE_VAL")/_xll.BDP(C46&amp;" Equity", "PREV_CLOSE_VAL"))-1</f>
        <v>1.4103886905532548E-2</v>
      </c>
      <c r="M46" s="188"/>
      <c r="N46" s="190">
        <f>ABS(L46/O46)</f>
        <v>1.439974866013946</v>
      </c>
      <c r="O46" s="191">
        <f>P46/15.87/100</f>
        <v>9.7945368620037804E-3</v>
      </c>
      <c r="P46" s="192" cm="1">
        <f t="array" ref="P46">_xll.BDP($A46&amp;" Index","VOLATILITY_30D")</f>
        <v>15.54393</v>
      </c>
      <c r="Q46" s="192" cm="1">
        <f t="array" aca="1" ref="Q46" ca="1">(_xll.BDP(($B46&amp; " Equity"),"CORR_COEF", "BETA_OVERRIDE_REL_INDEX",($C46&amp; " Equity"),"BETA_OVERRIDE_END_DT",$Q$5,"BETA_OVERRIDE_START_DT",$Q$4))*100</f>
        <v>79.793100611857241</v>
      </c>
      <c r="R46" s="188"/>
      <c r="S46" s="188" cm="1">
        <f t="array" ref="S46">_xll.BDP($A46&amp;" Index","CHG_PCT_2D")/100</f>
        <v>1.6574469999999997E-2</v>
      </c>
      <c r="T46" s="188" cm="1">
        <f t="array" ref="T46">_xll.BDP($A46&amp;" Index","CHG_PCT_5D")/100</f>
        <v>4.4137199999999994E-2</v>
      </c>
      <c r="U46" s="188" cm="1">
        <f t="array" ref="U46">K46/_xll.BDP($A46&amp;" Index","HIGH_52WEEK")-1</f>
        <v>1.410377632584825E-2</v>
      </c>
      <c r="V46" s="188" cm="1">
        <f t="array" ref="V46">K46/_xll.BDP($A46&amp;" Index","LOW_52WEEK")-1</f>
        <v>0.29949615526598761</v>
      </c>
      <c r="W46" s="188"/>
      <c r="X46" s="192" cm="1">
        <f t="array" ref="X46">_xll.BDP($A46&amp;" Index","RSI_14D")</f>
        <v>77.591470000000001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0.77899092727734198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691.66</v>
      </c>
      <c r="H47" s="188" cm="1">
        <f t="array" ref="H47">G47/_xll.BDP(B47&amp;" Equity", "PREV_CLOSE_VAL")-1</f>
        <v>-8.378597018375844E-4</v>
      </c>
      <c r="I47" s="187" cm="1">
        <f t="array" ref="I47">_xll.BDP(C47&amp;" Equity","LAST PRICE")</f>
        <v>621.26</v>
      </c>
      <c r="J47" s="188" cm="1">
        <f t="array" ref="J47">I47/_xll.BDP(C47&amp;" Equity", "PREV_CLOSE_VAL")-1</f>
        <v>-8.3630866222772493E-4</v>
      </c>
      <c r="K47" s="189">
        <f t="shared" si="18"/>
        <v>1.1133180954833726</v>
      </c>
      <c r="L47" s="188" cm="1">
        <f t="array" ref="L47">K47/(_xll.BDP(B47&amp;" Equity", "PREV_CLOSE_VAL")/_xll.BDP(C47&amp;" Equity", "PREV_CLOSE_VAL"))-1</f>
        <v>-1.5523378432691359E-6</v>
      </c>
      <c r="M47" s="188"/>
      <c r="N47" s="190">
        <f t="shared" si="19"/>
        <v>4.3760807283569482E-5</v>
      </c>
      <c r="O47" s="191">
        <f t="shared" si="17"/>
        <v>3.5473245116572148E-2</v>
      </c>
      <c r="P47" s="192" cm="1">
        <f t="array" ref="P47">_xll.BDP($A47&amp;" Index","VOLATILITY_30D")</f>
        <v>56.296039999999998</v>
      </c>
      <c r="Q47" s="192" cm="1">
        <f t="array" aca="1" ref="Q47" ca="1">(_xll.BDP(($B47&amp; " Equity"),"CORR_COEF", "BETA_OVERRIDE_REL_INDEX",($C47&amp; " Equity"),"BETA_OVERRIDE_END_DT",$Q$5,"BETA_OVERRIDE_START_DT",$Q$4))*100</f>
        <v>94.476064604202364</v>
      </c>
      <c r="R47" s="188"/>
      <c r="S47" s="188" cm="1">
        <f t="array" ref="S47">_xll.BDP($A47&amp;" Index","CHG_PCT_2D")/100</f>
        <v>-1.2676059999999999E-2</v>
      </c>
      <c r="T47" s="188" cm="1">
        <f t="array" ref="T47">_xll.BDP($A47&amp;" Index","CHG_PCT_5D")/100</f>
        <v>3.9827929999999998E-2</v>
      </c>
      <c r="U47" s="188" cm="1">
        <f t="array" ref="U47">K47/_xll.BDP($A47&amp;" Index","HIGH_52WEEK")-1</f>
        <v>-0.98766816464905438</v>
      </c>
      <c r="V47" s="188" cm="1">
        <f t="array" ref="V47">K47/_xll.BDP($A47&amp;" Index","LOW_52WEEK")-1</f>
        <v>-0.97822573644663857</v>
      </c>
      <c r="W47" s="188"/>
      <c r="X47" s="192" cm="1">
        <f t="array" ref="X47">_xll.BDP($A47&amp;" Index","RSI_14D")</f>
        <v>57.348269999999999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1.2767900837992929</v>
      </c>
      <c r="AI47" s="196" cm="1">
        <f t="array" ref="AI47">(_xll.BDP(C47&amp;" Equity","SHORT_INT")/_xll.BDP(C47&amp;" Equity","VOLUME_AVG_90D"))</f>
        <v>0.77899092727734198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691.66</v>
      </c>
      <c r="H48" s="188" cm="1">
        <f t="array" ref="H48">G48/_xll.BDP(B48&amp;" Equity", "PREV_CLOSE_VAL")-1</f>
        <v>-8.378597018375844E-4</v>
      </c>
      <c r="I48" s="187" cm="1">
        <f t="array" ref="I48">_xll.BDP(C48&amp;" Equity","LAST PRICE")</f>
        <v>265.76</v>
      </c>
      <c r="J48" s="188" cm="1">
        <f t="array" ref="J48">I48/_xll.BDP(C48&amp;" Equity", "PREV_CLOSE_VAL")-1</f>
        <v>9.415841211253273E-4</v>
      </c>
      <c r="K48" s="189">
        <f t="shared" si="18"/>
        <v>2.6025737507525588</v>
      </c>
      <c r="L48" s="188" cm="1">
        <f t="array" ref="L48">K48/(_xll.BDP(B48&amp;" Equity", "PREV_CLOSE_VAL")/_xll.BDP(C48&amp;" Equity", "PREV_CLOSE_VAL"))-1</f>
        <v>-1.7777699030511185E-3</v>
      </c>
      <c r="M48" s="188"/>
      <c r="N48" s="190">
        <f t="shared" si="19"/>
        <v>0.29312393817171362</v>
      </c>
      <c r="O48" s="191">
        <f t="shared" si="17"/>
        <v>6.0649086326402014E-3</v>
      </c>
      <c r="P48" s="192" cm="1">
        <f t="array" ref="P48">_xll.BDP($A48&amp;" Index","VOLATILITY_30D")</f>
        <v>9.6250099999999996</v>
      </c>
      <c r="Q48" s="192" cm="1">
        <f t="array" aca="1" ref="Q48" ca="1">(_xll.BDP(($B48&amp; " Equity"),"CORR_COEF", "BETA_OVERRIDE_REL_INDEX",($C48&amp; " Equity"),"BETA_OVERRIDE_END_DT",$Q$5,"BETA_OVERRIDE_START_DT",$Q$4))*100</f>
        <v>79.897303680759222</v>
      </c>
      <c r="R48" s="188"/>
      <c r="S48" s="188" cm="1">
        <f t="array" ref="S48">_xll.BDP($A48&amp;" Index","CHG_PCT_2D")/100</f>
        <v>-6.0380140000000004E-3</v>
      </c>
      <c r="T48" s="188" cm="1">
        <f t="array" ref="T48">_xll.BDP($A48&amp;" Index","CHG_PCT_5D")/100</f>
        <v>-2.2470129999999998E-2</v>
      </c>
      <c r="U48" s="188" cm="1">
        <f t="array" ref="U48">K48/_xll.BDP($A48&amp;" Index","HIGH_52WEEK")-1</f>
        <v>-0.10137707229779969</v>
      </c>
      <c r="V48" s="188" cm="1">
        <f t="array" ref="V48">K48/_xll.BDP($A48&amp;" Index","LOW_52WEEK")-1</f>
        <v>-1.7782415867694246E-3</v>
      </c>
      <c r="W48" s="188"/>
      <c r="X48" s="192" cm="1">
        <f t="array" ref="X48">_xll.BDP($A48&amp;" Index","RSI_14D")</f>
        <v>25.26606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1.2767900837992929</v>
      </c>
      <c r="AI48" s="196" cm="1">
        <f t="array" ref="AI48">(_xll.BDP(C48&amp;" Equity","SHORT_INT")/_xll.BDP(C48&amp;" Equity","VOLUME_AVG_90D"))</f>
        <v>2.0186181085376442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621.26</v>
      </c>
      <c r="H49" s="188" cm="1">
        <f t="array" ref="H49">G49/_xll.BDP(B49&amp;" Equity", "PREV_CLOSE_VAL")-1</f>
        <v>-8.3630866222772493E-4</v>
      </c>
      <c r="I49" s="187" cm="1">
        <f t="array" ref="I49">_xll.BDP(C49&amp;" Equity","LAST PRICE")</f>
        <v>265.76</v>
      </c>
      <c r="J49" s="188" cm="1">
        <f t="array" ref="J49">I49/_xll.BDP(C49&amp;" Equity", "PREV_CLOSE_VAL")-1</f>
        <v>9.415841211253273E-4</v>
      </c>
      <c r="K49" s="189">
        <f t="shared" si="18"/>
        <v>2.3376730885009032</v>
      </c>
      <c r="L49" s="188" cm="1">
        <f t="array" ref="L49">K49/(_xll.BDP(B49&amp;" Equity", "PREV_CLOSE_VAL")/_xll.BDP(C49&amp;" Equity", "PREV_CLOSE_VAL"))-1</f>
        <v>-1.7762203225019091E-3</v>
      </c>
      <c r="M49" s="188"/>
      <c r="N49" s="190">
        <f t="shared" si="19"/>
        <v>0.22259103083977</v>
      </c>
      <c r="O49" s="191">
        <f t="shared" si="17"/>
        <v>7.9797479521109011E-3</v>
      </c>
      <c r="P49" s="192" cm="1">
        <f t="array" ref="P49">_xll.BDP($A49&amp;" Index","VOLATILITY_30D")</f>
        <v>12.66386</v>
      </c>
      <c r="Q49" s="192" cm="1">
        <f t="array" aca="1" ref="Q49" ca="1">(_xll.BDP(($B49&amp; " Equity"),"CORR_COEF", "BETA_OVERRIDE_REL_INDEX",($C49&amp; " Equity"),"BETA_OVERRIDE_END_DT",$Q$5,"BETA_OVERRIDE_START_DT",$Q$4))*100</f>
        <v>66.754723468110015</v>
      </c>
      <c r="R49" s="188"/>
      <c r="S49" s="188" cm="1">
        <f t="array" ref="S49">_xll.BDP($A49&amp;" Index","CHG_PCT_2D")/100</f>
        <v>-5.1711910000000003E-3</v>
      </c>
      <c r="T49" s="188" cm="1">
        <f t="array" ref="T49">_xll.BDP($A49&amp;" Index","CHG_PCT_5D")/100</f>
        <v>-2.7504279999999999E-2</v>
      </c>
      <c r="U49" s="188" cm="1">
        <f t="array" ref="U49">K49/_xll.BDP($A49&amp;" Index","HIGH_52WEEK")-1</f>
        <v>-0.10358421332122747</v>
      </c>
      <c r="V49" s="188" cm="1">
        <f t="array" ref="V49">K49/_xll.BDP($A49&amp;" Index","LOW_52WEEK")-1</f>
        <v>2.9703065975801302E-2</v>
      </c>
      <c r="W49" s="188"/>
      <c r="X49" s="192" cm="1">
        <f t="array" ref="X49">_xll.BDP($A49&amp;" Index","RSI_14D")</f>
        <v>27.551279999999998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0.77899092727734198</v>
      </c>
      <c r="AI49" s="196" cm="1">
        <f t="array" ref="AI49">(_xll.BDP(C49&amp;" Equity","SHORT_INT")/_xll.BDP(C49&amp;" Equity","VOLUME_AVG_90D"))</f>
        <v>2.0186181085376442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400.39</v>
      </c>
      <c r="H50" s="188" cm="1">
        <f t="array" ref="H50">G50/_xll.BDP(B50&amp;" Equity", "PREV_CLOSE_VAL")-1</f>
        <v>1.0040109987134338E-2</v>
      </c>
      <c r="I50" s="187" cm="1">
        <f t="array" ref="I50">_xll.BDP(C50&amp;" Equity","LAST PRICE")</f>
        <v>98.31</v>
      </c>
      <c r="J50" s="188" cm="1">
        <f t="array" ref="J50">I50/_xll.BDP(C50&amp;" Equity", "PREV_CLOSE_VAL")-1</f>
        <v>-1.4732411304870685E-2</v>
      </c>
      <c r="K50" s="189">
        <f>G50/I50</f>
        <v>4.0727291221645814</v>
      </c>
      <c r="L50" s="188" cm="1">
        <f t="array" ref="L50">K50/(_xll.BDP(B50&amp;" Equity", "PREV_CLOSE_VAL")/_xll.BDP(C50&amp;" Equity", "PREV_CLOSE_VAL"))-1</f>
        <v>2.5142937387003128E-2</v>
      </c>
      <c r="M50" s="188"/>
      <c r="N50" s="190">
        <f>ABS(L50/O50)</f>
        <v>1.3423889933615019</v>
      </c>
      <c r="O50" s="191">
        <f>P50/15.87/100</f>
        <v>1.8729993698802773E-2</v>
      </c>
      <c r="P50" s="192" cm="1">
        <f t="array" ref="P50">_xll.BDP($A50&amp;" Index","VOLATILITY_30D")</f>
        <v>29.724499999999999</v>
      </c>
      <c r="Q50" s="192" cm="1">
        <f t="array" aca="1" ref="Q50" ca="1">(_xll.BDP(($B50&amp; " Equity"),"CORR_COEF", "BETA_OVERRIDE_REL_INDEX",($C50&amp; " Equity"),"BETA_OVERRIDE_END_DT",$Q$5,"BETA_OVERRIDE_START_DT",$Q$4))*100</f>
        <v>67.394938365789343</v>
      </c>
      <c r="R50" s="188"/>
      <c r="S50" s="188" cm="1">
        <f t="array" ref="S50">_xll.BDP($A50&amp;" Index","CHG_PCT_2D")/100</f>
        <v>3.3951299999999997E-2</v>
      </c>
      <c r="T50" s="188" cm="1">
        <f t="array" ref="T50">_xll.BDP($A50&amp;" Index","CHG_PCT_5D")/100</f>
        <v>7.1754319999999996E-2</v>
      </c>
      <c r="U50" s="188" cm="1">
        <f t="array" ref="U50">K50/_xll.BDP($A50&amp;" Index","HIGH_52WEEK")-1</f>
        <v>2.5143001521476194E-2</v>
      </c>
      <c r="V50" s="188" cm="1">
        <f t="array" ref="V50">K50/_xll.BDP($A50&amp;" Index","LOW_52WEEK")-1</f>
        <v>0.86118941348507549</v>
      </c>
      <c r="W50" s="188"/>
      <c r="X50" s="192" cm="1">
        <f t="array" ref="X50">_xll.BDP($A50&amp;" Index","RSI_14D")</f>
        <v>82.627369999999999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1.2270195206950749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400.39</v>
      </c>
      <c r="H51" s="188" cm="1">
        <f t="array" ref="H51">G51/_xll.BDP(B51&amp;" Equity", "PREV_CLOSE_VAL")-1</f>
        <v>1.0040109987134338E-2</v>
      </c>
      <c r="I51" s="187" cm="1">
        <f t="array" ref="I51">_xll.BDP(C51&amp;" Equity","LAST PRICE")</f>
        <v>621.26</v>
      </c>
      <c r="J51" s="188" cm="1">
        <f t="array" ref="J51">I51/_xll.BDP(C51&amp;" Equity", "PREV_CLOSE_VAL")-1</f>
        <v>-8.3630866222772493E-4</v>
      </c>
      <c r="K51" s="189">
        <f>G51/I51</f>
        <v>0.64448057174129991</v>
      </c>
      <c r="L51" s="188" cm="1">
        <f t="array" ref="L51">K51/(_xll.BDP(B51&amp;" Equity", "PREV_CLOSE_VAL")/_xll.BDP(C51&amp;" Equity", "PREV_CLOSE_VAL"))-1</f>
        <v>1.0885522305959405E-2</v>
      </c>
      <c r="M51" s="188"/>
      <c r="N51" s="190">
        <f>ABS(L51/O51)</f>
        <v>0.89615642471454893</v>
      </c>
      <c r="O51" s="191">
        <f>P51/15.87/100</f>
        <v>1.2146899810964085E-2</v>
      </c>
      <c r="P51" s="192" cm="1">
        <f t="array" ref="P51">_xll.BDP($A51&amp;" Index","VOLATILITY_30D")</f>
        <v>19.27713</v>
      </c>
      <c r="Q51" s="192" cm="1">
        <f t="array" aca="1" ref="Q51" ca="1">(_xll.BDP(($B51&amp; " Equity"),"CORR_COEF", "BETA_OVERRIDE_REL_INDEX",($C51&amp; " Equity"),"BETA_OVERRIDE_END_DT",$Q$5,"BETA_OVERRIDE_START_DT",$Q$4))*100</f>
        <v>88.588687024732209</v>
      </c>
      <c r="R51" s="188"/>
      <c r="S51" s="188" cm="1">
        <f t="array" ref="S51">_xll.BDP($A51&amp;" Index","CHG_PCT_2D")/100</f>
        <v>1.7092619999999999E-2</v>
      </c>
      <c r="T51" s="188" cm="1">
        <f t="array" ref="T51">_xll.BDP($A51&amp;" Index","CHG_PCT_5D")/100</f>
        <v>2.6448839999999998E-2</v>
      </c>
      <c r="U51" s="188" cm="1">
        <f t="array" ref="U51">K51/_xll.BDP($A51&amp;" Index","HIGH_52WEEK")-1</f>
        <v>1.0886488285127172E-2</v>
      </c>
      <c r="V51" s="188" cm="1">
        <f t="array" ref="V51">K51/_xll.BDP($A51&amp;" Index","LOW_52WEEK")-1</f>
        <v>0.50664057354895253</v>
      </c>
      <c r="W51" s="188"/>
      <c r="X51" s="192" cm="1">
        <f t="array" ref="X51">_xll.BDP($A51&amp;" Index","RSI_14D")</f>
        <v>76.064909999999998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1.2270195206950749</v>
      </c>
      <c r="AI51" s="196" cm="1">
        <f t="array" ref="AI51">(_xll.BDP(C51&amp;" Equity","SHORT_INT")/_xll.BDP(C51&amp;" Equity","VOLUME_AVG_90D"))</f>
        <v>0.77899092727734198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86.14</v>
      </c>
      <c r="H52" s="188" cm="1">
        <f t="array" ref="H52">G52/_xll.BDP(B52&amp;" Equity", "PREV_CLOSE_VAL")-1</f>
        <v>-4.046710602381709E-3</v>
      </c>
      <c r="I52" s="187" cm="1">
        <f t="array" ref="I52">_xll.BDP(C52&amp;" Equity","LAST PRICE")</f>
        <v>199.05</v>
      </c>
      <c r="J52" s="188" cm="1">
        <f t="array" ref="J52">I52/_xll.BDP(C52&amp;" Equity", "PREV_CLOSE_VAL")-1</f>
        <v>-2.5556223692122515E-3</v>
      </c>
      <c r="K52" s="189">
        <f>G52/I52</f>
        <v>0.4327555890479779</v>
      </c>
      <c r="L52" s="188" cm="1">
        <f t="array" ref="L52">K52/(_xll.BDP(B52&amp;" Equity", "PREV_CLOSE_VAL")/_xll.BDP(C52&amp;" Equity", "PREV_CLOSE_VAL"))-1</f>
        <v>-1.4949086551684365E-3</v>
      </c>
      <c r="M52" s="188"/>
      <c r="N52" s="190">
        <f>ABS(L52/O52)</f>
        <v>0.2041383210231533</v>
      </c>
      <c r="O52" s="191">
        <f>P52/15.87/100</f>
        <v>7.3230182734719592E-3</v>
      </c>
      <c r="P52" s="192" cm="1">
        <f t="array" ref="P52">_xll.BDP($A52&amp;" Index","VOLATILITY_30D")</f>
        <v>11.62163</v>
      </c>
      <c r="Q52" s="192" cm="1">
        <f t="array" aca="1" ref="Q52" ca="1">(_xll.BDP(($B52&amp; " Equity"),"CORR_COEF", "BETA_OVERRIDE_REL_INDEX",($C52&amp; " Equity"),"BETA_OVERRIDE_END_DT",$Q$5,"BETA_OVERRIDE_START_DT",$Q$4))*100</f>
        <v>72.752135022735018</v>
      </c>
      <c r="R52" s="188"/>
      <c r="S52" s="188" cm="1">
        <f t="array" ref="S52">_xll.BDP($A52&amp;" Index","CHG_PCT_2D")/100</f>
        <v>1.1606160000000001E-2</v>
      </c>
      <c r="T52" s="188" cm="1">
        <f t="array" ref="T52">_xll.BDP($A52&amp;" Index","CHG_PCT_5D")/100</f>
        <v>-2.2487739999999999E-2</v>
      </c>
      <c r="U52" s="188" cm="1">
        <f t="array" ref="U52">K52/_xll.BDP($A52&amp;" Index","HIGH_52WEEK")-1</f>
        <v>-4.1133588035145996E-2</v>
      </c>
      <c r="V52" s="188" cm="1">
        <f t="array" ref="V52">K52/_xll.BDP($A52&amp;" Index","LOW_52WEEK")-1</f>
        <v>0.27142694434873182</v>
      </c>
      <c r="W52" s="188"/>
      <c r="X52" s="192" cm="1">
        <f t="array" ref="X52">_xll.BDP($A52&amp;" Index","RSI_14D")</f>
        <v>45.38729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1.6720894175854784</v>
      </c>
      <c r="AI52" s="196" cm="1">
        <f t="array" ref="AI52">(_xll.BDP(C52&amp;" Equity","SHORT_INT")/_xll.BDP(C52&amp;" Equity","VOLUME_AVG_90D"))</f>
        <v>3.091673545257863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86.14</v>
      </c>
      <c r="H53" s="188" cm="1">
        <f t="array" ref="H53">G53/_xll.BDP(B53&amp;" Equity", "PREV_CLOSE_VAL")-1</f>
        <v>-4.046710602381709E-3</v>
      </c>
      <c r="I53" s="187" cm="1">
        <f t="array" ref="I53">_xll.BDP(C53&amp;" Equity","LAST PRICE")</f>
        <v>691.66</v>
      </c>
      <c r="J53" s="188" cm="1">
        <f t="array" ref="J53">I53/_xll.BDP(C53&amp;" Equity", "PREV_CLOSE_VAL")-1</f>
        <v>-8.378597018375844E-4</v>
      </c>
      <c r="K53" s="189">
        <f>G53/I53</f>
        <v>0.12454095943093428</v>
      </c>
      <c r="L53" s="188" cm="1">
        <f t="array" ref="L53">K53/(_xll.BDP(B53&amp;" Equity", "PREV_CLOSE_VAL")/_xll.BDP(C53&amp;" Equity", "PREV_CLOSE_VAL"))-1</f>
        <v>-3.2115417219337195E-3</v>
      </c>
      <c r="M53" s="188"/>
      <c r="N53" s="190">
        <f>ABS(L53/O53)</f>
        <v>0.36236258412290251</v>
      </c>
      <c r="O53" s="191">
        <f>P53/15.87/100</f>
        <v>8.8627851291745424E-3</v>
      </c>
      <c r="P53" s="192" cm="1">
        <f t="array" ref="P53">_xll.BDP($A53&amp;" Index","VOLATILITY_30D")</f>
        <v>14.065239999999999</v>
      </c>
      <c r="Q53" s="192" cm="1">
        <f t="array" aca="1" ref="Q53" ca="1">(_xll.BDP(($B53&amp; " Equity"),"CORR_COEF", "BETA_OVERRIDE_REL_INDEX",($C53&amp; " Equity"),"BETA_OVERRIDE_END_DT",$Q$5,"BETA_OVERRIDE_START_DT",$Q$4))*100</f>
        <v>64.207041785852013</v>
      </c>
      <c r="R53" s="188"/>
      <c r="S53" s="188" cm="1">
        <f t="array" ref="S53">_xll.BDP($A53&amp;" Index","CHG_PCT_2D")/100</f>
        <v>1.331733E-2</v>
      </c>
      <c r="T53" s="188" cm="1">
        <f t="array" ref="T53">_xll.BDP($A53&amp;" Index","CHG_PCT_5D")/100</f>
        <v>-1.0192000000000001E-2</v>
      </c>
      <c r="U53" s="188" cm="1">
        <f t="array" ref="U53">K53/_xll.BDP($A53&amp;" Index","HIGH_52WEEK")-1</f>
        <v>-2.7859187956176146E-2</v>
      </c>
      <c r="V53" s="188" cm="1">
        <f t="array" ref="V53">K53/_xll.BDP($A53&amp;" Index","LOW_52WEEK")-1</f>
        <v>0.19383588411555097</v>
      </c>
      <c r="W53" s="188"/>
      <c r="X53" s="192" cm="1">
        <f t="array" ref="X53">_xll.BDP($A53&amp;" Index","RSI_14D")</f>
        <v>54.536790000000003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1.6720894175854784</v>
      </c>
      <c r="AI53" s="196" cm="1">
        <f t="array" ref="AI53">(_xll.BDP(C53&amp;" Equity","SHORT_INT")/_xll.BDP(C53&amp;" Equity","VOLUME_AVG_90D"))</f>
        <v>1.2767900837992929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86.14</v>
      </c>
      <c r="H54" s="188" cm="1">
        <f t="array" ref="H54">G54/_xll.BDP(B54&amp;" Equity", "PREV_CLOSE_VAL")-1</f>
        <v>-4.046710602381709E-3</v>
      </c>
      <c r="I54" s="187" cm="1">
        <f t="array" ref="I54">_xll.BDP(C54&amp;" Equity","LAST PRICE")</f>
        <v>67.849999999999994</v>
      </c>
      <c r="J54" s="188" cm="1">
        <f t="array" ref="J54">I54/_xll.BDP(C54&amp;" Equity", "PREV_CLOSE_VAL")-1</f>
        <v>-5.7151230949590293E-3</v>
      </c>
      <c r="K54" s="189">
        <f>G54/I54</f>
        <v>1.2695652173913046</v>
      </c>
      <c r="L54" s="188" cm="1">
        <f t="array" ref="L54">K54/(_xll.BDP(B54&amp;" Equity", "PREV_CLOSE_VAL")/_xll.BDP(C54&amp;" Equity", "PREV_CLOSE_VAL"))-1</f>
        <v>1.678002483323171E-3</v>
      </c>
      <c r="M54" s="188"/>
      <c r="N54" s="190">
        <f>ABS(L54/O54)</f>
        <v>0.23931244735275869</v>
      </c>
      <c r="O54" s="191">
        <f>P54/15.87/100</f>
        <v>7.0117643352236927E-3</v>
      </c>
      <c r="P54" s="192" cm="1">
        <f t="array" ref="P54">_xll.BDP($A54&amp;" Index","VOLATILITY_30D")</f>
        <v>11.12767</v>
      </c>
      <c r="Q54" s="192" cm="1">
        <f t="array" aca="1" ref="Q54" ca="1">(_xll.BDP(($B54&amp; " Equity"),"CORR_COEF", "BETA_OVERRIDE_REL_INDEX",($C54&amp; " Equity"),"BETA_OVERRIDE_END_DT",$Q$5,"BETA_OVERRIDE_START_DT",$Q$4))*100</f>
        <v>81.19059229555495</v>
      </c>
      <c r="R54" s="188"/>
      <c r="S54" s="188" cm="1">
        <f t="array" ref="S54">_xll.BDP($A54&amp;" Index","CHG_PCT_2D")/100</f>
        <v>-2.6651940000000001E-3</v>
      </c>
      <c r="T54" s="188" cm="1">
        <f t="array" ref="T54">_xll.BDP($A54&amp;" Index","CHG_PCT_5D")/100</f>
        <v>-2.3777819999999998E-2</v>
      </c>
      <c r="U54" s="188" cm="1">
        <f t="array" ref="U54">K54/_xll.BDP($A54&amp;" Index","HIGH_52WEEK")-1</f>
        <v>-3.8106149598211569E-2</v>
      </c>
      <c r="V54" s="188" cm="1">
        <f t="array" ref="V54">K54/_xll.BDP($A54&amp;" Index","LOW_52WEEK")-1</f>
        <v>0.1689533983917284</v>
      </c>
      <c r="W54" s="188"/>
      <c r="X54" s="192" cm="1">
        <f t="array" ref="X54">_xll.BDP($A54&amp;" Index","RSI_14D")</f>
        <v>41.751350000000002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1.6720894175854784</v>
      </c>
      <c r="AI54" s="196" cm="1">
        <f t="array" ref="AI54">(_xll.BDP(C54&amp;" Equity","SHORT_INT")/_xll.BDP(C54&amp;" Equity","VOLUME_AVG_90D"))</f>
        <v>3.1246487186424763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1894</v>
      </c>
      <c r="AI2" t="s">
        <v>1895</v>
      </c>
    </row>
    <row r="3" spans="3:37">
      <c r="T3" s="40"/>
      <c r="U3" s="40"/>
      <c r="V3" t="s">
        <v>1891</v>
      </c>
      <c r="W3" t="s">
        <v>1892</v>
      </c>
      <c r="X3" t="s">
        <v>169</v>
      </c>
      <c r="Z3" t="s">
        <v>1891</v>
      </c>
      <c r="AA3" t="s">
        <v>1892</v>
      </c>
      <c r="AB3" t="s">
        <v>169</v>
      </c>
      <c r="AD3" t="s">
        <v>1893</v>
      </c>
      <c r="AE3" t="s">
        <v>1908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1896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0.28045604584189038</v>
      </c>
      <c r="G5" s="153" cm="1">
        <f t="array" ref="G5">_xll.BDP($C5&amp;" Equity","volatility_30d")/100</f>
        <v>0.33773658770066672</v>
      </c>
      <c r="J5" t="s">
        <v>1740</v>
      </c>
      <c r="K5" s="276">
        <v>70</v>
      </c>
      <c r="L5" cm="1">
        <f t="array" ref="L5">_xll.BDP(J5&amp;" Equity","LAST PRICE")</f>
        <v>108.74</v>
      </c>
      <c r="M5" s="279">
        <f>L5/K5-1</f>
        <v>0.55342857142857138</v>
      </c>
      <c r="S5" s="36" t="s">
        <v>1770</v>
      </c>
      <c r="T5" t="s">
        <v>1890</v>
      </c>
      <c r="U5" t="s">
        <v>1896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0.28045604584189038</v>
      </c>
      <c r="G6" s="153" cm="1">
        <f t="array" ref="G6">_xll.BDP($C6&amp;" Equity","volatility_30d")/100</f>
        <v>0.33773658770066672</v>
      </c>
      <c r="J6" t="s">
        <v>1740</v>
      </c>
      <c r="K6" s="276">
        <v>70</v>
      </c>
      <c r="L6" cm="1">
        <f t="array" ref="L6">_xll.BDP(J6&amp;" Equity","LAST PRICE")</f>
        <v>108.74</v>
      </c>
      <c r="M6" s="279">
        <f>L6/K6-1</f>
        <v>0.55342857142857138</v>
      </c>
      <c r="S6" s="36" t="s">
        <v>1770</v>
      </c>
      <c r="T6" t="s">
        <v>1906</v>
      </c>
      <c r="U6" t="s">
        <v>1903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0.1837473829869439</v>
      </c>
      <c r="G7" s="153" cm="1">
        <f t="array" ref="G7">_xll.BDP($C7&amp;" Equity","volatility_30d")/100</f>
        <v>0.20088398637681718</v>
      </c>
      <c r="J7" t="s">
        <v>1743</v>
      </c>
      <c r="K7" s="276">
        <v>28.5</v>
      </c>
      <c r="L7" cm="1">
        <f t="array" ref="L7">_xll.BDP(J7&amp;" Equity","LAST PRICE")</f>
        <v>21.13</v>
      </c>
      <c r="M7" s="279">
        <f t="shared" ref="M7:M13" si="6">L7/K7-1</f>
        <v>-0.25859649122807016</v>
      </c>
      <c r="S7" s="36" t="s">
        <v>1770</v>
      </c>
      <c r="T7" t="s">
        <v>81</v>
      </c>
      <c r="U7" t="s">
        <v>1882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0.35386097249694454</v>
      </c>
      <c r="G8" s="153" cm="1">
        <f t="array" ref="G8">_xll.BDP($C8&amp;" Equity","volatility_30d")/100</f>
        <v>0.39222916935765917</v>
      </c>
      <c r="J8" t="s">
        <v>400</v>
      </c>
      <c r="K8" s="276">
        <v>318.75</v>
      </c>
      <c r="L8" cm="1">
        <f t="array" ref="L8">_xll.BDP(J8&amp;" Equity","LAST PRICE")</f>
        <v>286.20999999999998</v>
      </c>
      <c r="M8" s="279">
        <f t="shared" si="6"/>
        <v>-0.10208627450980401</v>
      </c>
      <c r="S8" s="36" t="s">
        <v>1770</v>
      </c>
      <c r="T8" t="s">
        <v>83</v>
      </c>
      <c r="U8" t="s">
        <v>1882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0.2336287832292997</v>
      </c>
      <c r="G9" s="153" cm="1">
        <f t="array" ref="G9">_xll.BDP($C9&amp;" Equity","volatility_30d")/100</f>
        <v>0.21179586546038906</v>
      </c>
      <c r="J9" t="s">
        <v>134</v>
      </c>
      <c r="K9" s="276">
        <v>265.95999999999998</v>
      </c>
      <c r="L9" cm="1">
        <f t="array" ref="L9">_xll.BDP(J9&amp;" Equity","LAST PRICE")</f>
        <v>227.11</v>
      </c>
      <c r="M9" s="279">
        <f t="shared" si="6"/>
        <v>-0.14607459768386211</v>
      </c>
      <c r="S9" s="36" t="s">
        <v>1770</v>
      </c>
      <c r="T9" t="s">
        <v>399</v>
      </c>
      <c r="U9" t="s">
        <v>1882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0.30760339999999997</v>
      </c>
      <c r="G10" s="153" cm="1">
        <f t="array" ref="G10">_xll.BDP($C10&amp;" Equity","volatility_30d")/100</f>
        <v>0.24266559999999998</v>
      </c>
      <c r="J10" t="s">
        <v>1753</v>
      </c>
      <c r="K10" s="276">
        <v>251.52</v>
      </c>
      <c r="L10" cm="1">
        <f t="array" ref="L10">_xll.BDP(J10&amp;" Equity","LAST PRICE")</f>
        <v>186.86</v>
      </c>
      <c r="M10" s="279">
        <f t="shared" si="6"/>
        <v>-0.2570769720101781</v>
      </c>
      <c r="S10" s="36" t="s">
        <v>1770</v>
      </c>
      <c r="T10" t="s">
        <v>1907</v>
      </c>
      <c r="U10" t="s">
        <v>1897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0.18153807541944392</v>
      </c>
      <c r="G11" s="153" cm="1">
        <f t="array" ref="G11">_xll.BDP($C11&amp;" Equity","volatility_30d")/100</f>
        <v>0.1479131122108201</v>
      </c>
      <c r="J11" t="s">
        <v>353</v>
      </c>
      <c r="K11" s="276">
        <v>117.4</v>
      </c>
      <c r="L11" cm="1">
        <f t="array" ref="L11">_xll.BDP(J11&amp;" Equity","LAST PRICE")</f>
        <v>231.01</v>
      </c>
      <c r="M11" s="279">
        <f t="shared" si="6"/>
        <v>0.96771720613287893</v>
      </c>
      <c r="S11" s="36" t="s">
        <v>1770</v>
      </c>
      <c r="T11" t="s">
        <v>94</v>
      </c>
      <c r="U11" t="s">
        <v>1883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0.34546399540900574</v>
      </c>
      <c r="G12" s="153" cm="1">
        <f t="array" ref="G12">_xll.BDP($C12&amp;" Equity","volatility_30d")/100</f>
        <v>0.26041646547718805</v>
      </c>
      <c r="J12" t="s">
        <v>1742</v>
      </c>
      <c r="K12" s="276">
        <v>5420</v>
      </c>
      <c r="L12" cm="1">
        <f t="array" ref="L12">_xll.BDP(J12&amp;" Index","LAST PRICE")</f>
        <v>5780</v>
      </c>
      <c r="M12" s="279">
        <f t="shared" si="6"/>
        <v>6.6420664206642055E-2</v>
      </c>
      <c r="S12" s="36" t="s">
        <v>1770</v>
      </c>
      <c r="T12" t="s">
        <v>137</v>
      </c>
      <c r="U12" t="s">
        <v>1897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0.40606478239981991</v>
      </c>
      <c r="G13" s="153" cm="1">
        <f t="array" ref="G13">_xll.BDP($C13&amp;" Equity","volatility_30d")/100</f>
        <v>0.30119643804908269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1883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0.19498943328181859</v>
      </c>
      <c r="G14" s="153" cm="1">
        <f t="array" ref="G14">_xll.BDP($C14&amp;" Equity","volatility_30d")/100</f>
        <v>0.13453768067954591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0.2224787104684014</v>
      </c>
      <c r="G15" s="153" cm="1">
        <f t="array" ref="G15">_xll.BDP($C15&amp;" Equity","volatility_30d")/100</f>
        <v>0.16897961103686587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0.21728793360464041</v>
      </c>
      <c r="G16" s="153" cm="1">
        <f t="array" ref="G16">_xll.BDP($C16&amp;" Equity","volatility_30d")/100</f>
        <v>0.17266820050246368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0.26651124302249557</v>
      </c>
      <c r="G17" s="153" cm="1">
        <f t="array" ref="G17">_xll.BDP($C17&amp;" Equity","volatility_30d")/100</f>
        <v>0.30785789266293384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0.2504616799722148</v>
      </c>
      <c r="G18" s="153" cm="1">
        <f t="array" ref="G18">_xll.BDP($C18&amp;" Equity","volatility_30d")/100</f>
        <v>0.2876709147323061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0.16910614164486526</v>
      </c>
      <c r="G19" s="153" cm="1">
        <f t="array" ref="G19">_xll.BDP($C19&amp;" Equity","volatility_30d")/100</f>
        <v>0.12871450855328617</v>
      </c>
      <c r="AP19" t="s">
        <v>1770</v>
      </c>
    </row>
    <row r="20" spans="3:42">
      <c r="C20" t="s">
        <v>1852</v>
      </c>
      <c r="D20" s="276">
        <v>1</v>
      </c>
      <c r="F20" s="153" cm="1">
        <f t="array" ref="F20">_xll.BDP($C20&amp;" Equity","volatility_10d")/100</f>
        <v>0.15820985336752566</v>
      </c>
      <c r="G20" s="153" cm="1">
        <f t="array" ref="G20">_xll.BDP($C20&amp;" Equity","volatility_30d")/100</f>
        <v>0.14700538653404444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0.11030672733113586</v>
      </c>
      <c r="G21" s="153" cm="1">
        <f t="array" ref="G21">_xll.BDP($C21&amp;" Equity","volatility_30d")/100</f>
        <v>9.7692255139685824E-2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7.0267151116883253E-2</v>
      </c>
      <c r="G22" s="153" cm="1">
        <f t="array" ref="G22">_xll.BDP($C22&amp;" Equity","volatility_30d")/100</f>
        <v>8.1557325625883303E-2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0.11114803729180613</v>
      </c>
      <c r="G23" s="153" cm="1">
        <f t="array" ref="G23">_xll.BDP($C23&amp;" Equity","volatility_30d")/100</f>
        <v>0.12646492427570954</v>
      </c>
      <c r="K23" s="377" t="s">
        <v>1916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9.5700689193261232E-2</v>
      </c>
      <c r="G24" s="153" cm="1">
        <f t="array" ref="G24">_xll.BDP($C24&amp;" Equity","volatility_30d")/100</f>
        <v>0.13867718595896236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0.11244351223204258</v>
      </c>
      <c r="G25" s="153" cm="1">
        <f t="array" ref="G25">_xll.BDP($C25&amp;" Equity","volatility_30d")/100</f>
        <v>0.22598227003999777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1.2106566429138184</v>
      </c>
      <c r="F26" s="153" cm="1">
        <f t="array" ref="F26">_xll.BDP($C26&amp;" Equity","volatility_10d")/100</f>
        <v>0.23350245509721235</v>
      </c>
      <c r="G26" s="153" cm="1">
        <f t="array" ref="G26">_xll.BDP($C26&amp;" Equity","volatility_30d")/100</f>
        <v>0.22588164011402334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1.0588473081588745</v>
      </c>
      <c r="F27" s="153" cm="1">
        <f t="array" ref="F27">_xll.BDP($C27&amp;" Equity","volatility_10d")/100</f>
        <v>0.12054640980676529</v>
      </c>
      <c r="G27" s="153" cm="1">
        <f t="array" ref="G27">_xll.BDP($C27&amp;" Equity","volatility_30d")/100</f>
        <v>0.10570623564983052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1.1976710557937622</v>
      </c>
      <c r="F28" s="153" cm="1">
        <f t="array" ref="F28">_xll.BDP($C28&amp;" Equity","volatility_10d")/100</f>
        <v>0.40921214846310988</v>
      </c>
      <c r="G28" s="153" cm="1">
        <f t="array" ref="G28">_xll.BDP($C28&amp;" Equity","volatility_30d")/100</f>
        <v>0.35108683452027484</v>
      </c>
      <c r="K28" s="374" t="s">
        <v>1681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0.83883368968963623</v>
      </c>
      <c r="F29" s="153" cm="1">
        <f t="array" ref="F29">_xll.BDP($C29&amp;" Equity","volatility_10d")/100</f>
        <v>0.19123533983745625</v>
      </c>
      <c r="G29" s="153" cm="1">
        <f t="array" ref="G29">_xll.BDP($C29&amp;" Equity","volatility_30d")/100</f>
        <v>0.18430442475693951</v>
      </c>
      <c r="K29" s="374" t="s">
        <v>1803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1.0190953016281128</v>
      </c>
      <c r="F30" s="153" cm="1">
        <f t="array" ref="F30">_xll.BDP($C30&amp;" Equity","volatility_10d")/100</f>
        <v>0.18688247818229725</v>
      </c>
      <c r="G30" s="153" cm="1">
        <f t="array" ref="G30">_xll.BDP($C30&amp;" Equity","volatility_30d")/100</f>
        <v>0.17757375965679636</v>
      </c>
      <c r="K30" s="374" t="s">
        <v>1904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1681</v>
      </c>
      <c r="D31" s="276" cm="1">
        <f t="array" ref="D31">_xll.BDP(C31&amp;" EQUITY","eqy_beta")</f>
        <v>1.2074404954910278</v>
      </c>
      <c r="F31" s="153" cm="1">
        <f t="array" ref="F31">_xll.BDP($C31&amp;" Equity","volatility_10d")/100</f>
        <v>0.46202539741722293</v>
      </c>
      <c r="G31" s="153" cm="1">
        <f t="array" ref="G31">_xll.BDP($C31&amp;" Equity","volatility_30d")/100</f>
        <v>0.29289874717542924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0.84289455413818359</v>
      </c>
      <c r="F32" s="153" cm="1">
        <f t="array" ref="F32">_xll.BDP($C32&amp;" Equity","volatility_10d")/100</f>
        <v>0.26880516971456792</v>
      </c>
      <c r="G32" s="153" cm="1">
        <f t="array" ref="G32">_xll.BDP($C32&amp;" Equity","volatility_30d")/100</f>
        <v>0.23046772078517003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0.82557642459869385</v>
      </c>
      <c r="F33" s="153" cm="1">
        <f t="array" ref="F33">_xll.BDP($C33&amp;" Equity","volatility_10d")/100</f>
        <v>0.30499948946009969</v>
      </c>
      <c r="G33" s="153" cm="1">
        <f t="array" ref="G33">_xll.BDP($C33&amp;" Equity","volatility_30d")/100</f>
        <v>0.26631314296406583</v>
      </c>
      <c r="K33" s="374" t="s">
        <v>1917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0.62967199087142944</v>
      </c>
      <c r="F34" s="153" cm="1">
        <f t="array" ref="F34">_xll.BDP($C34&amp;" Equity","volatility_10d")/100</f>
        <v>7.2536549261953492E-2</v>
      </c>
      <c r="G34" s="153" cm="1">
        <f t="array" ref="G34">_xll.BDP($C34&amp;" Equity","volatility_30d")/100</f>
        <v>0.12877132980004036</v>
      </c>
      <c r="K34" s="377" t="s">
        <v>1882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1.4787372350692749</v>
      </c>
      <c r="F35" s="153" cm="1">
        <f t="array" ref="F35">_xll.BDP($C35&amp;" Equity","volatility_10d")/100</f>
        <v>0.33905858239920844</v>
      </c>
      <c r="G35" s="153" cm="1">
        <f t="array" ref="G35">_xll.BDP($C35&amp;" Equity","volatility_30d")/100</f>
        <v>0.34042213463702048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1.8595256805419922</v>
      </c>
      <c r="F36" s="153" cm="1">
        <f t="array" ref="F36">_xll.BDP($C36&amp;" Equity","volatility_10d")/100</f>
        <v>0.20378779600570687</v>
      </c>
      <c r="G36" s="153" cm="1">
        <f t="array" ref="G36">_xll.BDP($C36&amp;" Equity","volatility_30d")/100</f>
        <v>0.27939048882367773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1.6657282114028931</v>
      </c>
      <c r="F37" s="153" cm="1">
        <f t="array" ref="F37">_xll.BDP($C37&amp;" Equity","volatility_10d")/100</f>
        <v>1.0797182926166871</v>
      </c>
      <c r="G37" s="153" cm="1">
        <f t="array" ref="G37">_xll.BDP($C37&amp;" Equity","volatility_30d")/100</f>
        <v>0.7261333661757331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1.1735769510269165</v>
      </c>
      <c r="F38" s="153" cm="1">
        <f t="array" ref="F38">_xll.BDP($C38&amp;" Equity","volatility_10d")/100</f>
        <v>0.35658176078884418</v>
      </c>
      <c r="G38" s="153" cm="1">
        <f t="array" ref="G38">_xll.BDP($C38&amp;" Equity","volatility_30d")/100</f>
        <v>0.2632418599549004</v>
      </c>
      <c r="K38" s="374" t="s">
        <v>399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1.0718096494674683</v>
      </c>
      <c r="F39" s="153" cm="1">
        <f t="array" ref="F39">_xll.BDP($C39&amp;" Equity","volatility_10d")/100</f>
        <v>0.22463179916924736</v>
      </c>
      <c r="G39" s="153" cm="1">
        <f t="array" ref="G39">_xll.BDP($C39&amp;" Equity","volatility_30d")/100</f>
        <v>0.20483617168291171</v>
      </c>
      <c r="K39" s="374" t="s">
        <v>499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1678</v>
      </c>
      <c r="D40" s="276" cm="1">
        <f t="array" ref="D40">_xll.BDP(C40&amp;" EQUITY","eqy_beta")</f>
        <v>0.61121416091918945</v>
      </c>
      <c r="F40" s="153" cm="1">
        <f t="array" ref="F40">_xll.BDP($C40&amp;" Equity","volatility_10d")/100</f>
        <v>0.37877834052587789</v>
      </c>
      <c r="G40" s="153" cm="1">
        <f t="array" ref="G40">_xll.BDP($C40&amp;" Equity","volatility_30d")/100</f>
        <v>0.32321912322165647</v>
      </c>
      <c r="K40" s="374" t="s">
        <v>1920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1679</v>
      </c>
      <c r="D41" s="276" cm="1">
        <f t="array" ref="D41">_xll.BDP(C41&amp;" EQUITY","eqy_beta")</f>
        <v>0.54424041509628296</v>
      </c>
      <c r="F41" s="153" cm="1">
        <f t="array" ref="F41">_xll.BDP($C41&amp;" Equity","volatility_10d")/100</f>
        <v>0.28351582282920162</v>
      </c>
      <c r="G41" s="153" cm="1">
        <f t="array" ref="G41">_xll.BDP($C41&amp;" Equity","volatility_30d")/100</f>
        <v>0.21579928354141881</v>
      </c>
      <c r="K41" s="377" t="s">
        <v>1881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1680</v>
      </c>
      <c r="D42" s="276" cm="1">
        <f t="array" ref="D42">_xll.BDP(C42&amp;" EQUITY","eqy_beta")</f>
        <v>0.55633991956710815</v>
      </c>
      <c r="F42" s="153" cm="1">
        <f t="array" ref="F42">_xll.BDP($C42&amp;" Equity","volatility_10d")/100</f>
        <v>0.31375640472213634</v>
      </c>
      <c r="G42" s="153" cm="1">
        <f t="array" ref="G42">_xll.BDP($C42&amp;" Equity","volatility_30d")/100</f>
        <v>0.21629274648672983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1686</v>
      </c>
      <c r="D43" s="276" cm="1">
        <f t="array" ref="D43">_xll.BDP(C43&amp;" EQUITY","eqy_beta")</f>
        <v>0.75196337699890137</v>
      </c>
      <c r="F43" s="153" cm="1">
        <f t="array" ref="F43">_xll.BDP($C43&amp;" Equity","volatility_10d")/100</f>
        <v>0.26360315222283826</v>
      </c>
      <c r="G43" s="153" cm="1">
        <f t="array" ref="G43">_xll.BDP($C43&amp;" Equity","volatility_30d")/100</f>
        <v>0.22864772052874691</v>
      </c>
      <c r="K43" s="374" t="s">
        <v>1890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0.67631405591964722</v>
      </c>
      <c r="F44" s="153" cm="1">
        <f t="array" ref="F44">_xll.BDP($C44&amp;" Equity","volatility_10d")/100</f>
        <v>0.68978334820642839</v>
      </c>
      <c r="G44" s="153" cm="1">
        <f t="array" ref="G44">_xll.BDP($C44&amp;" Equity","volatility_30d")/100</f>
        <v>0.62546457399060817</v>
      </c>
      <c r="K44" s="377" t="s">
        <v>1883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0.57317048311233521</v>
      </c>
      <c r="F45" s="153" cm="1">
        <f t="array" ref="F45">_xll.BDP($C45&amp;" Equity","volatility_10d")/100</f>
        <v>0.80894904122878808</v>
      </c>
      <c r="G45" s="153" cm="1">
        <f t="array" ref="G45">_xll.BDP($C45&amp;" Equity","volatility_30d")/100</f>
        <v>0.54739309323935792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>R46-P46</f>
        <v>-1.1455045378578783E-3</v>
      </c>
      <c r="R46" s="373">
        <v>4.0000000000000001E-3</v>
      </c>
    </row>
    <row r="47" spans="3:18" ht="15.75">
      <c r="K47" s="374" t="s">
        <v>1853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>R47-P47</f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>R48-P48</f>
        <v>-6.1123643506622071E-4</v>
      </c>
      <c r="R48" s="373">
        <v>1.5E-3</v>
      </c>
    </row>
    <row r="49" spans="11:18" ht="15.75">
      <c r="K49" s="377" t="s">
        <v>1677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1678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1679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1680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1898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1693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484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1919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705" priority="6" operator="lessThan">
      <formula>0</formula>
    </cfRule>
  </conditionalFormatting>
  <conditionalFormatting sqref="L23:O59">
    <cfRule type="cellIs" dxfId="1704" priority="5" operator="lessThan">
      <formula>0</formula>
    </cfRule>
  </conditionalFormatting>
  <conditionalFormatting sqref="R23:R59">
    <cfRule type="cellIs" dxfId="1703" priority="4" operator="lessThan">
      <formula>0</formula>
    </cfRule>
  </conditionalFormatting>
  <conditionalFormatting sqref="Q45:Q48">
    <cfRule type="cellIs" dxfId="1702" priority="3" operator="lessThan">
      <formula>0</formula>
    </cfRule>
  </conditionalFormatting>
  <conditionalFormatting sqref="Q42:Q43">
    <cfRule type="cellIs" dxfId="1701" priority="2" operator="lessThan">
      <formula>0</formula>
    </cfRule>
  </conditionalFormatting>
  <conditionalFormatting sqref="Q39">
    <cfRule type="cellIs" dxfId="1700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1990</v>
      </c>
      <c r="K3" s="6" t="s">
        <v>1991</v>
      </c>
      <c r="M3" s="6" t="s">
        <v>1992</v>
      </c>
    </row>
    <row r="4" spans="4:15">
      <c r="D4" s="6" t="s">
        <v>1979</v>
      </c>
      <c r="E4" s="391" t="s">
        <v>1980</v>
      </c>
      <c r="F4" s="6" t="s">
        <v>1984</v>
      </c>
      <c r="G4" s="6" t="s">
        <v>1985</v>
      </c>
      <c r="H4" s="6"/>
      <c r="I4" s="6" t="s">
        <v>1972</v>
      </c>
      <c r="J4" s="6" t="s">
        <v>1981</v>
      </c>
      <c r="K4" s="6" t="s">
        <v>1985</v>
      </c>
      <c r="L4" s="6"/>
      <c r="M4" s="6" t="s">
        <v>1982</v>
      </c>
    </row>
    <row r="5" spans="4:15">
      <c r="D5" t="s">
        <v>1978</v>
      </c>
      <c r="E5" s="80">
        <v>45960</v>
      </c>
      <c r="F5" s="267">
        <v>140</v>
      </c>
      <c r="G5" s="267" t="s">
        <v>1989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1988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1983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1986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1987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1973</v>
      </c>
      <c r="E6" s="389" t="s">
        <v>1975</v>
      </c>
      <c r="F6" s="57" t="s">
        <v>1974</v>
      </c>
      <c r="G6" s="389" t="s">
        <v>1975</v>
      </c>
      <c r="H6" s="389" t="s">
        <v>1976</v>
      </c>
      <c r="J6" s="57"/>
      <c r="K6" s="57"/>
      <c r="L6" s="57" t="s">
        <v>1973</v>
      </c>
      <c r="M6" s="389" t="s">
        <v>1975</v>
      </c>
      <c r="N6" s="57" t="s">
        <v>1974</v>
      </c>
      <c r="O6" s="389" t="s">
        <v>1975</v>
      </c>
      <c r="P6" s="57" t="s">
        <v>1977</v>
      </c>
      <c r="Q6" s="389" t="s">
        <v>1975</v>
      </c>
      <c r="R6" s="389" t="s">
        <v>1976</v>
      </c>
      <c r="T6" s="57"/>
      <c r="U6" s="57"/>
      <c r="V6" s="57" t="s">
        <v>1973</v>
      </c>
      <c r="W6" s="389" t="s">
        <v>1975</v>
      </c>
      <c r="X6" s="57" t="s">
        <v>1974</v>
      </c>
      <c r="Y6" s="389" t="s">
        <v>1975</v>
      </c>
      <c r="Z6" s="57" t="s">
        <v>1977</v>
      </c>
      <c r="AA6" s="389" t="s">
        <v>1975</v>
      </c>
      <c r="AB6" s="389" t="s">
        <v>1976</v>
      </c>
    </row>
    <row r="7" spans="2:28">
      <c r="B7" t="s">
        <v>1971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1971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1971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1968</v>
      </c>
      <c r="C8" s="387">
        <v>45748</v>
      </c>
      <c r="D8">
        <v>67</v>
      </c>
      <c r="E8" s="388">
        <f>D8/15.9</f>
        <v>4.2138364779874209</v>
      </c>
      <c r="F8">
        <v>47</v>
      </c>
      <c r="G8" s="388">
        <f>F8/15.9</f>
        <v>2.9559748427672954</v>
      </c>
      <c r="H8" s="390">
        <v>4.2300000000000004</v>
      </c>
      <c r="J8" t="s">
        <v>1968</v>
      </c>
      <c r="K8" s="387">
        <v>45748</v>
      </c>
      <c r="L8">
        <v>41.2</v>
      </c>
      <c r="M8" s="388">
        <f>L8/15.9</f>
        <v>2.5911949685534594</v>
      </c>
      <c r="N8">
        <v>32</v>
      </c>
      <c r="O8" s="388">
        <f t="shared" ref="O8:Q10" si="0">N8/15.9</f>
        <v>2.0125786163522013</v>
      </c>
      <c r="P8">
        <v>32</v>
      </c>
      <c r="Q8" s="388">
        <f t="shared" si="0"/>
        <v>2.0125786163522013</v>
      </c>
      <c r="R8" s="390">
        <v>7.6</v>
      </c>
      <c r="T8" t="s">
        <v>1968</v>
      </c>
      <c r="U8" s="387">
        <v>45748</v>
      </c>
      <c r="V8">
        <v>41.2</v>
      </c>
      <c r="W8" s="388">
        <f>V8/15.9</f>
        <v>2.5911949685534594</v>
      </c>
      <c r="X8">
        <v>32</v>
      </c>
      <c r="Y8" s="388">
        <f>X8/15.9</f>
        <v>2.0125786163522013</v>
      </c>
      <c r="Z8">
        <v>32</v>
      </c>
      <c r="AA8" s="388">
        <f>Z8/15.9</f>
        <v>2.0125786163522013</v>
      </c>
      <c r="AB8" s="390">
        <v>7.6</v>
      </c>
    </row>
    <row r="9" spans="2:28">
      <c r="B9" t="s">
        <v>1969</v>
      </c>
      <c r="C9" s="387">
        <v>45839</v>
      </c>
      <c r="D9">
        <v>21</v>
      </c>
      <c r="E9" s="388">
        <f>D9/15.9</f>
        <v>1.320754716981132</v>
      </c>
      <c r="F9">
        <v>36</v>
      </c>
      <c r="G9" s="388">
        <f>F9/15.9</f>
        <v>2.2641509433962264</v>
      </c>
      <c r="H9" s="390">
        <v>11.25</v>
      </c>
      <c r="J9" t="s">
        <v>1969</v>
      </c>
      <c r="K9" s="387">
        <v>45839</v>
      </c>
      <c r="L9">
        <v>11.5</v>
      </c>
      <c r="M9" s="388">
        <f>L9/15.9</f>
        <v>0.72327044025157228</v>
      </c>
      <c r="N9">
        <v>23</v>
      </c>
      <c r="O9" s="388">
        <f t="shared" si="0"/>
        <v>1.4465408805031446</v>
      </c>
      <c r="P9">
        <v>23</v>
      </c>
      <c r="Q9" s="388">
        <f t="shared" si="0"/>
        <v>1.4465408805031446</v>
      </c>
      <c r="R9" s="390">
        <v>3.95</v>
      </c>
      <c r="T9" t="s">
        <v>1969</v>
      </c>
      <c r="U9" s="387">
        <v>45839</v>
      </c>
      <c r="V9">
        <v>11.5</v>
      </c>
      <c r="W9" s="388">
        <f>V9/15.9</f>
        <v>0.72327044025157228</v>
      </c>
      <c r="X9">
        <v>23</v>
      </c>
      <c r="Y9" s="388">
        <f>X9/15.9</f>
        <v>1.4465408805031446</v>
      </c>
      <c r="Z9">
        <v>23</v>
      </c>
      <c r="AA9" s="388">
        <f>Z9/15.9</f>
        <v>1.4465408805031446</v>
      </c>
      <c r="AB9" s="390">
        <v>3.95</v>
      </c>
    </row>
    <row r="10" spans="2:28">
      <c r="B10" t="s">
        <v>1970</v>
      </c>
      <c r="C10" s="387">
        <v>45931</v>
      </c>
      <c r="D10">
        <v>23</v>
      </c>
      <c r="E10" s="388">
        <f>D10/15.9</f>
        <v>1.4465408805031446</v>
      </c>
      <c r="F10">
        <v>41</v>
      </c>
      <c r="G10" s="388">
        <f>F10/15.9</f>
        <v>2.5786163522012577</v>
      </c>
      <c r="H10" s="390">
        <v>-11.33</v>
      </c>
      <c r="J10" t="s">
        <v>1970</v>
      </c>
      <c r="K10" s="387">
        <v>45931</v>
      </c>
      <c r="L10">
        <v>15.1</v>
      </c>
      <c r="M10" s="388">
        <f>L10/15.9</f>
        <v>0.94968553459119498</v>
      </c>
      <c r="N10">
        <v>30</v>
      </c>
      <c r="O10" s="388">
        <f t="shared" si="0"/>
        <v>1.8867924528301887</v>
      </c>
      <c r="P10">
        <v>30</v>
      </c>
      <c r="Q10" s="388">
        <f t="shared" si="0"/>
        <v>1.8867924528301887</v>
      </c>
      <c r="R10" s="390">
        <v>-2.9</v>
      </c>
      <c r="T10" t="s">
        <v>1970</v>
      </c>
      <c r="U10" s="387">
        <v>45931</v>
      </c>
      <c r="V10">
        <v>15.1</v>
      </c>
      <c r="W10" s="388">
        <f>V10/15.9</f>
        <v>0.94968553459119498</v>
      </c>
      <c r="X10">
        <v>30</v>
      </c>
      <c r="Y10" s="388">
        <f>X10/15.9</f>
        <v>1.8867924528301887</v>
      </c>
      <c r="Z10">
        <v>30</v>
      </c>
      <c r="AA10" s="388">
        <f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5" zoomScaleNormal="85" zoomScaleSheetLayoutView="85" workbookViewId="0">
      <selection activeCell="F51" sqref="F51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-0.1747466549850919</v>
      </c>
      <c r="F4" s="284">
        <f>'Master P&amp;L'!U5</f>
        <v>2.2804436478305653E-2</v>
      </c>
    </row>
    <row r="5" spans="1:28">
      <c r="A5" s="297" t="s">
        <v>65</v>
      </c>
      <c r="C5" s="298">
        <f>'Master P&amp;L'!V6</f>
        <v>-4.6550146560146666E-2</v>
      </c>
      <c r="F5" s="284">
        <f>'Master P&amp;L'!U6</f>
        <v>-2.1726383608782138E-3</v>
      </c>
    </row>
    <row r="6" spans="1:28" s="304" customFormat="1">
      <c r="A6" s="299" t="s">
        <v>66</v>
      </c>
      <c r="B6" s="300"/>
      <c r="C6" s="301">
        <f>'Master P&amp;L'!V7</f>
        <v>-0.22129680154523856</v>
      </c>
      <c r="D6" s="302"/>
      <c r="E6" s="302"/>
      <c r="F6" s="302">
        <f>'Master P&amp;L'!U7</f>
        <v>2.0631798117427439E-2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2.4977074839183867E-2</v>
      </c>
    </row>
    <row r="8" spans="1:28">
      <c r="A8" s="306" t="s">
        <v>68</v>
      </c>
      <c r="B8" s="307"/>
      <c r="C8" s="308">
        <f>'Master P&amp;L'!V7*'Master P&amp;L'!AD5/10000</f>
        <v>-46647.329835162076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-250556.80274360604</v>
      </c>
      <c r="D9" s="312"/>
      <c r="E9" s="312"/>
      <c r="F9" s="312"/>
      <c r="G9" s="313"/>
      <c r="H9" s="312"/>
    </row>
    <row r="10" spans="1:28">
      <c r="A10" s="439" t="s">
        <v>2173</v>
      </c>
      <c r="B10" s="443">
        <f>Options!AI1</f>
        <v>-9.8470369043052024</v>
      </c>
      <c r="H10" s="286"/>
    </row>
    <row r="11" spans="1:28">
      <c r="A11" s="314">
        <f ca="1">TODAY()</f>
        <v>46038</v>
      </c>
      <c r="H11" s="286"/>
      <c r="L11" s="284"/>
    </row>
    <row r="12" spans="1:28" s="366" customFormat="1" ht="47.25">
      <c r="A12" s="540" t="s">
        <v>72</v>
      </c>
      <c r="B12" s="533" t="s">
        <v>73</v>
      </c>
      <c r="C12" s="539" t="s">
        <v>74</v>
      </c>
      <c r="D12" s="539" t="s">
        <v>75</v>
      </c>
      <c r="E12" s="539" t="s">
        <v>76</v>
      </c>
      <c r="F12" s="539" t="s">
        <v>77</v>
      </c>
      <c r="G12" s="365"/>
      <c r="I12" s="367"/>
      <c r="L12" s="315"/>
      <c r="AA12" s="368"/>
      <c r="AB12" s="368"/>
    </row>
    <row r="13" spans="1:28">
      <c r="A13" s="534" t="s">
        <v>1916</v>
      </c>
      <c r="B13" s="535">
        <v>-1.4420280242969485E-2</v>
      </c>
      <c r="C13" s="538">
        <v>-0.19442410434968654</v>
      </c>
      <c r="D13" s="536">
        <v>4.8057208635514121E-4</v>
      </c>
      <c r="E13" s="536">
        <v>5.5647056482443905E-4</v>
      </c>
      <c r="F13" s="536">
        <v>1.0370426511795803E-3</v>
      </c>
      <c r="G13" s="316"/>
      <c r="H13" s="286"/>
      <c r="L13" s="316"/>
    </row>
    <row r="14" spans="1:28">
      <c r="A14" s="537" t="s">
        <v>38</v>
      </c>
      <c r="B14" s="535">
        <v>-1.1778563015312105E-2</v>
      </c>
      <c r="C14" s="538">
        <v>-0.11359912026123871</v>
      </c>
      <c r="D14" s="536">
        <v>0</v>
      </c>
      <c r="E14" s="536">
        <v>5.5647056482443905E-4</v>
      </c>
      <c r="F14" s="536">
        <v>5.5647056482443905E-4</v>
      </c>
      <c r="G14" s="316"/>
      <c r="H14" s="286"/>
      <c r="I14" s="285"/>
      <c r="L14" s="316"/>
    </row>
    <row r="15" spans="1:28">
      <c r="A15" s="537" t="s">
        <v>2209</v>
      </c>
      <c r="B15" s="535">
        <v>8.7014725568934637E-4</v>
      </c>
      <c r="C15" s="538">
        <v>2.0237247196317294E-3</v>
      </c>
      <c r="D15" s="536">
        <v>2.3277504409734086E-4</v>
      </c>
      <c r="E15" s="536">
        <v>0</v>
      </c>
      <c r="F15" s="536">
        <v>2.3277504409734086E-4</v>
      </c>
      <c r="G15" s="316"/>
      <c r="H15" s="286"/>
      <c r="I15" s="285"/>
      <c r="L15" s="316"/>
    </row>
    <row r="16" spans="1:28">
      <c r="A16" s="537" t="s">
        <v>461</v>
      </c>
      <c r="B16" s="535">
        <v>-3.2352424969285698E-2</v>
      </c>
      <c r="C16" s="538">
        <v>-8.2848708808079582E-2</v>
      </c>
      <c r="D16" s="536">
        <v>2.4779704225780035E-4</v>
      </c>
      <c r="E16" s="536">
        <v>0</v>
      </c>
      <c r="F16" s="536">
        <v>2.4779704225780035E-4</v>
      </c>
      <c r="G16" s="316"/>
      <c r="H16" s="286"/>
      <c r="I16" s="285"/>
      <c r="L16" s="316"/>
    </row>
    <row r="17" spans="1:12">
      <c r="A17" s="534" t="s">
        <v>78</v>
      </c>
      <c r="B17" s="535">
        <v>-1.1839053794462373E-3</v>
      </c>
      <c r="C17" s="538">
        <v>-0.10105721823289637</v>
      </c>
      <c r="D17" s="536">
        <v>7.2052782732255497E-4</v>
      </c>
      <c r="E17" s="536">
        <v>-1.6130169032312807E-3</v>
      </c>
      <c r="F17" s="536">
        <v>-8.924890759087257E-4</v>
      </c>
      <c r="G17" s="316"/>
      <c r="H17" s="286"/>
      <c r="I17" s="285"/>
      <c r="L17" s="316"/>
    </row>
    <row r="18" spans="1:12">
      <c r="A18" s="537" t="s">
        <v>3</v>
      </c>
      <c r="B18" s="535">
        <v>-1.3029292394639569E-3</v>
      </c>
      <c r="C18" s="538">
        <v>2.8162726210084917E-2</v>
      </c>
      <c r="D18" s="536">
        <v>-8.8280167749881617E-4</v>
      </c>
      <c r="E18" s="536">
        <v>0</v>
      </c>
      <c r="F18" s="536">
        <v>-8.8280167749881617E-4</v>
      </c>
      <c r="G18" s="316"/>
      <c r="H18" s="286"/>
      <c r="I18" s="285"/>
      <c r="L18" s="316"/>
    </row>
    <row r="19" spans="1:12">
      <c r="A19" s="537" t="s">
        <v>135</v>
      </c>
      <c r="B19" s="535">
        <v>-6.9971322905976185E-4</v>
      </c>
      <c r="C19" s="538">
        <v>-0.13809009443040987</v>
      </c>
      <c r="D19" s="536">
        <v>2.0658191251658902E-3</v>
      </c>
      <c r="E19" s="536">
        <v>-1.6130169032312807E-3</v>
      </c>
      <c r="F19" s="536">
        <v>4.5280222193460956E-4</v>
      </c>
      <c r="G19" s="316"/>
      <c r="H19" s="286"/>
      <c r="I19" s="285"/>
      <c r="L19" s="316"/>
    </row>
    <row r="20" spans="1:12">
      <c r="A20" s="537" t="s">
        <v>143</v>
      </c>
      <c r="B20" s="535">
        <v>-1.914241960183749E-3</v>
      </c>
      <c r="C20" s="538">
        <v>8.8701499874285737E-3</v>
      </c>
      <c r="D20" s="536">
        <v>-4.6248962034451925E-4</v>
      </c>
      <c r="E20" s="536">
        <v>0</v>
      </c>
      <c r="F20" s="536">
        <v>-4.6248962034451925E-4</v>
      </c>
      <c r="G20" s="316"/>
      <c r="H20" s="286"/>
      <c r="L20" s="316"/>
    </row>
    <row r="21" spans="1:12">
      <c r="A21" s="534" t="s">
        <v>2193</v>
      </c>
      <c r="B21" s="535">
        <v>1.3386880856760541E-3</v>
      </c>
      <c r="C21" s="538">
        <v>1.6096395077686218E-2</v>
      </c>
      <c r="D21" s="536">
        <v>1.2040103518109711E-3</v>
      </c>
      <c r="E21" s="536">
        <v>0</v>
      </c>
      <c r="F21" s="536">
        <v>1.2040103518109711E-3</v>
      </c>
      <c r="G21" s="316"/>
      <c r="H21" s="286"/>
      <c r="I21" s="285"/>
      <c r="L21" s="316"/>
    </row>
    <row r="22" spans="1:12">
      <c r="A22" s="537" t="s">
        <v>2194</v>
      </c>
      <c r="B22" s="535">
        <v>1.3386880856760541E-3</v>
      </c>
      <c r="C22" s="538">
        <v>1.6096395077686218E-2</v>
      </c>
      <c r="D22" s="536">
        <v>1.2040103518109711E-3</v>
      </c>
      <c r="E22" s="536">
        <v>0</v>
      </c>
      <c r="F22" s="536">
        <v>1.2040103518109711E-3</v>
      </c>
      <c r="G22" s="316"/>
      <c r="H22" s="286"/>
      <c r="I22" s="285"/>
      <c r="L22" s="316"/>
    </row>
    <row r="23" spans="1:12">
      <c r="A23" s="534" t="s">
        <v>1883</v>
      </c>
      <c r="B23" s="535">
        <v>1.0090579709207423E-2</v>
      </c>
      <c r="C23" s="538">
        <v>5.8572856757125459E-2</v>
      </c>
      <c r="D23" s="536">
        <v>6.4740976884830421E-3</v>
      </c>
      <c r="E23" s="536">
        <v>1.7824245364545469E-3</v>
      </c>
      <c r="F23" s="536">
        <v>8.2565222249375899E-3</v>
      </c>
      <c r="G23" s="316"/>
      <c r="H23" s="286"/>
      <c r="I23" s="285"/>
      <c r="L23" s="316"/>
    </row>
    <row r="24" spans="1:12">
      <c r="A24" s="537" t="s">
        <v>94</v>
      </c>
      <c r="B24" s="535">
        <v>-5.0521251002406675E-3</v>
      </c>
      <c r="C24" s="538">
        <v>-0.10642157590717245</v>
      </c>
      <c r="D24" s="536">
        <v>2.0958293528258072E-3</v>
      </c>
      <c r="E24" s="536">
        <v>0</v>
      </c>
      <c r="F24" s="536">
        <v>2.0958293528258072E-3</v>
      </c>
      <c r="G24" s="316"/>
      <c r="H24" s="291"/>
      <c r="I24" s="285"/>
      <c r="L24" s="316"/>
    </row>
    <row r="25" spans="1:12">
      <c r="A25" s="537" t="s">
        <v>96</v>
      </c>
      <c r="B25" s="535">
        <v>2.2245638683995317E-3</v>
      </c>
      <c r="C25" s="538">
        <v>-0.31768442179974843</v>
      </c>
      <c r="D25" s="536">
        <v>2.2019260328792378E-3</v>
      </c>
      <c r="E25" s="536">
        <v>1.7527781142361097E-3</v>
      </c>
      <c r="F25" s="536">
        <v>3.9547041471153475E-3</v>
      </c>
      <c r="G25" s="316"/>
      <c r="H25" s="291"/>
      <c r="I25" s="285"/>
      <c r="L25" s="316"/>
    </row>
    <row r="26" spans="1:12">
      <c r="A26" s="537" t="s">
        <v>137</v>
      </c>
      <c r="B26" s="535">
        <v>1.885555306558151E-2</v>
      </c>
      <c r="C26" s="538">
        <v>0.429270908641599</v>
      </c>
      <c r="D26" s="536">
        <v>1.8718322712470755E-3</v>
      </c>
      <c r="E26" s="536">
        <v>1.5615743580535849E-4</v>
      </c>
      <c r="F26" s="536">
        <v>2.027989707052434E-3</v>
      </c>
      <c r="G26" s="316"/>
      <c r="H26" s="286"/>
      <c r="I26" s="285"/>
      <c r="L26" s="316"/>
    </row>
    <row r="27" spans="1:12">
      <c r="A27" s="537" t="s">
        <v>138</v>
      </c>
      <c r="B27" s="535">
        <v>9.9527245583486135E-4</v>
      </c>
      <c r="C27" s="538">
        <v>-1.5522762478000635E-3</v>
      </c>
      <c r="D27" s="536">
        <v>0</v>
      </c>
      <c r="E27" s="536">
        <v>-1.1015318880613582E-4</v>
      </c>
      <c r="F27" s="536">
        <v>-1.1015318880613582E-4</v>
      </c>
      <c r="G27" s="316"/>
      <c r="H27" s="291"/>
      <c r="I27" s="285"/>
      <c r="L27" s="316"/>
    </row>
    <row r="28" spans="1:12">
      <c r="A28" s="537" t="s">
        <v>2361</v>
      </c>
      <c r="B28" s="535">
        <v>2.4664660900087787E-2</v>
      </c>
      <c r="C28" s="538">
        <v>5.4960222070247415E-2</v>
      </c>
      <c r="D28" s="536">
        <v>3.0451003153092172E-4</v>
      </c>
      <c r="E28" s="536">
        <v>-1.6357824780785291E-5</v>
      </c>
      <c r="F28" s="536">
        <v>2.8815220675013645E-4</v>
      </c>
      <c r="G28" s="316"/>
      <c r="H28" s="286"/>
      <c r="I28" s="285"/>
      <c r="L28" s="316"/>
    </row>
    <row r="29" spans="1:12">
      <c r="A29" s="534" t="s">
        <v>2191</v>
      </c>
      <c r="B29" s="535">
        <v>5.4366429265986227E-3</v>
      </c>
      <c r="C29" s="538">
        <v>0.25263120819879215</v>
      </c>
      <c r="D29" s="536">
        <v>2.9638166809857723E-3</v>
      </c>
      <c r="E29" s="536">
        <v>0</v>
      </c>
      <c r="F29" s="536">
        <v>2.9638166809857723E-3</v>
      </c>
      <c r="G29" s="316"/>
      <c r="H29" s="286"/>
      <c r="I29" s="285"/>
      <c r="L29" s="316"/>
    </row>
    <row r="30" spans="1:12">
      <c r="A30" s="537" t="s">
        <v>1754</v>
      </c>
      <c r="B30" s="535">
        <v>6.832213067146653E-3</v>
      </c>
      <c r="C30" s="538">
        <v>0.243609799254735</v>
      </c>
      <c r="D30" s="536">
        <v>2.6219052820060065E-3</v>
      </c>
      <c r="E30" s="536">
        <v>0</v>
      </c>
      <c r="F30" s="536">
        <v>2.6219052820060065E-3</v>
      </c>
      <c r="G30" s="316"/>
      <c r="H30" s="286"/>
      <c r="I30" s="285"/>
      <c r="L30" s="316"/>
    </row>
    <row r="31" spans="1:12">
      <c r="A31" s="537" t="s">
        <v>1761</v>
      </c>
      <c r="B31" s="535">
        <v>2.6455026455025621E-3</v>
      </c>
      <c r="C31" s="538">
        <v>9.0214089440571379E-3</v>
      </c>
      <c r="D31" s="536">
        <v>3.4191139897976559E-4</v>
      </c>
      <c r="E31" s="536">
        <v>0</v>
      </c>
      <c r="F31" s="536">
        <v>3.4191139897976559E-4</v>
      </c>
      <c r="G31" s="316"/>
      <c r="H31" s="286"/>
      <c r="I31" s="285"/>
      <c r="L31" s="316"/>
    </row>
    <row r="32" spans="1:12">
      <c r="A32" s="534" t="s">
        <v>2102</v>
      </c>
      <c r="B32" s="535">
        <v>-4.0257721962314474E-2</v>
      </c>
      <c r="C32" s="538">
        <v>-0.44114005633977776</v>
      </c>
      <c r="D32" s="536">
        <v>3.6444248609273017E-4</v>
      </c>
      <c r="E32" s="536">
        <v>4.1461397492364955E-4</v>
      </c>
      <c r="F32" s="536">
        <v>7.7905646101637978E-4</v>
      </c>
      <c r="G32" s="316"/>
      <c r="H32" s="286"/>
      <c r="L32" s="316"/>
    </row>
    <row r="33" spans="1:28">
      <c r="A33" s="537" t="s">
        <v>2101</v>
      </c>
      <c r="B33" s="535">
        <v>-5.5408279197133425E-2</v>
      </c>
      <c r="C33" s="538">
        <v>-0.39728071271193893</v>
      </c>
      <c r="D33" s="536">
        <v>1.94139864006098E-4</v>
      </c>
      <c r="E33" s="536">
        <v>4.1461397492364955E-4</v>
      </c>
      <c r="F33" s="536">
        <v>6.0875383892974757E-4</v>
      </c>
      <c r="G33" s="316"/>
      <c r="H33" s="286"/>
      <c r="I33" s="285"/>
      <c r="L33" s="316"/>
    </row>
    <row r="34" spans="1:28">
      <c r="A34" s="537" t="s">
        <v>2210</v>
      </c>
      <c r="B34" s="535">
        <v>-2.5107164727495523E-2</v>
      </c>
      <c r="C34" s="538">
        <v>-4.3859343627838838E-2</v>
      </c>
      <c r="D34" s="536">
        <v>1.703026220866322E-4</v>
      </c>
      <c r="E34" s="536">
        <v>0</v>
      </c>
      <c r="F34" s="536">
        <v>1.703026220866322E-4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34" t="s">
        <v>2184</v>
      </c>
      <c r="B35" s="535">
        <v>9.0458986169743207E-3</v>
      </c>
      <c r="C35" s="538">
        <v>-6.8056225778544227E-2</v>
      </c>
      <c r="D35" s="536">
        <v>1.8758149685914311E-4</v>
      </c>
      <c r="E35" s="536">
        <v>0</v>
      </c>
      <c r="F35" s="536">
        <v>1.8758149685914311E-4</v>
      </c>
      <c r="G35" s="316"/>
      <c r="H35" s="286"/>
      <c r="I35" s="285"/>
      <c r="L35" s="316"/>
    </row>
    <row r="36" spans="1:28">
      <c r="A36" s="537" t="s">
        <v>2183</v>
      </c>
      <c r="B36" s="535">
        <v>0.16022933011466511</v>
      </c>
      <c r="C36" s="538">
        <v>0.25905273038284787</v>
      </c>
      <c r="D36" s="536">
        <v>1.8758149685914311E-4</v>
      </c>
      <c r="E36" s="536">
        <v>0</v>
      </c>
      <c r="F36" s="536">
        <v>1.8758149685914311E-4</v>
      </c>
      <c r="G36" s="316"/>
      <c r="H36" s="286"/>
      <c r="I36" s="285"/>
      <c r="L36" s="316"/>
    </row>
    <row r="37" spans="1:28">
      <c r="A37" s="537" t="s">
        <v>690</v>
      </c>
      <c r="B37" s="535">
        <v>-6.6545817131871077E-2</v>
      </c>
      <c r="C37" s="538">
        <v>-0.32710895616139213</v>
      </c>
      <c r="D37" s="536"/>
      <c r="E37" s="536"/>
      <c r="F37" s="536"/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34" t="s">
        <v>2362</v>
      </c>
      <c r="B38" s="535">
        <v>2.1438228719981023E-4</v>
      </c>
      <c r="C38" s="538">
        <v>0.18121437014591743</v>
      </c>
      <c r="D38" s="536">
        <v>5.3897045158117643E-3</v>
      </c>
      <c r="E38" s="536">
        <v>1.6960792683880001E-3</v>
      </c>
      <c r="F38" s="536">
        <v>7.0857837841997642E-3</v>
      </c>
      <c r="G38" s="316"/>
      <c r="H38" s="286"/>
      <c r="I38" s="285"/>
      <c r="L38" s="316"/>
      <c r="AA38" s="319"/>
      <c r="AB38" s="319"/>
    </row>
    <row r="39" spans="1:28">
      <c r="A39" s="537" t="s">
        <v>81</v>
      </c>
      <c r="B39" s="535">
        <v>-8.8595360824739178E-4</v>
      </c>
      <c r="C39" s="538">
        <v>-3.5791055199272621E-2</v>
      </c>
      <c r="D39" s="536">
        <v>1.6505131589107484E-3</v>
      </c>
      <c r="E39" s="536">
        <v>5.6095301409402238E-4</v>
      </c>
      <c r="F39" s="536">
        <v>2.2114661730047707E-3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37" t="s">
        <v>90</v>
      </c>
      <c r="B40" s="535">
        <v>7.0074015679060242E-3</v>
      </c>
      <c r="C40" s="538">
        <v>0.16063619873483187</v>
      </c>
      <c r="D40" s="536">
        <v>1.7356260622046189E-3</v>
      </c>
      <c r="E40" s="536">
        <v>1.3166430776678723E-3</v>
      </c>
      <c r="F40" s="536">
        <v>3.052269139872491E-3</v>
      </c>
      <c r="G40" s="286"/>
      <c r="H40" s="286"/>
      <c r="L40" s="316"/>
    </row>
    <row r="41" spans="1:28">
      <c r="A41" s="537" t="s">
        <v>399</v>
      </c>
      <c r="B41" s="535">
        <v>3.8206398522127039E-3</v>
      </c>
      <c r="C41" s="538">
        <v>6.6330316344740625E-2</v>
      </c>
      <c r="D41" s="536">
        <v>1.7427379488861641E-3</v>
      </c>
      <c r="E41" s="536">
        <v>0</v>
      </c>
      <c r="F41" s="536">
        <v>1.7427379488861641E-3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37" t="s">
        <v>2103</v>
      </c>
      <c r="B42" s="535">
        <v>-5.6785917092561089E-4</v>
      </c>
      <c r="C42" s="538">
        <v>1.1874913295669814E-2</v>
      </c>
      <c r="D42" s="536">
        <v>0</v>
      </c>
      <c r="E42" s="536">
        <v>-1.8151682337389457E-4</v>
      </c>
      <c r="F42" s="536">
        <v>-1.8151682337389457E-4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37" t="s">
        <v>2218</v>
      </c>
      <c r="B43" s="535">
        <v>-8.3023172049466742E-3</v>
      </c>
      <c r="C43" s="538">
        <v>-2.1836003030052262E-2</v>
      </c>
      <c r="D43" s="536">
        <v>2.6082734581023271E-4</v>
      </c>
      <c r="E43" s="536">
        <v>0</v>
      </c>
      <c r="F43" s="536">
        <v>2.6082734581023271E-4</v>
      </c>
      <c r="G43" s="286"/>
      <c r="H43" s="286"/>
      <c r="I43" s="285"/>
      <c r="L43" s="316"/>
    </row>
    <row r="44" spans="1:28">
      <c r="A44" s="534" t="s">
        <v>2374</v>
      </c>
      <c r="B44" s="535">
        <v>-9.3450715133602813E-4</v>
      </c>
      <c r="C44" s="538">
        <v>4.4532588011885199E-2</v>
      </c>
      <c r="D44" s="536">
        <v>-4.2811778914323469E-6</v>
      </c>
      <c r="E44" s="536">
        <v>0</v>
      </c>
      <c r="F44" s="536">
        <v>-4.2811778914323469E-6</v>
      </c>
      <c r="G44" s="286"/>
      <c r="H44" s="286"/>
      <c r="I44" s="285"/>
      <c r="L44" s="316"/>
      <c r="S44" s="317"/>
      <c r="T44" s="317"/>
      <c r="U44" s="317"/>
    </row>
    <row r="45" spans="1:28">
      <c r="A45" s="537" t="s">
        <v>88</v>
      </c>
      <c r="B45" s="535">
        <v>1.2874747103182038E-3</v>
      </c>
      <c r="C45" s="538">
        <v>1.2821801806827873E-2</v>
      </c>
      <c r="D45" s="536">
        <v>9.9716984337672372E-4</v>
      </c>
      <c r="E45" s="536">
        <v>0</v>
      </c>
      <c r="F45" s="536">
        <v>9.9716984337672372E-4</v>
      </c>
      <c r="G45" s="286"/>
      <c r="H45" s="286"/>
      <c r="I45" s="285"/>
      <c r="L45" s="316"/>
    </row>
    <row r="46" spans="1:28">
      <c r="A46" s="537" t="s">
        <v>4</v>
      </c>
      <c r="B46" s="535">
        <v>-3.1564890129902601E-3</v>
      </c>
      <c r="C46" s="538">
        <v>3.1710786205057323E-2</v>
      </c>
      <c r="D46" s="536">
        <v>-1.0014510212681561E-3</v>
      </c>
      <c r="E46" s="536">
        <v>0</v>
      </c>
      <c r="F46" s="536">
        <v>-1.0014510212681561E-3</v>
      </c>
      <c r="G46" s="286"/>
      <c r="H46" s="286"/>
      <c r="I46" s="285"/>
    </row>
    <row r="47" spans="1:28">
      <c r="A47" s="534" t="s">
        <v>97</v>
      </c>
      <c r="B47" s="535">
        <v>-8.3877078152673945E-4</v>
      </c>
      <c r="C47" s="538">
        <v>-0.25163018650949853</v>
      </c>
      <c r="D47" s="536">
        <v>1.7780471955829692E-2</v>
      </c>
      <c r="E47" s="536">
        <v>2.8365714413593549E-3</v>
      </c>
      <c r="F47" s="536">
        <v>2.0617043397189047E-2</v>
      </c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99" priority="9999" operator="lessThan">
      <formula>0</formula>
    </cfRule>
  </conditionalFormatting>
  <conditionalFormatting sqref="H86:H1048576 F1:H9 F12:G12 G10:G11">
    <cfRule type="cellIs" dxfId="1698" priority="9996" operator="lessThan">
      <formula>0</formula>
    </cfRule>
    <cfRule type="cellIs" dxfId="1697" priority="9997" operator="lessThan">
      <formula>0</formula>
    </cfRule>
  </conditionalFormatting>
  <conditionalFormatting sqref="F136:G1048576 G86:G135">
    <cfRule type="cellIs" dxfId="1696" priority="5632" operator="lessThan">
      <formula>0</formula>
    </cfRule>
  </conditionalFormatting>
  <conditionalFormatting sqref="F136:G1048576 G86:G135">
    <cfRule type="cellIs" dxfId="1695" priority="5631" operator="lessThan">
      <formula>0</formula>
    </cfRule>
  </conditionalFormatting>
  <conditionalFormatting sqref="F136:G1048576 G86:G135">
    <cfRule type="cellIs" dxfId="1694" priority="5629" operator="lessThan">
      <formula>0</formula>
    </cfRule>
    <cfRule type="cellIs" dxfId="1693" priority="5630" operator="lessThan">
      <formula>0</formula>
    </cfRule>
  </conditionalFormatting>
  <conditionalFormatting sqref="F136:G1048576 G86:G135">
    <cfRule type="cellIs" dxfId="1692" priority="5628" operator="lessThan">
      <formula>0</formula>
    </cfRule>
  </conditionalFormatting>
  <conditionalFormatting sqref="F136:G1048576 G86:G135">
    <cfRule type="cellIs" dxfId="1691" priority="5627" operator="lessThan">
      <formula>0</formula>
    </cfRule>
  </conditionalFormatting>
  <conditionalFormatting sqref="F136:G1048576 G86:G135">
    <cfRule type="cellIs" dxfId="1690" priority="5626" operator="lessThan">
      <formula>0</formula>
    </cfRule>
  </conditionalFormatting>
  <conditionalFormatting sqref="F136:G1048576 G86:G135">
    <cfRule type="cellIs" dxfId="1689" priority="5625" operator="lessThan">
      <formula>0</formula>
    </cfRule>
  </conditionalFormatting>
  <conditionalFormatting sqref="F136:G1048576 G86:G135">
    <cfRule type="cellIs" dxfId="1688" priority="5624" operator="lessThan">
      <formula>0</formula>
    </cfRule>
  </conditionalFormatting>
  <conditionalFormatting sqref="F136:G1048576 G86:G135">
    <cfRule type="cellIs" dxfId="1687" priority="5623" operator="lessThan">
      <formula>0</formula>
    </cfRule>
  </conditionalFormatting>
  <conditionalFormatting sqref="F136:G1048576 G86:G135">
    <cfRule type="cellIs" dxfId="1686" priority="5622" operator="lessThan">
      <formula>0</formula>
    </cfRule>
  </conditionalFormatting>
  <conditionalFormatting sqref="F136:G1048576 G86:G135">
    <cfRule type="cellIs" dxfId="1685" priority="5621" operator="lessThan">
      <formula>0</formula>
    </cfRule>
  </conditionalFormatting>
  <conditionalFormatting sqref="F136:G1048576 G86:G135">
    <cfRule type="cellIs" dxfId="1684" priority="5620" operator="lessThan">
      <formula>0</formula>
    </cfRule>
  </conditionalFormatting>
  <conditionalFormatting sqref="F136:G1048576 G86:G135">
    <cfRule type="cellIs" dxfId="1683" priority="5619" operator="lessThan">
      <formula>0</formula>
    </cfRule>
  </conditionalFormatting>
  <conditionalFormatting sqref="F136:G1048576 G86:G135">
    <cfRule type="cellIs" dxfId="1682" priority="5618" operator="lessThan">
      <formula>0</formula>
    </cfRule>
  </conditionalFormatting>
  <conditionalFormatting sqref="F136:G1048576 G86:G135">
    <cfRule type="cellIs" dxfId="1681" priority="5617" operator="lessThan">
      <formula>0</formula>
    </cfRule>
  </conditionalFormatting>
  <conditionalFormatting sqref="F136:G1048576 G86:G135">
    <cfRule type="cellIs" dxfId="1680" priority="5616" operator="lessThan">
      <formula>0</formula>
    </cfRule>
  </conditionalFormatting>
  <conditionalFormatting sqref="F136:G1048576 G86:G135">
    <cfRule type="cellIs" dxfId="1679" priority="5615" operator="lessThan">
      <formula>0</formula>
    </cfRule>
  </conditionalFormatting>
  <conditionalFormatting sqref="F136:G1048576 G86:G135">
    <cfRule type="cellIs" dxfId="1678" priority="5614" operator="lessThan">
      <formula>0</formula>
    </cfRule>
  </conditionalFormatting>
  <conditionalFormatting sqref="F136:G1048576 G86:G135">
    <cfRule type="cellIs" dxfId="1677" priority="5613" operator="lessThan">
      <formula>0</formula>
    </cfRule>
  </conditionalFormatting>
  <conditionalFormatting sqref="F136:G1048576 G86:G135">
    <cfRule type="cellIs" dxfId="1676" priority="5612" operator="lessThan">
      <formula>0</formula>
    </cfRule>
  </conditionalFormatting>
  <conditionalFormatting sqref="F136:G1048576 G86:G135">
    <cfRule type="cellIs" dxfId="1675" priority="5611" operator="lessThan">
      <formula>0</formula>
    </cfRule>
  </conditionalFormatting>
  <conditionalFormatting sqref="F136:G1048576 G86:G135">
    <cfRule type="cellIs" dxfId="1674" priority="5610" operator="lessThan">
      <formula>0</formula>
    </cfRule>
  </conditionalFormatting>
  <conditionalFormatting sqref="F136:G1048576 G86:G135">
    <cfRule type="cellIs" dxfId="1673" priority="5609" operator="lessThan">
      <formula>0</formula>
    </cfRule>
  </conditionalFormatting>
  <conditionalFormatting sqref="F136:G1048576 G86:G135">
    <cfRule type="cellIs" dxfId="1672" priority="5608" operator="lessThan">
      <formula>0</formula>
    </cfRule>
  </conditionalFormatting>
  <conditionalFormatting sqref="F136:G1048576 G86:G135">
    <cfRule type="cellIs" dxfId="1671" priority="5607" operator="lessThan">
      <formula>0</formula>
    </cfRule>
  </conditionalFormatting>
  <conditionalFormatting sqref="F136:G1048576 G86:G135">
    <cfRule type="cellIs" dxfId="1670" priority="5606" operator="lessThan">
      <formula>0</formula>
    </cfRule>
  </conditionalFormatting>
  <conditionalFormatting sqref="F136:G1048576 G86:G135">
    <cfRule type="cellIs" dxfId="1669" priority="5605" operator="lessThan">
      <formula>0</formula>
    </cfRule>
  </conditionalFormatting>
  <conditionalFormatting sqref="F136:G1048576 G86:G135">
    <cfRule type="cellIs" dxfId="1668" priority="5604" operator="lessThan">
      <formula>0</formula>
    </cfRule>
  </conditionalFormatting>
  <conditionalFormatting sqref="F136:G1048576 G86:G135">
    <cfRule type="cellIs" dxfId="1667" priority="5603" operator="lessThan">
      <formula>0</formula>
    </cfRule>
  </conditionalFormatting>
  <conditionalFormatting sqref="F136:G1048576 G86:G135">
    <cfRule type="cellIs" dxfId="1666" priority="5602" operator="lessThan">
      <formula>0</formula>
    </cfRule>
  </conditionalFormatting>
  <conditionalFormatting sqref="F136:G1048576 G86:G135">
    <cfRule type="cellIs" dxfId="1665" priority="5601" operator="lessThan">
      <formula>0</formula>
    </cfRule>
  </conditionalFormatting>
  <conditionalFormatting sqref="F136:G1048576 G86:G135">
    <cfRule type="cellIs" dxfId="1664" priority="5600" operator="lessThan">
      <formula>0</formula>
    </cfRule>
  </conditionalFormatting>
  <conditionalFormatting sqref="F136:G1048576 G86:G135">
    <cfRule type="cellIs" dxfId="1663" priority="5599" operator="lessThan">
      <formula>0</formula>
    </cfRule>
  </conditionalFormatting>
  <conditionalFormatting sqref="F136:G1048576 G86:G135">
    <cfRule type="cellIs" dxfId="1662" priority="5598" operator="lessThan">
      <formula>0</formula>
    </cfRule>
  </conditionalFormatting>
  <conditionalFormatting sqref="F136:G1048576 G86:G135">
    <cfRule type="cellIs" dxfId="1661" priority="5597" operator="lessThan">
      <formula>0</formula>
    </cfRule>
  </conditionalFormatting>
  <conditionalFormatting sqref="F136:G1048576 G86:G135">
    <cfRule type="cellIs" dxfId="1660" priority="5596" operator="lessThan">
      <formula>0</formula>
    </cfRule>
  </conditionalFormatting>
  <conditionalFormatting sqref="F136:G1048576 G86:G135">
    <cfRule type="cellIs" dxfId="1659" priority="5595" operator="lessThan">
      <formula>0</formula>
    </cfRule>
  </conditionalFormatting>
  <conditionalFormatting sqref="F136:G1048576 G86:G135">
    <cfRule type="cellIs" dxfId="1658" priority="5594" operator="lessThan">
      <formula>0</formula>
    </cfRule>
  </conditionalFormatting>
  <conditionalFormatting sqref="F136:G1048576 G86:G135">
    <cfRule type="cellIs" dxfId="1657" priority="5593" operator="lessThan">
      <formula>0</formula>
    </cfRule>
  </conditionalFormatting>
  <conditionalFormatting sqref="F136:G1048576 G86:G135">
    <cfRule type="cellIs" dxfId="1656" priority="5592" operator="lessThan">
      <formula>0</formula>
    </cfRule>
  </conditionalFormatting>
  <conditionalFormatting sqref="F136:G1048576 G86:G135">
    <cfRule type="cellIs" dxfId="1655" priority="5591" operator="lessThan">
      <formula>0</formula>
    </cfRule>
  </conditionalFormatting>
  <conditionalFormatting sqref="F136:G1048576 G86:G135">
    <cfRule type="cellIs" dxfId="1654" priority="5590" operator="lessThan">
      <formula>0</formula>
    </cfRule>
  </conditionalFormatting>
  <conditionalFormatting sqref="F136:G1048576 G86:G135">
    <cfRule type="cellIs" dxfId="1653" priority="5589" operator="lessThan">
      <formula>0</formula>
    </cfRule>
  </conditionalFormatting>
  <conditionalFormatting sqref="F136:G1048576 G86:G135">
    <cfRule type="cellIs" dxfId="1652" priority="5588" operator="lessThan">
      <formula>0</formula>
    </cfRule>
  </conditionalFormatting>
  <conditionalFormatting sqref="F136:G1048576 G86:G135">
    <cfRule type="cellIs" dxfId="1651" priority="5587" operator="lessThan">
      <formula>0</formula>
    </cfRule>
  </conditionalFormatting>
  <conditionalFormatting sqref="F136:G1048576 G86:G135">
    <cfRule type="cellIs" dxfId="1650" priority="5586" operator="lessThan">
      <formula>0</formula>
    </cfRule>
  </conditionalFormatting>
  <conditionalFormatting sqref="F136:G1048576 G86:G135">
    <cfRule type="cellIs" dxfId="1649" priority="5585" operator="lessThan">
      <formula>0</formula>
    </cfRule>
  </conditionalFormatting>
  <conditionalFormatting sqref="F136:G1048576 G86:G135">
    <cfRule type="cellIs" dxfId="1648" priority="5584" operator="lessThan">
      <formula>0</formula>
    </cfRule>
  </conditionalFormatting>
  <conditionalFormatting sqref="F136:G1048576 G86:G135">
    <cfRule type="cellIs" dxfId="1647" priority="5583" operator="lessThan">
      <formula>0</formula>
    </cfRule>
  </conditionalFormatting>
  <conditionalFormatting sqref="F136:G1048576 G86:G135">
    <cfRule type="cellIs" dxfId="1646" priority="5582" operator="lessThan">
      <formula>0</formula>
    </cfRule>
  </conditionalFormatting>
  <conditionalFormatting sqref="F136:G1048576 G86:G135">
    <cfRule type="cellIs" dxfId="1645" priority="5581" operator="lessThan">
      <formula>0</formula>
    </cfRule>
  </conditionalFormatting>
  <conditionalFormatting sqref="F136:G1048576 G86:G135">
    <cfRule type="cellIs" dxfId="1644" priority="5580" operator="lessThan">
      <formula>0</formula>
    </cfRule>
  </conditionalFormatting>
  <conditionalFormatting sqref="F136:G1048576 G86:G135">
    <cfRule type="cellIs" dxfId="1643" priority="5579" operator="lessThan">
      <formula>0</formula>
    </cfRule>
  </conditionalFormatting>
  <conditionalFormatting sqref="F136:G1048576 G86:G135">
    <cfRule type="cellIs" dxfId="1642" priority="5578" operator="lessThan">
      <formula>0</formula>
    </cfRule>
  </conditionalFormatting>
  <conditionalFormatting sqref="F136:G1048576 G86:G135">
    <cfRule type="cellIs" dxfId="1641" priority="5577" operator="lessThan">
      <formula>0</formula>
    </cfRule>
  </conditionalFormatting>
  <conditionalFormatting sqref="F136:G1048576 G86:G135">
    <cfRule type="cellIs" dxfId="1640" priority="5576" operator="lessThan">
      <formula>0</formula>
    </cfRule>
  </conditionalFormatting>
  <conditionalFormatting sqref="F136:G1048576 G86:G135">
    <cfRule type="cellIs" dxfId="1639" priority="5575" operator="lessThan">
      <formula>0</formula>
    </cfRule>
  </conditionalFormatting>
  <conditionalFormatting sqref="F136:G1048576 G86:G135">
    <cfRule type="cellIs" dxfId="1638" priority="5574" operator="lessThan">
      <formula>0</formula>
    </cfRule>
  </conditionalFormatting>
  <conditionalFormatting sqref="F136:G1048576 G86:G135">
    <cfRule type="cellIs" dxfId="1637" priority="5573" operator="lessThan">
      <formula>0</formula>
    </cfRule>
  </conditionalFormatting>
  <conditionalFormatting sqref="F136:G1048576 G86:G135">
    <cfRule type="cellIs" dxfId="1636" priority="5572" operator="lessThan">
      <formula>0</formula>
    </cfRule>
  </conditionalFormatting>
  <conditionalFormatting sqref="F136:G1048576 G86:G135">
    <cfRule type="cellIs" dxfId="1635" priority="5571" operator="lessThan">
      <formula>0</formula>
    </cfRule>
  </conditionalFormatting>
  <conditionalFormatting sqref="F136:G1048576 G86:G135">
    <cfRule type="cellIs" dxfId="1634" priority="5570" operator="lessThan">
      <formula>0</formula>
    </cfRule>
  </conditionalFormatting>
  <conditionalFormatting sqref="F136:G1048576 G86:G135">
    <cfRule type="cellIs" dxfId="1633" priority="5569" operator="lessThan">
      <formula>0</formula>
    </cfRule>
  </conditionalFormatting>
  <conditionalFormatting sqref="F136:G1048576 G86:G135">
    <cfRule type="cellIs" dxfId="1632" priority="5568" operator="lessThan">
      <formula>0</formula>
    </cfRule>
  </conditionalFormatting>
  <conditionalFormatting sqref="F136:G1048576 G86:G135">
    <cfRule type="cellIs" dxfId="1631" priority="5567" operator="lessThan">
      <formula>0</formula>
    </cfRule>
  </conditionalFormatting>
  <conditionalFormatting sqref="F136:G1048576 G86:G135">
    <cfRule type="cellIs" dxfId="1630" priority="5566" operator="lessThan">
      <formula>0</formula>
    </cfRule>
  </conditionalFormatting>
  <conditionalFormatting sqref="F136:G1048576 G86:G135">
    <cfRule type="cellIs" dxfId="1629" priority="5565" operator="lessThan">
      <formula>0</formula>
    </cfRule>
  </conditionalFormatting>
  <conditionalFormatting sqref="F136:G1048576 G86:G135">
    <cfRule type="cellIs" dxfId="1628" priority="5564" operator="lessThan">
      <formula>0</formula>
    </cfRule>
  </conditionalFormatting>
  <conditionalFormatting sqref="F136:G1048576 G86:G135">
    <cfRule type="cellIs" dxfId="1627" priority="5563" operator="lessThan">
      <formula>0</formula>
    </cfRule>
  </conditionalFormatting>
  <conditionalFormatting sqref="F136:G1048576 G86:G135">
    <cfRule type="cellIs" dxfId="1626" priority="5562" operator="lessThan">
      <formula>0</formula>
    </cfRule>
  </conditionalFormatting>
  <conditionalFormatting sqref="F136:G1048576 G86:G135">
    <cfRule type="cellIs" dxfId="1625" priority="5561" operator="lessThan">
      <formula>0</formula>
    </cfRule>
  </conditionalFormatting>
  <conditionalFormatting sqref="F136:G1048576 G86:G135">
    <cfRule type="cellIs" dxfId="1624" priority="5560" operator="lessThan">
      <formula>0</formula>
    </cfRule>
  </conditionalFormatting>
  <conditionalFormatting sqref="F136:G1048576 G86:G135">
    <cfRule type="cellIs" dxfId="1623" priority="5559" operator="lessThan">
      <formula>0</formula>
    </cfRule>
  </conditionalFormatting>
  <conditionalFormatting sqref="F136:G1048576 G86:G135">
    <cfRule type="cellIs" dxfId="1622" priority="5558" operator="lessThan">
      <formula>0</formula>
    </cfRule>
  </conditionalFormatting>
  <conditionalFormatting sqref="F136:G1048576 G86:G135">
    <cfRule type="cellIs" dxfId="1621" priority="5557" operator="lessThan">
      <formula>0</formula>
    </cfRule>
  </conditionalFormatting>
  <conditionalFormatting sqref="F136:G1048576 G86:G135">
    <cfRule type="cellIs" dxfId="1620" priority="5556" operator="lessThan">
      <formula>0</formula>
    </cfRule>
  </conditionalFormatting>
  <conditionalFormatting sqref="F136:G1048576 G86:G135">
    <cfRule type="cellIs" dxfId="1619" priority="5555" operator="lessThan">
      <formula>0</formula>
    </cfRule>
  </conditionalFormatting>
  <conditionalFormatting sqref="F136:G1048576 G86:G135">
    <cfRule type="cellIs" dxfId="1618" priority="5554" operator="lessThan">
      <formula>0</formula>
    </cfRule>
  </conditionalFormatting>
  <conditionalFormatting sqref="F136:G1048576 G86:G135">
    <cfRule type="cellIs" dxfId="1617" priority="5553" operator="lessThan">
      <formula>0</formula>
    </cfRule>
  </conditionalFormatting>
  <conditionalFormatting sqref="F136:G1048576 G86:G135">
    <cfRule type="cellIs" dxfId="1616" priority="5552" operator="lessThan">
      <formula>0</formula>
    </cfRule>
  </conditionalFormatting>
  <conditionalFormatting sqref="F136:G1048576 G86:G135">
    <cfRule type="cellIs" dxfId="1615" priority="5551" operator="lessThan">
      <formula>0</formula>
    </cfRule>
  </conditionalFormatting>
  <conditionalFormatting sqref="F136:G1048576 G86:G135">
    <cfRule type="cellIs" dxfId="1614" priority="5550" operator="lessThan">
      <formula>0</formula>
    </cfRule>
  </conditionalFormatting>
  <conditionalFormatting sqref="F136:G1048576 G86:G135">
    <cfRule type="cellIs" dxfId="1613" priority="5549" operator="lessThan">
      <formula>0</formula>
    </cfRule>
  </conditionalFormatting>
  <conditionalFormatting sqref="F136:G1048576 G86:G135">
    <cfRule type="cellIs" dxfId="1612" priority="5548" operator="lessThan">
      <formula>0</formula>
    </cfRule>
  </conditionalFormatting>
  <conditionalFormatting sqref="F136:G1048576 G86:G135">
    <cfRule type="cellIs" dxfId="1611" priority="5547" operator="lessThan">
      <formula>0</formula>
    </cfRule>
  </conditionalFormatting>
  <conditionalFormatting sqref="F136:G1048576 G86:G135">
    <cfRule type="cellIs" dxfId="1610" priority="5546" operator="lessThan">
      <formula>0</formula>
    </cfRule>
  </conditionalFormatting>
  <conditionalFormatting sqref="F136:G1048576 G86:G135">
    <cfRule type="cellIs" dxfId="1609" priority="5545" operator="lessThan">
      <formula>0</formula>
    </cfRule>
  </conditionalFormatting>
  <conditionalFormatting sqref="F136:G1048576 G86:G135">
    <cfRule type="cellIs" dxfId="1608" priority="5544" operator="lessThan">
      <formula>0</formula>
    </cfRule>
  </conditionalFormatting>
  <conditionalFormatting sqref="F136:G1048576 G86:G135">
    <cfRule type="cellIs" dxfId="1607" priority="5543" operator="lessThan">
      <formula>0</formula>
    </cfRule>
  </conditionalFormatting>
  <conditionalFormatting sqref="F136:G1048576 G86:G135">
    <cfRule type="cellIs" dxfId="1606" priority="5542" operator="lessThan">
      <formula>0</formula>
    </cfRule>
  </conditionalFormatting>
  <conditionalFormatting sqref="F136:G1048576 G86:G135">
    <cfRule type="cellIs" dxfId="1605" priority="5541" operator="lessThan">
      <formula>0</formula>
    </cfRule>
  </conditionalFormatting>
  <conditionalFormatting sqref="F136:G1048576 G86:G135">
    <cfRule type="cellIs" dxfId="1604" priority="5540" operator="lessThan">
      <formula>0</formula>
    </cfRule>
  </conditionalFormatting>
  <conditionalFormatting sqref="F136:G1048576 G86:G135">
    <cfRule type="cellIs" dxfId="1603" priority="5539" operator="lessThan">
      <formula>0</formula>
    </cfRule>
  </conditionalFormatting>
  <conditionalFormatting sqref="F136:G1048576 G86:G135">
    <cfRule type="cellIs" dxfId="1602" priority="5538" operator="lessThan">
      <formula>0</formula>
    </cfRule>
  </conditionalFormatting>
  <conditionalFormatting sqref="F136:G1048576 G86:G135">
    <cfRule type="cellIs" dxfId="1601" priority="5537" operator="lessThan">
      <formula>0</formula>
    </cfRule>
  </conditionalFormatting>
  <conditionalFormatting sqref="F136:G1048576 G86:G135">
    <cfRule type="cellIs" dxfId="1600" priority="5536" operator="lessThan">
      <formula>0</formula>
    </cfRule>
  </conditionalFormatting>
  <conditionalFormatting sqref="F136:G1048576 G86:G135">
    <cfRule type="cellIs" dxfId="1599" priority="5535" operator="lessThan">
      <formula>0</formula>
    </cfRule>
  </conditionalFormatting>
  <conditionalFormatting sqref="F136:G1048576 G86:G135">
    <cfRule type="cellIs" dxfId="1598" priority="5534" operator="lessThan">
      <formula>0</formula>
    </cfRule>
  </conditionalFormatting>
  <conditionalFormatting sqref="F136:G1048576 G86:G135">
    <cfRule type="cellIs" dxfId="1597" priority="5533" operator="lessThan">
      <formula>0</formula>
    </cfRule>
  </conditionalFormatting>
  <conditionalFormatting sqref="F136:G1048576 G86:G135">
    <cfRule type="cellIs" dxfId="1596" priority="5532" operator="lessThan">
      <formula>0</formula>
    </cfRule>
  </conditionalFormatting>
  <conditionalFormatting sqref="F136:G1048576 G86:G135">
    <cfRule type="cellIs" dxfId="1595" priority="5531" operator="lessThan">
      <formula>0</formula>
    </cfRule>
  </conditionalFormatting>
  <conditionalFormatting sqref="F136:G1048576 G86:G135">
    <cfRule type="cellIs" dxfId="1594" priority="5530" operator="lessThan">
      <formula>0</formula>
    </cfRule>
  </conditionalFormatting>
  <conditionalFormatting sqref="F136:G1048576 G86:G135">
    <cfRule type="cellIs" dxfId="1593" priority="5529" operator="lessThan">
      <formula>0</formula>
    </cfRule>
  </conditionalFormatting>
  <conditionalFormatting sqref="F136:G1048576 G86:G135">
    <cfRule type="cellIs" dxfId="1592" priority="5528" operator="lessThan">
      <formula>0</formula>
    </cfRule>
  </conditionalFormatting>
  <conditionalFormatting sqref="F136:G1048576 G86:G135">
    <cfRule type="cellIs" dxfId="1591" priority="5527" operator="lessThan">
      <formula>0</formula>
    </cfRule>
  </conditionalFormatting>
  <conditionalFormatting sqref="F136:G1048576 G86:G135">
    <cfRule type="cellIs" dxfId="1590" priority="5526" operator="lessThan">
      <formula>0</formula>
    </cfRule>
  </conditionalFormatting>
  <conditionalFormatting sqref="F136:G1048576 G86:G135">
    <cfRule type="cellIs" dxfId="1589" priority="5525" operator="lessThan">
      <formula>0</formula>
    </cfRule>
  </conditionalFormatting>
  <conditionalFormatting sqref="F136:G1048576 G86:G135">
    <cfRule type="cellIs" dxfId="1588" priority="5524" operator="lessThan">
      <formula>0</formula>
    </cfRule>
  </conditionalFormatting>
  <conditionalFormatting sqref="F136:G1048576 G86:G135">
    <cfRule type="cellIs" dxfId="1587" priority="5523" operator="lessThan">
      <formula>0</formula>
    </cfRule>
  </conditionalFormatting>
  <conditionalFormatting sqref="F136:G1048576 G86:G135">
    <cfRule type="cellIs" dxfId="1586" priority="5522" operator="lessThan">
      <formula>0</formula>
    </cfRule>
  </conditionalFormatting>
  <conditionalFormatting sqref="F136:G1048576 G86:G135">
    <cfRule type="cellIs" dxfId="1585" priority="5521" operator="lessThan">
      <formula>0</formula>
    </cfRule>
  </conditionalFormatting>
  <conditionalFormatting sqref="F136:G1048576 G86:G135">
    <cfRule type="cellIs" dxfId="1584" priority="5520" operator="lessThan">
      <formula>0</formula>
    </cfRule>
  </conditionalFormatting>
  <conditionalFormatting sqref="F136:G1048576 G86:G135">
    <cfRule type="cellIs" dxfId="1583" priority="5519" operator="lessThan">
      <formula>0</formula>
    </cfRule>
  </conditionalFormatting>
  <conditionalFormatting sqref="F136:G1048576 G86:G135">
    <cfRule type="cellIs" dxfId="1582" priority="5518" operator="lessThan">
      <formula>0</formula>
    </cfRule>
  </conditionalFormatting>
  <conditionalFormatting sqref="F136:G1048576 G86:G135">
    <cfRule type="cellIs" dxfId="1581" priority="5517" operator="lessThan">
      <formula>0</formula>
    </cfRule>
  </conditionalFormatting>
  <conditionalFormatting sqref="F136:G1048576 G86:G135">
    <cfRule type="cellIs" dxfId="1580" priority="5516" operator="lessThan">
      <formula>0</formula>
    </cfRule>
  </conditionalFormatting>
  <conditionalFormatting sqref="F136:G1048576 G86:G135">
    <cfRule type="cellIs" dxfId="1579" priority="5515" operator="lessThan">
      <formula>0</formula>
    </cfRule>
  </conditionalFormatting>
  <conditionalFormatting sqref="F136:G1048576 G86:G135">
    <cfRule type="cellIs" dxfId="1578" priority="5514" operator="lessThan">
      <formula>0</formula>
    </cfRule>
  </conditionalFormatting>
  <conditionalFormatting sqref="F136:G1048576 G86:G135">
    <cfRule type="cellIs" dxfId="1577" priority="5513" operator="lessThan">
      <formula>0</formula>
    </cfRule>
  </conditionalFormatting>
  <conditionalFormatting sqref="F136:G1048576 G86:G135">
    <cfRule type="cellIs" dxfId="1576" priority="5512" operator="lessThan">
      <formula>0</formula>
    </cfRule>
  </conditionalFormatting>
  <conditionalFormatting sqref="F136:G1048576 G86:G135">
    <cfRule type="cellIs" dxfId="1575" priority="5511" operator="lessThan">
      <formula>0</formula>
    </cfRule>
  </conditionalFormatting>
  <conditionalFormatting sqref="F136:G1048576 G86:G135">
    <cfRule type="cellIs" dxfId="1574" priority="5510" operator="lessThan">
      <formula>0</formula>
    </cfRule>
  </conditionalFormatting>
  <conditionalFormatting sqref="F136:G1048576 G86:G135">
    <cfRule type="cellIs" dxfId="1573" priority="5509" operator="lessThan">
      <formula>0</formula>
    </cfRule>
  </conditionalFormatting>
  <conditionalFormatting sqref="F136:G1048576 G86:G135">
    <cfRule type="cellIs" dxfId="1572" priority="5508" operator="lessThan">
      <formula>0</formula>
    </cfRule>
  </conditionalFormatting>
  <conditionalFormatting sqref="F136:G1048576 G86:G135">
    <cfRule type="cellIs" dxfId="1571" priority="5507" operator="lessThan">
      <formula>0</formula>
    </cfRule>
  </conditionalFormatting>
  <conditionalFormatting sqref="F136:G1048576 G86:G135">
    <cfRule type="cellIs" dxfId="1570" priority="5506" operator="lessThan">
      <formula>0</formula>
    </cfRule>
  </conditionalFormatting>
  <conditionalFormatting sqref="F136:G1048576 G86:G135">
    <cfRule type="cellIs" dxfId="1569" priority="5505" operator="lessThan">
      <formula>0</formula>
    </cfRule>
  </conditionalFormatting>
  <conditionalFormatting sqref="F136:G1048576 G86:G135">
    <cfRule type="cellIs" dxfId="1568" priority="5504" operator="lessThan">
      <formula>0</formula>
    </cfRule>
  </conditionalFormatting>
  <conditionalFormatting sqref="F136:G1048576 G86:G135">
    <cfRule type="cellIs" dxfId="1567" priority="5503" operator="lessThan">
      <formula>0</formula>
    </cfRule>
  </conditionalFormatting>
  <conditionalFormatting sqref="F136:G1048576 G86:G135">
    <cfRule type="cellIs" dxfId="1566" priority="5502" operator="lessThan">
      <formula>0</formula>
    </cfRule>
  </conditionalFormatting>
  <conditionalFormatting sqref="F136:G1048576 G86:G135">
    <cfRule type="cellIs" dxfId="1565" priority="5501" operator="lessThan">
      <formula>0</formula>
    </cfRule>
  </conditionalFormatting>
  <conditionalFormatting sqref="F136:G1048576 G86:G135">
    <cfRule type="cellIs" dxfId="1564" priority="5500" operator="lessThan">
      <formula>0</formula>
    </cfRule>
  </conditionalFormatting>
  <conditionalFormatting sqref="F136:G1048576 G86:G135">
    <cfRule type="cellIs" dxfId="1563" priority="5499" operator="lessThan">
      <formula>0</formula>
    </cfRule>
  </conditionalFormatting>
  <conditionalFormatting sqref="F136:G1048576 G86:G135">
    <cfRule type="cellIs" dxfId="1562" priority="5498" operator="lessThan">
      <formula>0</formula>
    </cfRule>
  </conditionalFormatting>
  <conditionalFormatting sqref="F136:G1048576 G86:G135">
    <cfRule type="cellIs" dxfId="1561" priority="5497" operator="lessThan">
      <formula>0</formula>
    </cfRule>
  </conditionalFormatting>
  <conditionalFormatting sqref="F136:G1048576 G86:G135">
    <cfRule type="cellIs" dxfId="1560" priority="5496" operator="lessThan">
      <formula>0</formula>
    </cfRule>
  </conditionalFormatting>
  <conditionalFormatting sqref="F136:G1048576 G86:G135">
    <cfRule type="cellIs" dxfId="1559" priority="5495" operator="lessThan">
      <formula>0</formula>
    </cfRule>
  </conditionalFormatting>
  <conditionalFormatting sqref="F136:G1048576 G86:G135">
    <cfRule type="cellIs" dxfId="1558" priority="5494" operator="lessThan">
      <formula>0</formula>
    </cfRule>
  </conditionalFormatting>
  <conditionalFormatting sqref="F136:G1048576 G86:G135">
    <cfRule type="cellIs" dxfId="1557" priority="5493" operator="lessThan">
      <formula>0</formula>
    </cfRule>
  </conditionalFormatting>
  <conditionalFormatting sqref="F136:G1048576 G86:G135">
    <cfRule type="cellIs" dxfId="1556" priority="5492" operator="lessThan">
      <formula>0</formula>
    </cfRule>
  </conditionalFormatting>
  <conditionalFormatting sqref="F136:G1048576 G86:G135">
    <cfRule type="cellIs" dxfId="1555" priority="5491" operator="lessThan">
      <formula>0</formula>
    </cfRule>
  </conditionalFormatting>
  <conditionalFormatting sqref="F136:G1048576 G86:G135">
    <cfRule type="cellIs" dxfId="1554" priority="5490" operator="lessThan">
      <formula>0</formula>
    </cfRule>
  </conditionalFormatting>
  <conditionalFormatting sqref="F136:G1048576 G86:G135">
    <cfRule type="cellIs" dxfId="1553" priority="5489" operator="lessThan">
      <formula>0</formula>
    </cfRule>
  </conditionalFormatting>
  <conditionalFormatting sqref="F136:G1048576 G86:G135">
    <cfRule type="cellIs" dxfId="1552" priority="5488" operator="lessThan">
      <formula>0</formula>
    </cfRule>
  </conditionalFormatting>
  <conditionalFormatting sqref="F136:G1048576 G86:G135">
    <cfRule type="cellIs" dxfId="1551" priority="5487" operator="lessThan">
      <formula>0</formula>
    </cfRule>
  </conditionalFormatting>
  <conditionalFormatting sqref="F136:G1048576 G86:G135">
    <cfRule type="cellIs" dxfId="1550" priority="5486" operator="lessThan">
      <formula>0</formula>
    </cfRule>
  </conditionalFormatting>
  <conditionalFormatting sqref="F136:G1048576 G86:G135">
    <cfRule type="cellIs" dxfId="1549" priority="5485" operator="lessThan">
      <formula>0</formula>
    </cfRule>
  </conditionalFormatting>
  <conditionalFormatting sqref="F136:G1048576 G86:G135">
    <cfRule type="cellIs" dxfId="1548" priority="5484" operator="lessThan">
      <formula>0</formula>
    </cfRule>
  </conditionalFormatting>
  <conditionalFormatting sqref="F136:G1048576 G86:G135">
    <cfRule type="cellIs" dxfId="1547" priority="5483" operator="lessThan">
      <formula>0</formula>
    </cfRule>
  </conditionalFormatting>
  <conditionalFormatting sqref="F136:G1048576 G86:G135">
    <cfRule type="cellIs" dxfId="1546" priority="5482" operator="lessThan">
      <formula>0</formula>
    </cfRule>
  </conditionalFormatting>
  <conditionalFormatting sqref="F136:G1048576 G86:G135">
    <cfRule type="cellIs" dxfId="1545" priority="5481" operator="lessThan">
      <formula>0</formula>
    </cfRule>
  </conditionalFormatting>
  <conditionalFormatting sqref="F136:G1048576 G86:G135">
    <cfRule type="cellIs" dxfId="1544" priority="5480" operator="lessThan">
      <formula>0</formula>
    </cfRule>
  </conditionalFormatting>
  <conditionalFormatting sqref="F136:G1048576 G86:G135">
    <cfRule type="cellIs" dxfId="1543" priority="5479" operator="lessThan">
      <formula>0</formula>
    </cfRule>
  </conditionalFormatting>
  <conditionalFormatting sqref="F136:G1048576 G86:G135">
    <cfRule type="cellIs" dxfId="1542" priority="5478" operator="lessThan">
      <formula>0</formula>
    </cfRule>
  </conditionalFormatting>
  <conditionalFormatting sqref="F136:G1048576 G86:G135">
    <cfRule type="cellIs" dxfId="1541" priority="5477" operator="lessThan">
      <formula>0</formula>
    </cfRule>
  </conditionalFormatting>
  <conditionalFormatting sqref="F136:G1048576 G86:G135">
    <cfRule type="cellIs" dxfId="1540" priority="5476" operator="lessThan">
      <formula>0</formula>
    </cfRule>
  </conditionalFormatting>
  <conditionalFormatting sqref="F136:G1048576 G86:G135">
    <cfRule type="cellIs" dxfId="1539" priority="5475" operator="lessThan">
      <formula>0</formula>
    </cfRule>
  </conditionalFormatting>
  <conditionalFormatting sqref="F136:G1048576 G86:G135">
    <cfRule type="cellIs" dxfId="1538" priority="5474" operator="lessThan">
      <formula>0</formula>
    </cfRule>
  </conditionalFormatting>
  <conditionalFormatting sqref="F136:G1048576 G86:G135">
    <cfRule type="cellIs" dxfId="1537" priority="5473" operator="lessThan">
      <formula>0</formula>
    </cfRule>
  </conditionalFormatting>
  <conditionalFormatting sqref="F136:G1048576 G86:G135">
    <cfRule type="cellIs" dxfId="1536" priority="5472" operator="lessThan">
      <formula>0</formula>
    </cfRule>
  </conditionalFormatting>
  <conditionalFormatting sqref="F136:G1048576 G86:G135">
    <cfRule type="cellIs" dxfId="1535" priority="5471" operator="lessThan">
      <formula>0</formula>
    </cfRule>
  </conditionalFormatting>
  <conditionalFormatting sqref="F136:G1048576 G86:G135">
    <cfRule type="cellIs" dxfId="1534" priority="5470" operator="lessThan">
      <formula>0</formula>
    </cfRule>
  </conditionalFormatting>
  <conditionalFormatting sqref="F136:G1048576 G86:G135">
    <cfRule type="cellIs" dxfId="1533" priority="5469" operator="lessThan">
      <formula>0</formula>
    </cfRule>
  </conditionalFormatting>
  <conditionalFormatting sqref="F136:G1048576 G86:G135">
    <cfRule type="cellIs" dxfId="1532" priority="5468" operator="lessThan">
      <formula>0</formula>
    </cfRule>
  </conditionalFormatting>
  <conditionalFormatting sqref="F136:G1048576 G86:G135">
    <cfRule type="cellIs" dxfId="1531" priority="5467" operator="lessThan">
      <formula>0</formula>
    </cfRule>
  </conditionalFormatting>
  <conditionalFormatting sqref="F136:G1048576 G86:G135">
    <cfRule type="cellIs" dxfId="1530" priority="5466" operator="lessThan">
      <formula>0</formula>
    </cfRule>
  </conditionalFormatting>
  <conditionalFormatting sqref="F136:G1048576 G86:G135">
    <cfRule type="cellIs" dxfId="1529" priority="5465" operator="lessThan">
      <formula>0</formula>
    </cfRule>
  </conditionalFormatting>
  <conditionalFormatting sqref="F136:G1048576 G86:G135">
    <cfRule type="cellIs" dxfId="1528" priority="5464" operator="lessThan">
      <formula>0</formula>
    </cfRule>
  </conditionalFormatting>
  <conditionalFormatting sqref="F136:G1048576 G86:G135">
    <cfRule type="cellIs" dxfId="1527" priority="5463" operator="lessThan">
      <formula>0</formula>
    </cfRule>
  </conditionalFormatting>
  <conditionalFormatting sqref="F136:G1048576 G86:G135">
    <cfRule type="cellIs" dxfId="1526" priority="5462" operator="lessThan">
      <formula>0</formula>
    </cfRule>
  </conditionalFormatting>
  <conditionalFormatting sqref="F136:G1048576 G86:G135">
    <cfRule type="cellIs" dxfId="1525" priority="5461" operator="lessThan">
      <formula>0</formula>
    </cfRule>
  </conditionalFormatting>
  <conditionalFormatting sqref="F136:G1048576 G86:G135">
    <cfRule type="cellIs" dxfId="1524" priority="5460" operator="lessThan">
      <formula>0</formula>
    </cfRule>
  </conditionalFormatting>
  <conditionalFormatting sqref="F136:G1048576 G86:G135">
    <cfRule type="cellIs" dxfId="1523" priority="5459" operator="lessThan">
      <formula>0</formula>
    </cfRule>
  </conditionalFormatting>
  <conditionalFormatting sqref="F136:G1048576 G86:G135">
    <cfRule type="cellIs" dxfId="1522" priority="5458" operator="lessThan">
      <formula>0</formula>
    </cfRule>
  </conditionalFormatting>
  <conditionalFormatting sqref="F136:G1048576 G86:G135">
    <cfRule type="cellIs" dxfId="1521" priority="5457" operator="lessThan">
      <formula>0</formula>
    </cfRule>
  </conditionalFormatting>
  <conditionalFormatting sqref="F136:G1048576 G86:G135">
    <cfRule type="cellIs" dxfId="1520" priority="5456" operator="lessThan">
      <formula>0</formula>
    </cfRule>
  </conditionalFormatting>
  <conditionalFormatting sqref="F136:G1048576 G86:G135">
    <cfRule type="cellIs" dxfId="1519" priority="5455" operator="lessThan">
      <formula>0</formula>
    </cfRule>
  </conditionalFormatting>
  <conditionalFormatting sqref="F136:G1048576 G86:G135">
    <cfRule type="cellIs" dxfId="1518" priority="5454" operator="lessThan">
      <formula>0</formula>
    </cfRule>
  </conditionalFormatting>
  <conditionalFormatting sqref="F136:G1048576 G86:G135">
    <cfRule type="cellIs" dxfId="1517" priority="5453" operator="lessThan">
      <formula>0</formula>
    </cfRule>
  </conditionalFormatting>
  <conditionalFormatting sqref="F136:G1048576 G86:G135">
    <cfRule type="cellIs" dxfId="1516" priority="5452" operator="lessThan">
      <formula>0</formula>
    </cfRule>
  </conditionalFormatting>
  <conditionalFormatting sqref="F136:G1048576 G86:G135">
    <cfRule type="cellIs" dxfId="1515" priority="5451" operator="lessThan">
      <formula>0</formula>
    </cfRule>
  </conditionalFormatting>
  <conditionalFormatting sqref="F136:G1048576 G86:G135">
    <cfRule type="cellIs" dxfId="1514" priority="5450" operator="lessThan">
      <formula>0</formula>
    </cfRule>
  </conditionalFormatting>
  <conditionalFormatting sqref="F136:G1048576 G86:G135">
    <cfRule type="cellIs" dxfId="1513" priority="5449" operator="lessThan">
      <formula>0</formula>
    </cfRule>
  </conditionalFormatting>
  <conditionalFormatting sqref="F136:G1048576 G86:G135">
    <cfRule type="cellIs" dxfId="1512" priority="5448" operator="lessThan">
      <formula>0</formula>
    </cfRule>
  </conditionalFormatting>
  <conditionalFormatting sqref="F136:G1048576 G86:G135">
    <cfRule type="cellIs" dxfId="1511" priority="5447" operator="lessThan">
      <formula>0</formula>
    </cfRule>
  </conditionalFormatting>
  <conditionalFormatting sqref="F136:G1048576 G86:G135">
    <cfRule type="cellIs" dxfId="1510" priority="5446" operator="lessThan">
      <formula>0</formula>
    </cfRule>
  </conditionalFormatting>
  <conditionalFormatting sqref="F136:G1048576 G86:G135">
    <cfRule type="cellIs" dxfId="1509" priority="5445" operator="lessThan">
      <formula>0</formula>
    </cfRule>
  </conditionalFormatting>
  <conditionalFormatting sqref="F136:G1048576 G86:G135">
    <cfRule type="cellIs" dxfId="1508" priority="5444" operator="lessThan">
      <formula>0</formula>
    </cfRule>
  </conditionalFormatting>
  <conditionalFormatting sqref="F136:G1048576 G86:G135">
    <cfRule type="cellIs" dxfId="1507" priority="5443" operator="lessThan">
      <formula>0</formula>
    </cfRule>
  </conditionalFormatting>
  <conditionalFormatting sqref="F136:G1048576 G86:G135">
    <cfRule type="cellIs" dxfId="1506" priority="5442" operator="lessThan">
      <formula>0</formula>
    </cfRule>
  </conditionalFormatting>
  <conditionalFormatting sqref="F136:G1048576 G86:G135">
    <cfRule type="cellIs" dxfId="1505" priority="5441" operator="lessThan">
      <formula>0</formula>
    </cfRule>
  </conditionalFormatting>
  <conditionalFormatting sqref="F136:G1048576 G86:G135">
    <cfRule type="cellIs" dxfId="1504" priority="5440" operator="lessThan">
      <formula>0</formula>
    </cfRule>
  </conditionalFormatting>
  <conditionalFormatting sqref="F136:G1048576 G86:G135">
    <cfRule type="cellIs" dxfId="1503" priority="5439" operator="lessThan">
      <formula>0</formula>
    </cfRule>
  </conditionalFormatting>
  <conditionalFormatting sqref="F136:G1048576 G86:G135">
    <cfRule type="cellIs" dxfId="1502" priority="5438" operator="lessThan">
      <formula>0</formula>
    </cfRule>
  </conditionalFormatting>
  <conditionalFormatting sqref="F136:G1048576 G86:G135">
    <cfRule type="cellIs" dxfId="1501" priority="5437" operator="lessThan">
      <formula>0</formula>
    </cfRule>
  </conditionalFormatting>
  <conditionalFormatting sqref="F136:G1048576 G86:G135">
    <cfRule type="cellIs" dxfId="1500" priority="5436" operator="lessThan">
      <formula>0</formula>
    </cfRule>
  </conditionalFormatting>
  <conditionalFormatting sqref="F136:G1048576 G86:G135">
    <cfRule type="cellIs" dxfId="1499" priority="5435" operator="lessThan">
      <formula>0</formula>
    </cfRule>
  </conditionalFormatting>
  <conditionalFormatting sqref="F136:G1048576 G86:G135">
    <cfRule type="cellIs" dxfId="1498" priority="5434" operator="lessThan">
      <formula>0</formula>
    </cfRule>
  </conditionalFormatting>
  <conditionalFormatting sqref="F136:G1048576 G86:G135">
    <cfRule type="cellIs" dxfId="1497" priority="5433" operator="lessThan">
      <formula>0</formula>
    </cfRule>
  </conditionalFormatting>
  <conditionalFormatting sqref="F136:G1048576 G86:G135">
    <cfRule type="cellIs" dxfId="1496" priority="5432" operator="lessThan">
      <formula>0</formula>
    </cfRule>
  </conditionalFormatting>
  <conditionalFormatting sqref="F136:G1048576 G86:G135">
    <cfRule type="cellIs" dxfId="1495" priority="5431" operator="lessThan">
      <formula>0</formula>
    </cfRule>
  </conditionalFormatting>
  <conditionalFormatting sqref="F136:G1048576 G86:G135">
    <cfRule type="cellIs" dxfId="1494" priority="5430" operator="lessThan">
      <formula>0</formula>
    </cfRule>
  </conditionalFormatting>
  <conditionalFormatting sqref="F136:G1048576 G86:G135">
    <cfRule type="cellIs" dxfId="1493" priority="5429" operator="lessThan">
      <formula>0</formula>
    </cfRule>
  </conditionalFormatting>
  <conditionalFormatting sqref="F136:G1048576 G86:G135">
    <cfRule type="cellIs" dxfId="1492" priority="5428" operator="lessThan">
      <formula>0</formula>
    </cfRule>
  </conditionalFormatting>
  <conditionalFormatting sqref="F136:G1048576 G86:G135">
    <cfRule type="cellIs" dxfId="1491" priority="5427" operator="lessThan">
      <formula>0</formula>
    </cfRule>
  </conditionalFormatting>
  <conditionalFormatting sqref="F136:G1048576 G86:G135">
    <cfRule type="cellIs" dxfId="1490" priority="5426" operator="lessThan">
      <formula>0</formula>
    </cfRule>
  </conditionalFormatting>
  <conditionalFormatting sqref="F136:G1048576 G86:G135">
    <cfRule type="cellIs" dxfId="1489" priority="5425" operator="lessThan">
      <formula>0</formula>
    </cfRule>
  </conditionalFormatting>
  <conditionalFormatting sqref="F136:G1048576 G86:G135">
    <cfRule type="cellIs" dxfId="1488" priority="5424" operator="lessThan">
      <formula>0</formula>
    </cfRule>
  </conditionalFormatting>
  <conditionalFormatting sqref="F136:G1048576 G86:G135">
    <cfRule type="cellIs" dxfId="1487" priority="5423" operator="lessThan">
      <formula>0</formula>
    </cfRule>
  </conditionalFormatting>
  <conditionalFormatting sqref="F136:G1048576 G86:G135">
    <cfRule type="cellIs" dxfId="1486" priority="5422" operator="lessThan">
      <formula>0</formula>
    </cfRule>
  </conditionalFormatting>
  <conditionalFormatting sqref="F136:G1048576 G86:G135">
    <cfRule type="cellIs" dxfId="1485" priority="5421" operator="lessThan">
      <formula>0</formula>
    </cfRule>
  </conditionalFormatting>
  <conditionalFormatting sqref="F136:G1048576 G86:G135">
    <cfRule type="cellIs" dxfId="1484" priority="5420" operator="lessThan">
      <formula>0</formula>
    </cfRule>
  </conditionalFormatting>
  <conditionalFormatting sqref="F136:G1048576 G86:G135">
    <cfRule type="cellIs" dxfId="1483" priority="5419" operator="lessThan">
      <formula>0</formula>
    </cfRule>
  </conditionalFormatting>
  <conditionalFormatting sqref="F136:G1048576 G86:G135">
    <cfRule type="cellIs" dxfId="1482" priority="5418" operator="lessThan">
      <formula>0</formula>
    </cfRule>
  </conditionalFormatting>
  <conditionalFormatting sqref="F136:G1048576 G86:G135">
    <cfRule type="cellIs" dxfId="1481" priority="5417" operator="lessThan">
      <formula>0</formula>
    </cfRule>
  </conditionalFormatting>
  <conditionalFormatting sqref="F136:G1048576 G86:G135">
    <cfRule type="cellIs" dxfId="1480" priority="5416" operator="lessThan">
      <formula>0</formula>
    </cfRule>
  </conditionalFormatting>
  <conditionalFormatting sqref="F136:G1048576 G86:G135">
    <cfRule type="cellIs" dxfId="1479" priority="5415" operator="lessThan">
      <formula>0</formula>
    </cfRule>
  </conditionalFormatting>
  <conditionalFormatting sqref="F136:G1048576 G86:G135">
    <cfRule type="cellIs" dxfId="1478" priority="5414" operator="lessThan">
      <formula>0</formula>
    </cfRule>
  </conditionalFormatting>
  <conditionalFormatting sqref="F136:G1048576 G86:G135">
    <cfRule type="cellIs" dxfId="1477" priority="5413" operator="lessThan">
      <formula>0</formula>
    </cfRule>
  </conditionalFormatting>
  <conditionalFormatting sqref="F136:G1048576 G86:G135">
    <cfRule type="cellIs" dxfId="1476" priority="5412" operator="lessThan">
      <formula>0</formula>
    </cfRule>
  </conditionalFormatting>
  <conditionalFormatting sqref="F136:G1048576 G86:G135">
    <cfRule type="cellIs" dxfId="1475" priority="5411" operator="lessThan">
      <formula>0</formula>
    </cfRule>
  </conditionalFormatting>
  <conditionalFormatting sqref="F136:G1048576 G86:G135">
    <cfRule type="cellIs" dxfId="1474" priority="5410" operator="lessThan">
      <formula>0</formula>
    </cfRule>
  </conditionalFormatting>
  <conditionalFormatting sqref="F136:G1048576 G86:G135">
    <cfRule type="cellIs" dxfId="1473" priority="5409" operator="lessThan">
      <formula>0</formula>
    </cfRule>
  </conditionalFormatting>
  <conditionalFormatting sqref="F136:G1048576 G86:G135">
    <cfRule type="cellIs" dxfId="1472" priority="5408" operator="lessThan">
      <formula>0</formula>
    </cfRule>
  </conditionalFormatting>
  <conditionalFormatting sqref="F136:G1048576 G86:G135">
    <cfRule type="cellIs" dxfId="1471" priority="5407" operator="lessThan">
      <formula>0</formula>
    </cfRule>
  </conditionalFormatting>
  <conditionalFormatting sqref="F136:G1048576 G86:G135">
    <cfRule type="cellIs" dxfId="1470" priority="5406" operator="lessThan">
      <formula>0</formula>
    </cfRule>
  </conditionalFormatting>
  <conditionalFormatting sqref="F136:G1048576 G86:G135">
    <cfRule type="cellIs" dxfId="1469" priority="5405" operator="lessThan">
      <formula>0</formula>
    </cfRule>
  </conditionalFormatting>
  <conditionalFormatting sqref="F136:G1048576 G86:G135">
    <cfRule type="cellIs" dxfId="1468" priority="5404" operator="lessThan">
      <formula>0</formula>
    </cfRule>
  </conditionalFormatting>
  <conditionalFormatting sqref="F136:G1048576 G86:G135">
    <cfRule type="cellIs" dxfId="1467" priority="5403" operator="lessThan">
      <formula>0</formula>
    </cfRule>
  </conditionalFormatting>
  <conditionalFormatting sqref="F136:G1048576 G86:G135">
    <cfRule type="cellIs" dxfId="1466" priority="5402" operator="lessThan">
      <formula>0</formula>
    </cfRule>
  </conditionalFormatting>
  <conditionalFormatting sqref="F136:G1048576 G86:G135">
    <cfRule type="cellIs" dxfId="1465" priority="5401" operator="lessThan">
      <formula>0</formula>
    </cfRule>
  </conditionalFormatting>
  <conditionalFormatting sqref="F136:G1048576 G86:G135">
    <cfRule type="cellIs" dxfId="1464" priority="5400" operator="lessThan">
      <formula>0</formula>
    </cfRule>
  </conditionalFormatting>
  <conditionalFormatting sqref="F136:G1048576 G86:G135">
    <cfRule type="cellIs" dxfId="1463" priority="5399" operator="lessThan">
      <formula>0</formula>
    </cfRule>
  </conditionalFormatting>
  <conditionalFormatting sqref="F136:G1048576 G86:G135">
    <cfRule type="cellIs" dxfId="1462" priority="5398" operator="lessThan">
      <formula>0</formula>
    </cfRule>
  </conditionalFormatting>
  <conditionalFormatting sqref="F136:G1048576 G86:G135">
    <cfRule type="cellIs" dxfId="1461" priority="5397" operator="lessThan">
      <formula>0</formula>
    </cfRule>
  </conditionalFormatting>
  <conditionalFormatting sqref="F136:G1048576 G86:G135">
    <cfRule type="cellIs" dxfId="1460" priority="5396" operator="lessThan">
      <formula>0</formula>
    </cfRule>
  </conditionalFormatting>
  <conditionalFormatting sqref="F136:G1048576 G86:G135">
    <cfRule type="cellIs" dxfId="1459" priority="5395" operator="lessThan">
      <formula>0</formula>
    </cfRule>
  </conditionalFormatting>
  <conditionalFormatting sqref="F136:G1048576 G86:G135">
    <cfRule type="cellIs" dxfId="1458" priority="5394" operator="lessThan">
      <formula>0</formula>
    </cfRule>
  </conditionalFormatting>
  <conditionalFormatting sqref="F136:G1048576 G86:G135">
    <cfRule type="cellIs" dxfId="1457" priority="5393" operator="lessThan">
      <formula>0</formula>
    </cfRule>
  </conditionalFormatting>
  <conditionalFormatting sqref="F136:G1048576 G86:G135">
    <cfRule type="cellIs" dxfId="1456" priority="5392" operator="lessThan">
      <formula>0</formula>
    </cfRule>
  </conditionalFormatting>
  <conditionalFormatting sqref="F136:G1048576 G86:G135">
    <cfRule type="cellIs" dxfId="1455" priority="5391" operator="lessThan">
      <formula>0</formula>
    </cfRule>
  </conditionalFormatting>
  <conditionalFormatting sqref="F136:G1048576 G86:G135">
    <cfRule type="cellIs" dxfId="1454" priority="5390" operator="lessThan">
      <formula>0</formula>
    </cfRule>
  </conditionalFormatting>
  <conditionalFormatting sqref="F136:G1048576 G86:G135">
    <cfRule type="cellIs" dxfId="1453" priority="5389" operator="lessThan">
      <formula>0</formula>
    </cfRule>
  </conditionalFormatting>
  <conditionalFormatting sqref="F136:G1048576 G86:G135">
    <cfRule type="cellIs" dxfId="1452" priority="5388" operator="lessThan">
      <formula>0</formula>
    </cfRule>
  </conditionalFormatting>
  <conditionalFormatting sqref="F136:G1048576 G86:G135">
    <cfRule type="cellIs" dxfId="1451" priority="5387" operator="lessThan">
      <formula>0</formula>
    </cfRule>
  </conditionalFormatting>
  <conditionalFormatting sqref="F136:G1048576 G86:G135">
    <cfRule type="cellIs" dxfId="1450" priority="5386" operator="lessThan">
      <formula>0</formula>
    </cfRule>
  </conditionalFormatting>
  <conditionalFormatting sqref="F136:G1048576 G86:G135">
    <cfRule type="cellIs" dxfId="1449" priority="5385" operator="lessThan">
      <formula>0</formula>
    </cfRule>
  </conditionalFormatting>
  <conditionalFormatting sqref="F136:G1048576 G86:G135">
    <cfRule type="cellIs" dxfId="1448" priority="5384" operator="lessThan">
      <formula>0</formula>
    </cfRule>
  </conditionalFormatting>
  <conditionalFormatting sqref="F136:G1048576 G86:G135">
    <cfRule type="cellIs" dxfId="1447" priority="5383" operator="lessThan">
      <formula>0</formula>
    </cfRule>
  </conditionalFormatting>
  <conditionalFormatting sqref="F136:G1048576 G86:G135">
    <cfRule type="cellIs" dxfId="1446" priority="5382" operator="lessThan">
      <formula>0</formula>
    </cfRule>
  </conditionalFormatting>
  <conditionalFormatting sqref="F136:G1048576 G86:G135">
    <cfRule type="cellIs" dxfId="1445" priority="5381" operator="lessThan">
      <formula>0</formula>
    </cfRule>
  </conditionalFormatting>
  <conditionalFormatting sqref="F136:G1048576 G86:G135">
    <cfRule type="cellIs" dxfId="1444" priority="5380" operator="lessThan">
      <formula>0</formula>
    </cfRule>
  </conditionalFormatting>
  <conditionalFormatting sqref="F136:G1048576 G86:G135">
    <cfRule type="cellIs" dxfId="1443" priority="5379" operator="lessThan">
      <formula>0</formula>
    </cfRule>
  </conditionalFormatting>
  <conditionalFormatting sqref="F136:G1048576 G86:G135">
    <cfRule type="cellIs" dxfId="1442" priority="5378" operator="lessThan">
      <formula>0</formula>
    </cfRule>
  </conditionalFormatting>
  <conditionalFormatting sqref="F136:G1048576 G86:G135">
    <cfRule type="cellIs" dxfId="1441" priority="5377" operator="lessThan">
      <formula>0</formula>
    </cfRule>
  </conditionalFormatting>
  <conditionalFormatting sqref="F136:G1048576 G61:G135">
    <cfRule type="cellIs" dxfId="1440" priority="5376" operator="lessThan">
      <formula>0</formula>
    </cfRule>
  </conditionalFormatting>
  <conditionalFormatting sqref="F136:G1048576 G61:G135">
    <cfRule type="cellIs" dxfId="1439" priority="5375" operator="lessThan">
      <formula>0</formula>
    </cfRule>
  </conditionalFormatting>
  <conditionalFormatting sqref="F136:G1048576 G61:G135">
    <cfRule type="cellIs" dxfId="1438" priority="5374" operator="lessThan">
      <formula>0</formula>
    </cfRule>
  </conditionalFormatting>
  <conditionalFormatting sqref="F136:G1048576 G61:G135">
    <cfRule type="cellIs" dxfId="1437" priority="5373" operator="lessThan">
      <formula>0</formula>
    </cfRule>
  </conditionalFormatting>
  <conditionalFormatting sqref="F136:G1048576 G61:G135">
    <cfRule type="cellIs" dxfId="1436" priority="5372" operator="lessThan">
      <formula>0</formula>
    </cfRule>
  </conditionalFormatting>
  <conditionalFormatting sqref="F136:G1048576 G61:G135">
    <cfRule type="cellIs" dxfId="1435" priority="5371" operator="lessThan">
      <formula>0</formula>
    </cfRule>
  </conditionalFormatting>
  <conditionalFormatting sqref="F136:G1048576 G61:G135">
    <cfRule type="cellIs" dxfId="1434" priority="5370" operator="lessThan">
      <formula>0</formula>
    </cfRule>
  </conditionalFormatting>
  <conditionalFormatting sqref="F136:G1048576 G61:G135">
    <cfRule type="cellIs" dxfId="1433" priority="5369" operator="lessThan">
      <formula>0</formula>
    </cfRule>
  </conditionalFormatting>
  <conditionalFormatting sqref="F136:G1048576 G61:G135">
    <cfRule type="cellIs" dxfId="1432" priority="5368" operator="lessThan">
      <formula>0</formula>
    </cfRule>
  </conditionalFormatting>
  <conditionalFormatting sqref="F136:G1048576 G61:G135">
    <cfRule type="cellIs" dxfId="1431" priority="5367" operator="lessThan">
      <formula>0</formula>
    </cfRule>
  </conditionalFormatting>
  <conditionalFormatting sqref="F136:G1048576 G61:G135">
    <cfRule type="cellIs" dxfId="1430" priority="5366" operator="lessThan">
      <formula>0</formula>
    </cfRule>
  </conditionalFormatting>
  <conditionalFormatting sqref="F136:G1048576 G61:G135">
    <cfRule type="cellIs" dxfId="1429" priority="5365" operator="lessThan">
      <formula>0</formula>
    </cfRule>
  </conditionalFormatting>
  <conditionalFormatting sqref="F136:G1048576 G61:G135">
    <cfRule type="cellIs" dxfId="1428" priority="5364" operator="lessThan">
      <formula>0</formula>
    </cfRule>
  </conditionalFormatting>
  <conditionalFormatting sqref="F136:G1048576 G61:G135">
    <cfRule type="cellIs" dxfId="1427" priority="5363" operator="lessThan">
      <formula>0</formula>
    </cfRule>
  </conditionalFormatting>
  <conditionalFormatting sqref="F136:G1048576 G61:G135">
    <cfRule type="cellIs" dxfId="1426" priority="5362" operator="lessThan">
      <formula>0</formula>
    </cfRule>
  </conditionalFormatting>
  <conditionalFormatting sqref="F136:G1048576 G61:G135">
    <cfRule type="cellIs" dxfId="1425" priority="5361" operator="lessThan">
      <formula>0</formula>
    </cfRule>
  </conditionalFormatting>
  <conditionalFormatting sqref="F136:G1048576 G61:G135">
    <cfRule type="cellIs" dxfId="1424" priority="5360" operator="lessThan">
      <formula>0</formula>
    </cfRule>
  </conditionalFormatting>
  <conditionalFormatting sqref="F136:G1048576 G61:G135">
    <cfRule type="cellIs" dxfId="1423" priority="5359" operator="lessThan">
      <formula>0</formula>
    </cfRule>
  </conditionalFormatting>
  <conditionalFormatting sqref="F136:G1048576 G61:G135">
    <cfRule type="cellIs" dxfId="1422" priority="5358" operator="lessThan">
      <formula>0</formula>
    </cfRule>
  </conditionalFormatting>
  <conditionalFormatting sqref="F136:G1048576 G61:G135">
    <cfRule type="cellIs" dxfId="1421" priority="5357" operator="lessThan">
      <formula>0</formula>
    </cfRule>
  </conditionalFormatting>
  <conditionalFormatting sqref="F136:G1048576 G61:G135">
    <cfRule type="cellIs" dxfId="1420" priority="5356" operator="lessThan">
      <formula>0</formula>
    </cfRule>
  </conditionalFormatting>
  <conditionalFormatting sqref="F136:G1048576 G61:G135">
    <cfRule type="cellIs" dxfId="1419" priority="5355" operator="lessThan">
      <formula>0</formula>
    </cfRule>
  </conditionalFormatting>
  <conditionalFormatting sqref="F136:G1048576 G61:G135">
    <cfRule type="cellIs" dxfId="1418" priority="5354" operator="lessThan">
      <formula>0</formula>
    </cfRule>
  </conditionalFormatting>
  <conditionalFormatting sqref="F136:G1048576 G61:G135">
    <cfRule type="cellIs" dxfId="1417" priority="5353" operator="lessThan">
      <formula>0</formula>
    </cfRule>
  </conditionalFormatting>
  <conditionalFormatting sqref="F136:G1048576 G61:G135">
    <cfRule type="cellIs" dxfId="1416" priority="5352" operator="lessThan">
      <formula>0</formula>
    </cfRule>
  </conditionalFormatting>
  <conditionalFormatting sqref="F136:G1048576 G61:G135">
    <cfRule type="cellIs" dxfId="1415" priority="5351" operator="lessThan">
      <formula>0</formula>
    </cfRule>
  </conditionalFormatting>
  <conditionalFormatting sqref="F136:G1048576 G61:G135">
    <cfRule type="cellIs" dxfId="1414" priority="5350" operator="lessThan">
      <formula>0</formula>
    </cfRule>
  </conditionalFormatting>
  <conditionalFormatting sqref="F136:G1048576 G61:G135">
    <cfRule type="cellIs" dxfId="1413" priority="5349" operator="lessThan">
      <formula>0</formula>
    </cfRule>
  </conditionalFormatting>
  <conditionalFormatting sqref="F136:G1048576 G61:G135">
    <cfRule type="cellIs" dxfId="1412" priority="5348" operator="lessThan">
      <formula>0</formula>
    </cfRule>
  </conditionalFormatting>
  <conditionalFormatting sqref="F136:G1048576 G61:G135">
    <cfRule type="cellIs" dxfId="1411" priority="5347" operator="lessThan">
      <formula>0</formula>
    </cfRule>
  </conditionalFormatting>
  <conditionalFormatting sqref="F136:G1048576 G61:G135">
    <cfRule type="cellIs" dxfId="1410" priority="5346" operator="lessThan">
      <formula>0</formula>
    </cfRule>
  </conditionalFormatting>
  <conditionalFormatting sqref="F136:G1048576 G61:G135">
    <cfRule type="cellIs" dxfId="1409" priority="5345" operator="lessThan">
      <formula>0</formula>
    </cfRule>
  </conditionalFormatting>
  <conditionalFormatting sqref="F136:G1048576 G61:G135">
    <cfRule type="cellIs" dxfId="1408" priority="5344" operator="lessThan">
      <formula>0</formula>
    </cfRule>
  </conditionalFormatting>
  <conditionalFormatting sqref="F136:G1048576 G61:G135">
    <cfRule type="cellIs" dxfId="1407" priority="5343" operator="lessThan">
      <formula>0</formula>
    </cfRule>
  </conditionalFormatting>
  <conditionalFormatting sqref="F136:G1048576 G61:G135">
    <cfRule type="cellIs" dxfId="1406" priority="5342" operator="lessThan">
      <formula>0</formula>
    </cfRule>
  </conditionalFormatting>
  <conditionalFormatting sqref="F136:G1048576 G61:G135">
    <cfRule type="cellIs" dxfId="1405" priority="5341" operator="lessThan">
      <formula>0</formula>
    </cfRule>
  </conditionalFormatting>
  <conditionalFormatting sqref="F136:G1048576 G61:G135">
    <cfRule type="cellIs" dxfId="1404" priority="5340" operator="lessThan">
      <formula>0</formula>
    </cfRule>
  </conditionalFormatting>
  <conditionalFormatting sqref="F136:G1048576 G61:G135">
    <cfRule type="cellIs" dxfId="1403" priority="5339" operator="lessThan">
      <formula>0</formula>
    </cfRule>
  </conditionalFormatting>
  <conditionalFormatting sqref="F136:G1048576 G61:G135">
    <cfRule type="cellIs" dxfId="1402" priority="5338" operator="lessThan">
      <formula>0</formula>
    </cfRule>
  </conditionalFormatting>
  <conditionalFormatting sqref="F136:G1048576 G61:G135">
    <cfRule type="cellIs" dxfId="1401" priority="5337" operator="lessThan">
      <formula>0</formula>
    </cfRule>
  </conditionalFormatting>
  <conditionalFormatting sqref="F136:G1048576 G61:G135">
    <cfRule type="cellIs" dxfId="1400" priority="5336" operator="lessThan">
      <formula>0</formula>
    </cfRule>
  </conditionalFormatting>
  <conditionalFormatting sqref="F136:G1048576 G61:G135">
    <cfRule type="cellIs" dxfId="1399" priority="5335" operator="lessThan">
      <formula>0</formula>
    </cfRule>
  </conditionalFormatting>
  <conditionalFormatting sqref="F136:G1048576 G61:G135">
    <cfRule type="cellIs" dxfId="1398" priority="5334" operator="lessThan">
      <formula>0</formula>
    </cfRule>
  </conditionalFormatting>
  <conditionalFormatting sqref="F136:G1048576 G61:G135">
    <cfRule type="cellIs" dxfId="1397" priority="5333" operator="lessThan">
      <formula>0</formula>
    </cfRule>
  </conditionalFormatting>
  <conditionalFormatting sqref="F136:G1048576 G61:G135">
    <cfRule type="cellIs" dxfId="1396" priority="5332" operator="lessThan">
      <formula>0</formula>
    </cfRule>
  </conditionalFormatting>
  <conditionalFormatting sqref="F136:G1048576 G61:G135">
    <cfRule type="cellIs" dxfId="1395" priority="5331" operator="lessThan">
      <formula>0</formula>
    </cfRule>
  </conditionalFormatting>
  <conditionalFormatting sqref="F136:G1048576 G61:G135">
    <cfRule type="cellIs" dxfId="1394" priority="5330" operator="lessThan">
      <formula>0</formula>
    </cfRule>
  </conditionalFormatting>
  <conditionalFormatting sqref="F136:G1048576 G61:G135">
    <cfRule type="cellIs" dxfId="1393" priority="5329" operator="lessThan">
      <formula>0</formula>
    </cfRule>
  </conditionalFormatting>
  <conditionalFormatting sqref="F136:G1048576 G61:G135">
    <cfRule type="cellIs" dxfId="1392" priority="5328" operator="lessThan">
      <formula>0</formula>
    </cfRule>
  </conditionalFormatting>
  <conditionalFormatting sqref="F136:G1048576 G61:G135">
    <cfRule type="cellIs" dxfId="1391" priority="5327" operator="lessThan">
      <formula>0</formula>
    </cfRule>
  </conditionalFormatting>
  <conditionalFormatting sqref="F136:G1048576 G61:G135">
    <cfRule type="cellIs" dxfId="1390" priority="5326" operator="lessThan">
      <formula>0</formula>
    </cfRule>
  </conditionalFormatting>
  <conditionalFormatting sqref="F136:G1048576 G61:G135">
    <cfRule type="cellIs" dxfId="1389" priority="5325" operator="lessThan">
      <formula>0</formula>
    </cfRule>
  </conditionalFormatting>
  <conditionalFormatting sqref="F136:G1048576 G61:G135">
    <cfRule type="cellIs" dxfId="1388" priority="5324" operator="lessThan">
      <formula>0</formula>
    </cfRule>
  </conditionalFormatting>
  <conditionalFormatting sqref="F136:G1048576 G61:G135">
    <cfRule type="cellIs" dxfId="1387" priority="5323" operator="lessThan">
      <formula>0</formula>
    </cfRule>
  </conditionalFormatting>
  <conditionalFormatting sqref="F136:G1048576 G61:G135">
    <cfRule type="cellIs" dxfId="1386" priority="5322" operator="lessThan">
      <formula>0</formula>
    </cfRule>
  </conditionalFormatting>
  <conditionalFormatting sqref="F136:G1048576 G61:G135">
    <cfRule type="cellIs" dxfId="1385" priority="5321" operator="lessThan">
      <formula>0</formula>
    </cfRule>
  </conditionalFormatting>
  <conditionalFormatting sqref="F136:G1048576 G61:G135">
    <cfRule type="cellIs" dxfId="1384" priority="5320" operator="lessThan">
      <formula>0</formula>
    </cfRule>
  </conditionalFormatting>
  <conditionalFormatting sqref="F136:G1048576 G61:G135">
    <cfRule type="cellIs" dxfId="1383" priority="5319" operator="lessThan">
      <formula>0</formula>
    </cfRule>
  </conditionalFormatting>
  <conditionalFormatting sqref="F136:G1048576 G61:G135">
    <cfRule type="cellIs" dxfId="1382" priority="5318" operator="lessThan">
      <formula>0</formula>
    </cfRule>
  </conditionalFormatting>
  <conditionalFormatting sqref="F136:G1048576 G61:G135">
    <cfRule type="cellIs" dxfId="1381" priority="5317" operator="lessThan">
      <formula>0</formula>
    </cfRule>
  </conditionalFormatting>
  <conditionalFormatting sqref="F136:G1048576 G61:G135">
    <cfRule type="cellIs" dxfId="1380" priority="5316" operator="lessThan">
      <formula>0</formula>
    </cfRule>
  </conditionalFormatting>
  <conditionalFormatting sqref="F136:G1048576 G61:G135">
    <cfRule type="cellIs" dxfId="1379" priority="5315" operator="lessThan">
      <formula>0</formula>
    </cfRule>
  </conditionalFormatting>
  <conditionalFormatting sqref="F136:G1048576 G61:G135">
    <cfRule type="cellIs" dxfId="1378" priority="5314" operator="lessThan">
      <formula>0</formula>
    </cfRule>
  </conditionalFormatting>
  <conditionalFormatting sqref="F136:G1048576 G61:G135">
    <cfRule type="cellIs" dxfId="1377" priority="5313" operator="lessThan">
      <formula>0</formula>
    </cfRule>
  </conditionalFormatting>
  <conditionalFormatting sqref="F136:G1048576 G61:G135">
    <cfRule type="cellIs" dxfId="1376" priority="5312" operator="lessThan">
      <formula>0</formula>
    </cfRule>
  </conditionalFormatting>
  <conditionalFormatting sqref="F136:G1048576 G61:G135">
    <cfRule type="cellIs" dxfId="1375" priority="5311" operator="lessThan">
      <formula>0</formula>
    </cfRule>
  </conditionalFormatting>
  <conditionalFormatting sqref="F136:G1048576 G61:G135">
    <cfRule type="cellIs" dxfId="1374" priority="5310" operator="lessThan">
      <formula>0</formula>
    </cfRule>
  </conditionalFormatting>
  <conditionalFormatting sqref="F136:G1048576 G61:G135">
    <cfRule type="cellIs" dxfId="1373" priority="5309" operator="lessThan">
      <formula>0</formula>
    </cfRule>
  </conditionalFormatting>
  <conditionalFormatting sqref="F136:G1048576 G61:G135">
    <cfRule type="cellIs" dxfId="1372" priority="5308" operator="lessThan">
      <formula>0</formula>
    </cfRule>
  </conditionalFormatting>
  <conditionalFormatting sqref="F136:G1048576 G61:G135">
    <cfRule type="cellIs" dxfId="1371" priority="5307" operator="lessThan">
      <formula>0</formula>
    </cfRule>
  </conditionalFormatting>
  <conditionalFormatting sqref="F136:G1048576 G61:G135">
    <cfRule type="cellIs" dxfId="1370" priority="5306" operator="lessThan">
      <formula>0</formula>
    </cfRule>
  </conditionalFormatting>
  <conditionalFormatting sqref="F136:G1048576 G61:G135">
    <cfRule type="cellIs" dxfId="1369" priority="5305" operator="lessThan">
      <formula>0</formula>
    </cfRule>
  </conditionalFormatting>
  <conditionalFormatting sqref="F136:G1048576 G61:G135">
    <cfRule type="cellIs" dxfId="1368" priority="5304" operator="lessThan">
      <formula>0</formula>
    </cfRule>
  </conditionalFormatting>
  <conditionalFormatting sqref="F136:G1048576 G61:G135">
    <cfRule type="cellIs" dxfId="1367" priority="5303" operator="lessThan">
      <formula>0</formula>
    </cfRule>
  </conditionalFormatting>
  <conditionalFormatting sqref="F136:G1048576 G61:G135">
    <cfRule type="cellIs" dxfId="1366" priority="5302" operator="lessThan">
      <formula>0</formula>
    </cfRule>
  </conditionalFormatting>
  <conditionalFormatting sqref="F136:G1048576 G61:G135">
    <cfRule type="cellIs" dxfId="1365" priority="5301" operator="lessThan">
      <formula>0</formula>
    </cfRule>
  </conditionalFormatting>
  <conditionalFormatting sqref="F136:G1048576 G61:G135">
    <cfRule type="cellIs" dxfId="1364" priority="5300" operator="lessThan">
      <formula>0</formula>
    </cfRule>
  </conditionalFormatting>
  <conditionalFormatting sqref="F136:G1048576 G61:G135">
    <cfRule type="cellIs" dxfId="1363" priority="5299" operator="lessThan">
      <formula>0</formula>
    </cfRule>
  </conditionalFormatting>
  <conditionalFormatting sqref="F136:G1048576 G61:G135">
    <cfRule type="cellIs" dxfId="1362" priority="5298" operator="lessThan">
      <formula>0</formula>
    </cfRule>
  </conditionalFormatting>
  <conditionalFormatting sqref="F136:G1048576 G61:G135">
    <cfRule type="cellIs" dxfId="1361" priority="5297" operator="lessThan">
      <formula>0</formula>
    </cfRule>
  </conditionalFormatting>
  <conditionalFormatting sqref="F136:G1048576 G61:G135">
    <cfRule type="cellIs" dxfId="1360" priority="5296" operator="lessThan">
      <formula>0</formula>
    </cfRule>
  </conditionalFormatting>
  <conditionalFormatting sqref="F136:G1048576 G61:G135">
    <cfRule type="cellIs" dxfId="1359" priority="5295" operator="lessThan">
      <formula>0</formula>
    </cfRule>
  </conditionalFormatting>
  <conditionalFormatting sqref="F136:G1048576 G61:G135">
    <cfRule type="cellIs" dxfId="1358" priority="5294" operator="lessThan">
      <formula>0</formula>
    </cfRule>
  </conditionalFormatting>
  <conditionalFormatting sqref="F136:G1048576 G61:G135">
    <cfRule type="cellIs" dxfId="1357" priority="5293" operator="lessThan">
      <formula>0</formula>
    </cfRule>
  </conditionalFormatting>
  <conditionalFormatting sqref="F136:G1048576 G61:G135">
    <cfRule type="cellIs" dxfId="1356" priority="5292" operator="lessThan">
      <formula>0</formula>
    </cfRule>
  </conditionalFormatting>
  <conditionalFormatting sqref="F136:G1048576 G61:G135">
    <cfRule type="cellIs" dxfId="1355" priority="5291" operator="lessThan">
      <formula>0</formula>
    </cfRule>
  </conditionalFormatting>
  <conditionalFormatting sqref="F136:G1048576 G61:G135">
    <cfRule type="cellIs" dxfId="1354" priority="5290" operator="lessThan">
      <formula>0</formula>
    </cfRule>
  </conditionalFormatting>
  <conditionalFormatting sqref="F136:G1048576 G61:G135">
    <cfRule type="cellIs" dxfId="1353" priority="5289" operator="lessThan">
      <formula>0</formula>
    </cfRule>
  </conditionalFormatting>
  <conditionalFormatting sqref="F136:G1048576 G61:G135">
    <cfRule type="cellIs" dxfId="1352" priority="5288" operator="lessThan">
      <formula>0</formula>
    </cfRule>
  </conditionalFormatting>
  <conditionalFormatting sqref="F136:G1048576 G61:G135">
    <cfRule type="cellIs" dxfId="1351" priority="5287" operator="lessThan">
      <formula>0</formula>
    </cfRule>
  </conditionalFormatting>
  <conditionalFormatting sqref="F136:G1048576 G61:G135">
    <cfRule type="cellIs" dxfId="1350" priority="5286" operator="lessThan">
      <formula>0</formula>
    </cfRule>
  </conditionalFormatting>
  <conditionalFormatting sqref="F136:G1048576 G61:G135">
    <cfRule type="cellIs" dxfId="1349" priority="5285" operator="lessThan">
      <formula>0</formula>
    </cfRule>
  </conditionalFormatting>
  <conditionalFormatting sqref="F136:G1048576 G61:G135">
    <cfRule type="cellIs" dxfId="1348" priority="5284" operator="lessThan">
      <formula>0</formula>
    </cfRule>
  </conditionalFormatting>
  <conditionalFormatting sqref="F136:G1048576 G61:G135">
    <cfRule type="cellIs" dxfId="1347" priority="5283" operator="lessThan">
      <formula>0</formula>
    </cfRule>
  </conditionalFormatting>
  <conditionalFormatting sqref="F136:G1048576 G61:G135">
    <cfRule type="cellIs" dxfId="1346" priority="5282" operator="lessThan">
      <formula>0</formula>
    </cfRule>
  </conditionalFormatting>
  <conditionalFormatting sqref="F136:G1048576 G61:G135">
    <cfRule type="cellIs" dxfId="1345" priority="5281" operator="lessThan">
      <formula>0</formula>
    </cfRule>
  </conditionalFormatting>
  <conditionalFormatting sqref="F136:G1048576 G61:G135">
    <cfRule type="cellIs" dxfId="1344" priority="5280" operator="lessThan">
      <formula>0</formula>
    </cfRule>
  </conditionalFormatting>
  <conditionalFormatting sqref="F136:G1048576 G61:G135">
    <cfRule type="cellIs" dxfId="1343" priority="5279" operator="lessThan">
      <formula>0</formula>
    </cfRule>
  </conditionalFormatting>
  <conditionalFormatting sqref="F136:G1048576 G61:G135">
    <cfRule type="cellIs" dxfId="1342" priority="5278" operator="lessThan">
      <formula>0</formula>
    </cfRule>
  </conditionalFormatting>
  <conditionalFormatting sqref="F136:G1048576 G61:G135">
    <cfRule type="cellIs" dxfId="1341" priority="5277" operator="lessThan">
      <formula>0</formula>
    </cfRule>
  </conditionalFormatting>
  <conditionalFormatting sqref="F136:G1048576 G61:G135">
    <cfRule type="cellIs" dxfId="1340" priority="5276" operator="lessThan">
      <formula>0</formula>
    </cfRule>
  </conditionalFormatting>
  <conditionalFormatting sqref="F136:G1048576 G61:G135">
    <cfRule type="cellIs" dxfId="1339" priority="5275" operator="lessThan">
      <formula>0</formula>
    </cfRule>
  </conditionalFormatting>
  <conditionalFormatting sqref="F136:G1048576 G61:G135">
    <cfRule type="cellIs" dxfId="1338" priority="5274" operator="lessThan">
      <formula>0</formula>
    </cfRule>
  </conditionalFormatting>
  <conditionalFormatting sqref="F136:G1048576 G61:G135">
    <cfRule type="cellIs" dxfId="1337" priority="5273" operator="lessThan">
      <formula>0</formula>
    </cfRule>
  </conditionalFormatting>
  <conditionalFormatting sqref="F136:G1048576 G61:G135">
    <cfRule type="cellIs" dxfId="1336" priority="5272" operator="lessThan">
      <formula>0</formula>
    </cfRule>
  </conditionalFormatting>
  <conditionalFormatting sqref="F136:G1048576 G61:G135">
    <cfRule type="cellIs" dxfId="1335" priority="5271" operator="lessThan">
      <formula>0</formula>
    </cfRule>
  </conditionalFormatting>
  <conditionalFormatting sqref="F136:G1048576 G61:G135">
    <cfRule type="cellIs" dxfId="1334" priority="5270" operator="lessThan">
      <formula>0</formula>
    </cfRule>
  </conditionalFormatting>
  <conditionalFormatting sqref="F136:G1048576 G61:G135">
    <cfRule type="cellIs" dxfId="1333" priority="5269" operator="lessThan">
      <formula>0</formula>
    </cfRule>
  </conditionalFormatting>
  <conditionalFormatting sqref="F136:G1048576 G61:G135">
    <cfRule type="cellIs" dxfId="1332" priority="5268" operator="lessThan">
      <formula>0</formula>
    </cfRule>
  </conditionalFormatting>
  <conditionalFormatting sqref="F136:G1048576 G61:G135">
    <cfRule type="cellIs" dxfId="1331" priority="5267" operator="lessThan">
      <formula>0</formula>
    </cfRule>
  </conditionalFormatting>
  <conditionalFormatting sqref="F136:G1048576 G61:G135">
    <cfRule type="cellIs" dxfId="1330" priority="5266" operator="lessThan">
      <formula>0</formula>
    </cfRule>
  </conditionalFormatting>
  <conditionalFormatting sqref="F136:G1048576 G61:G135">
    <cfRule type="cellIs" dxfId="1329" priority="5265" operator="lessThan">
      <formula>0</formula>
    </cfRule>
  </conditionalFormatting>
  <conditionalFormatting sqref="F136:G1048576 G61:G135">
    <cfRule type="cellIs" dxfId="1328" priority="5264" operator="lessThan">
      <formula>0</formula>
    </cfRule>
  </conditionalFormatting>
  <conditionalFormatting sqref="F136:G1048576 G61:G135">
    <cfRule type="cellIs" dxfId="1327" priority="5263" operator="lessThan">
      <formula>0</formula>
    </cfRule>
  </conditionalFormatting>
  <conditionalFormatting sqref="F136:G1048576 G61:G135">
    <cfRule type="cellIs" dxfId="1326" priority="5262" operator="lessThan">
      <formula>0</formula>
    </cfRule>
  </conditionalFormatting>
  <conditionalFormatting sqref="F136:G1048576 G61:G135">
    <cfRule type="cellIs" dxfId="1325" priority="5261" operator="lessThan">
      <formula>0</formula>
    </cfRule>
  </conditionalFormatting>
  <conditionalFormatting sqref="F136:G1048576 G61:G135">
    <cfRule type="cellIs" dxfId="1324" priority="5260" operator="lessThan">
      <formula>0</formula>
    </cfRule>
  </conditionalFormatting>
  <conditionalFormatting sqref="F136:G1048576 G61:G135">
    <cfRule type="cellIs" dxfId="1323" priority="5259" operator="lessThan">
      <formula>0</formula>
    </cfRule>
  </conditionalFormatting>
  <conditionalFormatting sqref="F136:G1048576 G61:G135">
    <cfRule type="cellIs" dxfId="1322" priority="5258" operator="lessThan">
      <formula>0</formula>
    </cfRule>
  </conditionalFormatting>
  <conditionalFormatting sqref="F136:G1048576 G61:G135">
    <cfRule type="cellIs" dxfId="1321" priority="5257" operator="lessThan">
      <formula>0</formula>
    </cfRule>
  </conditionalFormatting>
  <conditionalFormatting sqref="F136:G1048576 G61:G135">
    <cfRule type="cellIs" dxfId="1320" priority="5256" operator="lessThan">
      <formula>0</formula>
    </cfRule>
  </conditionalFormatting>
  <conditionalFormatting sqref="F136:G1048576 G61:G135">
    <cfRule type="cellIs" dxfId="1319" priority="5255" operator="lessThan">
      <formula>0</formula>
    </cfRule>
  </conditionalFormatting>
  <conditionalFormatting sqref="F136:G1048576 G61:G135">
    <cfRule type="cellIs" dxfId="1318" priority="5254" operator="lessThan">
      <formula>0</formula>
    </cfRule>
  </conditionalFormatting>
  <conditionalFormatting sqref="F136:G1048576 G61:G135">
    <cfRule type="cellIs" dxfId="1317" priority="5253" operator="lessThan">
      <formula>0</formula>
    </cfRule>
  </conditionalFormatting>
  <conditionalFormatting sqref="F136:G1048576 G61:G135">
    <cfRule type="cellIs" dxfId="1316" priority="5252" operator="lessThan">
      <formula>0</formula>
    </cfRule>
  </conditionalFormatting>
  <conditionalFormatting sqref="F136:G1048576 G61:G135">
    <cfRule type="cellIs" dxfId="1315" priority="5251" operator="lessThan">
      <formula>0</formula>
    </cfRule>
  </conditionalFormatting>
  <conditionalFormatting sqref="F136:G1048576 G61:G135">
    <cfRule type="cellIs" dxfId="1314" priority="5250" operator="lessThan">
      <formula>0</formula>
    </cfRule>
  </conditionalFormatting>
  <conditionalFormatting sqref="F136:G1048576 G61:G135">
    <cfRule type="cellIs" dxfId="1313" priority="5249" operator="lessThan">
      <formula>0</formula>
    </cfRule>
  </conditionalFormatting>
  <conditionalFormatting sqref="F136:G1048576 G61:G135">
    <cfRule type="cellIs" dxfId="1312" priority="5248" operator="lessThan">
      <formula>0</formula>
    </cfRule>
  </conditionalFormatting>
  <conditionalFormatting sqref="F136:G1048576 G61:G135">
    <cfRule type="cellIs" dxfId="1311" priority="5247" operator="lessThan">
      <formula>0</formula>
    </cfRule>
  </conditionalFormatting>
  <conditionalFormatting sqref="F136:G1048576 G61:G135">
    <cfRule type="cellIs" dxfId="1310" priority="5246" operator="lessThan">
      <formula>0</formula>
    </cfRule>
  </conditionalFormatting>
  <conditionalFormatting sqref="F136:G1048576 G61:G135">
    <cfRule type="cellIs" dxfId="1309" priority="5245" operator="lessThan">
      <formula>0</formula>
    </cfRule>
  </conditionalFormatting>
  <conditionalFormatting sqref="F136:G1048576 G61:G135">
    <cfRule type="cellIs" dxfId="1308" priority="5244" operator="lessThan">
      <formula>0</formula>
    </cfRule>
  </conditionalFormatting>
  <conditionalFormatting sqref="F136:G1048576 G61:G135">
    <cfRule type="cellIs" dxfId="1307" priority="5243" operator="lessThan">
      <formula>0</formula>
    </cfRule>
  </conditionalFormatting>
  <conditionalFormatting sqref="F136:G1048576 G61:G135">
    <cfRule type="cellIs" dxfId="1306" priority="5242" operator="lessThan">
      <formula>0</formula>
    </cfRule>
  </conditionalFormatting>
  <conditionalFormatting sqref="F136:G1048576 G61:G135">
    <cfRule type="cellIs" dxfId="1305" priority="5241" operator="lessThan">
      <formula>0</formula>
    </cfRule>
  </conditionalFormatting>
  <conditionalFormatting sqref="F136:G1048576 G61:G135">
    <cfRule type="cellIs" dxfId="1304" priority="5240" operator="lessThan">
      <formula>0</formula>
    </cfRule>
  </conditionalFormatting>
  <conditionalFormatting sqref="F136:G1048576 G61:G135">
    <cfRule type="cellIs" dxfId="1303" priority="5239" operator="lessThan">
      <formula>0</formula>
    </cfRule>
  </conditionalFormatting>
  <conditionalFormatting sqref="F136:G1048576 G61:G135">
    <cfRule type="cellIs" dxfId="1302" priority="5238" operator="lessThan">
      <formula>0</formula>
    </cfRule>
  </conditionalFormatting>
  <conditionalFormatting sqref="F136:G1048576 G61:G135">
    <cfRule type="cellIs" dxfId="1301" priority="5237" operator="lessThan">
      <formula>0</formula>
    </cfRule>
  </conditionalFormatting>
  <conditionalFormatting sqref="F136:G1048576 G61:G135">
    <cfRule type="cellIs" dxfId="1300" priority="5236" operator="lessThan">
      <formula>0</formula>
    </cfRule>
  </conditionalFormatting>
  <conditionalFormatting sqref="F136:G1048576 G61:G135">
    <cfRule type="cellIs" dxfId="1299" priority="5235" operator="lessThan">
      <formula>0</formula>
    </cfRule>
  </conditionalFormatting>
  <conditionalFormatting sqref="F136:G1048576 G61:G135">
    <cfRule type="cellIs" dxfId="1298" priority="5234" operator="lessThan">
      <formula>0</formula>
    </cfRule>
  </conditionalFormatting>
  <conditionalFormatting sqref="F136:G1048576 G61:G135">
    <cfRule type="cellIs" dxfId="1297" priority="5233" operator="lessThan">
      <formula>0</formula>
    </cfRule>
  </conditionalFormatting>
  <conditionalFormatting sqref="F136:G1048576 G61:G135">
    <cfRule type="cellIs" dxfId="1296" priority="5232" operator="lessThan">
      <formula>0</formula>
    </cfRule>
  </conditionalFormatting>
  <conditionalFormatting sqref="F136:G1048576 G61:G135">
    <cfRule type="cellIs" dxfId="1295" priority="5231" operator="lessThan">
      <formula>0</formula>
    </cfRule>
  </conditionalFormatting>
  <conditionalFormatting sqref="F136:G1048576 G61:G135">
    <cfRule type="cellIs" dxfId="1294" priority="5230" operator="lessThan">
      <formula>0</formula>
    </cfRule>
  </conditionalFormatting>
  <conditionalFormatting sqref="F136:G1048576 G61:G135">
    <cfRule type="cellIs" dxfId="1293" priority="5229" operator="lessThan">
      <formula>0</formula>
    </cfRule>
  </conditionalFormatting>
  <conditionalFormatting sqref="F136:G1048576 G61:G135">
    <cfRule type="cellIs" dxfId="1292" priority="5228" operator="lessThan">
      <formula>0</formula>
    </cfRule>
  </conditionalFormatting>
  <conditionalFormatting sqref="F136:G1048576 G61:G135">
    <cfRule type="cellIs" dxfId="1291" priority="5227" operator="lessThan">
      <formula>0</formula>
    </cfRule>
  </conditionalFormatting>
  <conditionalFormatting sqref="F136:G1048576 G61:G135">
    <cfRule type="cellIs" dxfId="1290" priority="5226" operator="lessThan">
      <formula>0</formula>
    </cfRule>
  </conditionalFormatting>
  <conditionalFormatting sqref="F136:G1048576 G61:G135">
    <cfRule type="cellIs" dxfId="1289" priority="5225" operator="lessThan">
      <formula>0</formula>
    </cfRule>
  </conditionalFormatting>
  <conditionalFormatting sqref="F136:G1048576 G61:G135">
    <cfRule type="cellIs" dxfId="1288" priority="5224" operator="lessThan">
      <formula>0</formula>
    </cfRule>
  </conditionalFormatting>
  <conditionalFormatting sqref="F136:G1048576 G61:G135">
    <cfRule type="cellIs" dxfId="1287" priority="5223" operator="lessThan">
      <formula>0</formula>
    </cfRule>
  </conditionalFormatting>
  <conditionalFormatting sqref="F136:G1048576 G61:G135">
    <cfRule type="cellIs" dxfId="1286" priority="5222" operator="lessThan">
      <formula>0</formula>
    </cfRule>
  </conditionalFormatting>
  <conditionalFormatting sqref="F136:G1048576 G61:G135">
    <cfRule type="cellIs" dxfId="1285" priority="5221" operator="lessThan">
      <formula>0</formula>
    </cfRule>
  </conditionalFormatting>
  <conditionalFormatting sqref="F136:G1048576 G61:G135">
    <cfRule type="cellIs" dxfId="1284" priority="5220" operator="lessThan">
      <formula>0</formula>
    </cfRule>
  </conditionalFormatting>
  <conditionalFormatting sqref="F136:G1048576 G61:G135">
    <cfRule type="cellIs" dxfId="1283" priority="5219" operator="lessThan">
      <formula>0</formula>
    </cfRule>
  </conditionalFormatting>
  <conditionalFormatting sqref="F136:G1048576 G61:G135">
    <cfRule type="cellIs" dxfId="1282" priority="5218" operator="lessThan">
      <formula>0</formula>
    </cfRule>
  </conditionalFormatting>
  <conditionalFormatting sqref="F136:G1048576 G61:G135">
    <cfRule type="cellIs" dxfId="1281" priority="5217" operator="lessThan">
      <formula>0</formula>
    </cfRule>
  </conditionalFormatting>
  <conditionalFormatting sqref="F136:G1048576 G61:G135">
    <cfRule type="cellIs" dxfId="1280" priority="5216" operator="lessThan">
      <formula>0</formula>
    </cfRule>
  </conditionalFormatting>
  <conditionalFormatting sqref="G42">
    <cfRule type="cellIs" dxfId="1279" priority="4513" operator="lessThan">
      <formula>0</formula>
    </cfRule>
  </conditionalFormatting>
  <conditionalFormatting sqref="G42">
    <cfRule type="cellIs" dxfId="1278" priority="4512" operator="lessThan">
      <formula>0</formula>
    </cfRule>
  </conditionalFormatting>
  <conditionalFormatting sqref="G42">
    <cfRule type="cellIs" dxfId="1277" priority="4511" operator="lessThan">
      <formula>0</formula>
    </cfRule>
  </conditionalFormatting>
  <conditionalFormatting sqref="G42">
    <cfRule type="cellIs" dxfId="1276" priority="4510" operator="lessThan">
      <formula>0</formula>
    </cfRule>
  </conditionalFormatting>
  <conditionalFormatting sqref="G42">
    <cfRule type="cellIs" dxfId="1275" priority="4509" operator="lessThan">
      <formula>0</formula>
    </cfRule>
  </conditionalFormatting>
  <conditionalFormatting sqref="G42">
    <cfRule type="cellIs" dxfId="1274" priority="4508" operator="lessThan">
      <formula>0</formula>
    </cfRule>
  </conditionalFormatting>
  <conditionalFormatting sqref="G42">
    <cfRule type="cellIs" dxfId="1273" priority="4507" operator="lessThan">
      <formula>0</formula>
    </cfRule>
  </conditionalFormatting>
  <conditionalFormatting sqref="G42">
    <cfRule type="cellIs" dxfId="1272" priority="4506" operator="lessThan">
      <formula>0</formula>
    </cfRule>
  </conditionalFormatting>
  <conditionalFormatting sqref="G42">
    <cfRule type="cellIs" dxfId="1271" priority="4505" operator="lessThan">
      <formula>0</formula>
    </cfRule>
  </conditionalFormatting>
  <conditionalFormatting sqref="G42">
    <cfRule type="cellIs" dxfId="1270" priority="4504" operator="lessThan">
      <formula>0</formula>
    </cfRule>
  </conditionalFormatting>
  <conditionalFormatting sqref="G42">
    <cfRule type="cellIs" dxfId="1269" priority="4503" operator="lessThan">
      <formula>0</formula>
    </cfRule>
  </conditionalFormatting>
  <conditionalFormatting sqref="G42">
    <cfRule type="cellIs" dxfId="1268" priority="4502" operator="lessThan">
      <formula>0</formula>
    </cfRule>
  </conditionalFormatting>
  <conditionalFormatting sqref="G42">
    <cfRule type="cellIs" dxfId="1267" priority="4501" operator="lessThan">
      <formula>0</formula>
    </cfRule>
  </conditionalFormatting>
  <conditionalFormatting sqref="G42">
    <cfRule type="cellIs" dxfId="1266" priority="4500" operator="lessThan">
      <formula>0</formula>
    </cfRule>
  </conditionalFormatting>
  <conditionalFormatting sqref="G42">
    <cfRule type="cellIs" dxfId="1265" priority="4499" operator="lessThan">
      <formula>0</formula>
    </cfRule>
  </conditionalFormatting>
  <conditionalFormatting sqref="G42">
    <cfRule type="cellIs" dxfId="1264" priority="4498" operator="lessThan">
      <formula>0</formula>
    </cfRule>
  </conditionalFormatting>
  <conditionalFormatting sqref="G42">
    <cfRule type="cellIs" dxfId="1263" priority="4497" operator="lessThan">
      <formula>0</formula>
    </cfRule>
  </conditionalFormatting>
  <conditionalFormatting sqref="G42">
    <cfRule type="cellIs" dxfId="1262" priority="4496" operator="lessThan">
      <formula>0</formula>
    </cfRule>
  </conditionalFormatting>
  <conditionalFormatting sqref="G42">
    <cfRule type="cellIs" dxfId="1261" priority="4495" operator="lessThan">
      <formula>0</formula>
    </cfRule>
  </conditionalFormatting>
  <conditionalFormatting pivot="1" sqref="F13:F47">
    <cfRule type="cellIs" dxfId="1260" priority="3440" operator="lessThan">
      <formula>0</formula>
    </cfRule>
  </conditionalFormatting>
  <conditionalFormatting sqref="H86:H1048576">
    <cfRule type="cellIs" dxfId="1259" priority="3236" operator="lessThan">
      <formula>0</formula>
    </cfRule>
  </conditionalFormatting>
  <conditionalFormatting sqref="H86:H1048576">
    <cfRule type="cellIs" dxfId="1258" priority="3235" operator="lessThan">
      <formula>0</formula>
    </cfRule>
  </conditionalFormatting>
  <conditionalFormatting sqref="H86:H1048576">
    <cfRule type="cellIs" dxfId="1257" priority="3234" operator="lessThan">
      <formula>0</formula>
    </cfRule>
  </conditionalFormatting>
  <conditionalFormatting sqref="H86:H1048576">
    <cfRule type="cellIs" dxfId="1256" priority="3233" operator="lessThan">
      <formula>0</formula>
    </cfRule>
  </conditionalFormatting>
  <conditionalFormatting sqref="H86:H1048576">
    <cfRule type="cellIs" dxfId="1255" priority="3232" operator="lessThan">
      <formula>0</formula>
    </cfRule>
  </conditionalFormatting>
  <conditionalFormatting sqref="H86:H1048576">
    <cfRule type="cellIs" dxfId="1254" priority="3231" operator="lessThan">
      <formula>0</formula>
    </cfRule>
  </conditionalFormatting>
  <conditionalFormatting sqref="H86:H1048576">
    <cfRule type="cellIs" dxfId="1253" priority="3230" operator="lessThan">
      <formula>0</formula>
    </cfRule>
  </conditionalFormatting>
  <conditionalFormatting sqref="H86:H1048576">
    <cfRule type="cellIs" dxfId="1252" priority="3229" operator="lessThan">
      <formula>0</formula>
    </cfRule>
  </conditionalFormatting>
  <conditionalFormatting sqref="H86:H1048576">
    <cfRule type="cellIs" dxfId="1251" priority="3228" operator="lessThan">
      <formula>0</formula>
    </cfRule>
  </conditionalFormatting>
  <conditionalFormatting sqref="H86:H1048576">
    <cfRule type="cellIs" dxfId="1250" priority="3227" operator="lessThan">
      <formula>0</formula>
    </cfRule>
  </conditionalFormatting>
  <conditionalFormatting sqref="H86:H1048576">
    <cfRule type="cellIs" dxfId="1249" priority="3226" operator="lessThan">
      <formula>0</formula>
    </cfRule>
  </conditionalFormatting>
  <conditionalFormatting sqref="H86:H1048576">
    <cfRule type="cellIs" dxfId="1248" priority="3225" operator="lessThan">
      <formula>0</formula>
    </cfRule>
  </conditionalFormatting>
  <conditionalFormatting sqref="H86:H1048576">
    <cfRule type="cellIs" dxfId="1247" priority="3224" operator="lessThan">
      <formula>0</formula>
    </cfRule>
  </conditionalFormatting>
  <conditionalFormatting sqref="H86:H1048576">
    <cfRule type="cellIs" dxfId="1246" priority="3223" operator="lessThan">
      <formula>0</formula>
    </cfRule>
  </conditionalFormatting>
  <conditionalFormatting sqref="H86:H1048576">
    <cfRule type="cellIs" dxfId="1245" priority="3222" operator="lessThan">
      <formula>0</formula>
    </cfRule>
  </conditionalFormatting>
  <conditionalFormatting sqref="H86:H1048576">
    <cfRule type="cellIs" dxfId="1244" priority="3221" operator="lessThan">
      <formula>0</formula>
    </cfRule>
  </conditionalFormatting>
  <conditionalFormatting sqref="H86:H1048576">
    <cfRule type="cellIs" dxfId="1243" priority="3220" operator="lessThan">
      <formula>0</formula>
    </cfRule>
  </conditionalFormatting>
  <conditionalFormatting sqref="H86:H1048576">
    <cfRule type="cellIs" dxfId="1242" priority="3219" operator="lessThan">
      <formula>0</formula>
    </cfRule>
  </conditionalFormatting>
  <conditionalFormatting sqref="H86:H1048576">
    <cfRule type="cellIs" dxfId="1241" priority="3218" operator="lessThan">
      <formula>0</formula>
    </cfRule>
  </conditionalFormatting>
  <conditionalFormatting sqref="H86:H1048576">
    <cfRule type="cellIs" dxfId="1240" priority="3217" operator="lessThan">
      <formula>0</formula>
    </cfRule>
  </conditionalFormatting>
  <conditionalFormatting sqref="H86:H1048576">
    <cfRule type="cellIs" dxfId="1239" priority="3216" operator="lessThan">
      <formula>0</formula>
    </cfRule>
  </conditionalFormatting>
  <conditionalFormatting sqref="H86:H1048576">
    <cfRule type="cellIs" dxfId="1238" priority="3215" operator="lessThan">
      <formula>0</formula>
    </cfRule>
  </conditionalFormatting>
  <conditionalFormatting sqref="H86:H1048576">
    <cfRule type="cellIs" dxfId="1237" priority="3214" operator="lessThan">
      <formula>0</formula>
    </cfRule>
  </conditionalFormatting>
  <conditionalFormatting sqref="H86:H1048576">
    <cfRule type="cellIs" dxfId="1236" priority="3213" operator="lessThan">
      <formula>0</formula>
    </cfRule>
  </conditionalFormatting>
  <conditionalFormatting sqref="H86:H1048576">
    <cfRule type="cellIs" dxfId="1235" priority="3212" operator="lessThan">
      <formula>0</formula>
    </cfRule>
  </conditionalFormatting>
  <conditionalFormatting sqref="H86:H1048576">
    <cfRule type="cellIs" dxfId="1234" priority="3211" operator="lessThan">
      <formula>0</formula>
    </cfRule>
  </conditionalFormatting>
  <conditionalFormatting sqref="H86:H1048576">
    <cfRule type="cellIs" dxfId="1233" priority="3210" operator="lessThan">
      <formula>0</formula>
    </cfRule>
  </conditionalFormatting>
  <conditionalFormatting sqref="H86:H1048576">
    <cfRule type="cellIs" dxfId="1232" priority="3209" operator="lessThan">
      <formula>0</formula>
    </cfRule>
  </conditionalFormatting>
  <conditionalFormatting sqref="H86:H1048576">
    <cfRule type="cellIs" dxfId="1231" priority="3208" operator="lessThan">
      <formula>0</formula>
    </cfRule>
  </conditionalFormatting>
  <conditionalFormatting sqref="H86:H1048576">
    <cfRule type="cellIs" dxfId="1230" priority="3207" operator="lessThan">
      <formula>0</formula>
    </cfRule>
  </conditionalFormatting>
  <conditionalFormatting sqref="H86:H1048576">
    <cfRule type="cellIs" dxfId="1229" priority="3206" operator="lessThan">
      <formula>0</formula>
    </cfRule>
  </conditionalFormatting>
  <conditionalFormatting sqref="H86:H1048576">
    <cfRule type="cellIs" dxfId="1228" priority="3205" operator="lessThan">
      <formula>0</formula>
    </cfRule>
  </conditionalFormatting>
  <conditionalFormatting sqref="H86:H1048576">
    <cfRule type="cellIs" dxfId="1227" priority="3204" operator="lessThan">
      <formula>0</formula>
    </cfRule>
  </conditionalFormatting>
  <conditionalFormatting sqref="H86:H1048576">
    <cfRule type="cellIs" dxfId="1226" priority="3203" operator="lessThan">
      <formula>0</formula>
    </cfRule>
  </conditionalFormatting>
  <conditionalFormatting sqref="H86:H1048576">
    <cfRule type="cellIs" dxfId="1225" priority="3202" operator="lessThan">
      <formula>0</formula>
    </cfRule>
  </conditionalFormatting>
  <conditionalFormatting sqref="H86:H1048576">
    <cfRule type="cellIs" dxfId="1224" priority="3201" operator="lessThan">
      <formula>0</formula>
    </cfRule>
  </conditionalFormatting>
  <conditionalFormatting sqref="H86:H1048576">
    <cfRule type="cellIs" dxfId="1223" priority="3200" operator="lessThan">
      <formula>0</formula>
    </cfRule>
  </conditionalFormatting>
  <conditionalFormatting sqref="H86:H1048576">
    <cfRule type="cellIs" dxfId="1222" priority="3199" operator="lessThan">
      <formula>0</formula>
    </cfRule>
  </conditionalFormatting>
  <conditionalFormatting sqref="H86:H1048576">
    <cfRule type="cellIs" dxfId="1221" priority="3198" operator="lessThan">
      <formula>0</formula>
    </cfRule>
  </conditionalFormatting>
  <conditionalFormatting sqref="H86:H1048576">
    <cfRule type="cellIs" dxfId="1220" priority="3197" operator="lessThan">
      <formula>0</formula>
    </cfRule>
  </conditionalFormatting>
  <conditionalFormatting sqref="H86:H1048576">
    <cfRule type="cellIs" dxfId="1219" priority="3196" operator="lessThan">
      <formula>0</formula>
    </cfRule>
  </conditionalFormatting>
  <conditionalFormatting sqref="H86:H1048576">
    <cfRule type="cellIs" dxfId="1218" priority="3195" operator="lessThan">
      <formula>0</formula>
    </cfRule>
  </conditionalFormatting>
  <conditionalFormatting sqref="H86:H1048576">
    <cfRule type="cellIs" dxfId="1217" priority="3194" operator="lessThan">
      <formula>0</formula>
    </cfRule>
  </conditionalFormatting>
  <conditionalFormatting sqref="H86:H1048576">
    <cfRule type="cellIs" dxfId="1216" priority="3193" operator="lessThan">
      <formula>0</formula>
    </cfRule>
  </conditionalFormatting>
  <conditionalFormatting sqref="H86:H1048576">
    <cfRule type="cellIs" dxfId="1215" priority="3192" operator="lessThan">
      <formula>0</formula>
    </cfRule>
  </conditionalFormatting>
  <conditionalFormatting sqref="H86:H1048576">
    <cfRule type="cellIs" dxfId="1214" priority="3191" operator="lessThan">
      <formula>0</formula>
    </cfRule>
  </conditionalFormatting>
  <conditionalFormatting sqref="H86:H1048576">
    <cfRule type="cellIs" dxfId="1213" priority="3190" operator="lessThan">
      <formula>0</formula>
    </cfRule>
  </conditionalFormatting>
  <conditionalFormatting sqref="H86:H1048576">
    <cfRule type="cellIs" dxfId="1212" priority="3189" operator="lessThan">
      <formula>0</formula>
    </cfRule>
  </conditionalFormatting>
  <conditionalFormatting sqref="H86:H1048576">
    <cfRule type="cellIs" dxfId="1211" priority="3188" operator="lessThan">
      <formula>0</formula>
    </cfRule>
  </conditionalFormatting>
  <conditionalFormatting sqref="H86:H1048576">
    <cfRule type="cellIs" dxfId="1210" priority="3187" operator="lessThan">
      <formula>0</formula>
    </cfRule>
  </conditionalFormatting>
  <conditionalFormatting sqref="H86:H1048576">
    <cfRule type="cellIs" dxfId="1209" priority="3186" operator="lessThan">
      <formula>0</formula>
    </cfRule>
  </conditionalFormatting>
  <conditionalFormatting sqref="H86:H1048576">
    <cfRule type="cellIs" dxfId="1208" priority="3185" operator="lessThan">
      <formula>0</formula>
    </cfRule>
  </conditionalFormatting>
  <conditionalFormatting sqref="H86:H1048576">
    <cfRule type="cellIs" dxfId="1207" priority="3184" operator="lessThan">
      <formula>0</formula>
    </cfRule>
  </conditionalFormatting>
  <conditionalFormatting sqref="H86:H1048576">
    <cfRule type="cellIs" dxfId="1206" priority="3183" operator="lessThan">
      <formula>0</formula>
    </cfRule>
  </conditionalFormatting>
  <conditionalFormatting sqref="H86:H1048576">
    <cfRule type="cellIs" dxfId="1205" priority="3182" operator="lessThan">
      <formula>0</formula>
    </cfRule>
  </conditionalFormatting>
  <conditionalFormatting sqref="H86:H1048576">
    <cfRule type="cellIs" dxfId="1204" priority="3181" operator="lessThan">
      <formula>0</formula>
    </cfRule>
  </conditionalFormatting>
  <conditionalFormatting sqref="H86:H1048576">
    <cfRule type="cellIs" dxfId="1203" priority="3180" operator="lessThan">
      <formula>0</formula>
    </cfRule>
  </conditionalFormatting>
  <conditionalFormatting sqref="H86:H1048576">
    <cfRule type="cellIs" dxfId="1202" priority="3179" operator="lessThan">
      <formula>0</formula>
    </cfRule>
  </conditionalFormatting>
  <conditionalFormatting sqref="H86:H1048576">
    <cfRule type="cellIs" dxfId="1201" priority="3178" operator="lessThan">
      <formula>0</formula>
    </cfRule>
  </conditionalFormatting>
  <conditionalFormatting sqref="H86:H1048576">
    <cfRule type="cellIs" dxfId="1200" priority="3177" operator="lessThan">
      <formula>0</formula>
    </cfRule>
  </conditionalFormatting>
  <conditionalFormatting sqref="H86:H1048576">
    <cfRule type="cellIs" dxfId="1199" priority="3176" operator="lessThan">
      <formula>0</formula>
    </cfRule>
  </conditionalFormatting>
  <conditionalFormatting sqref="H86:H1048576">
    <cfRule type="cellIs" dxfId="1198" priority="3175" operator="lessThan">
      <formula>0</formula>
    </cfRule>
  </conditionalFormatting>
  <conditionalFormatting sqref="H86:H1048576">
    <cfRule type="cellIs" dxfId="1197" priority="3174" operator="lessThan">
      <formula>0</formula>
    </cfRule>
  </conditionalFormatting>
  <conditionalFormatting sqref="H86:H1048576">
    <cfRule type="cellIs" dxfId="1196" priority="3173" operator="lessThan">
      <formula>0</formula>
    </cfRule>
  </conditionalFormatting>
  <conditionalFormatting sqref="H86:H1048576">
    <cfRule type="cellIs" dxfId="1195" priority="3172" operator="lessThan">
      <formula>0</formula>
    </cfRule>
  </conditionalFormatting>
  <conditionalFormatting sqref="H86:H1048576">
    <cfRule type="cellIs" dxfId="1194" priority="3171" operator="lessThan">
      <formula>0</formula>
    </cfRule>
  </conditionalFormatting>
  <conditionalFormatting sqref="H86:H1048576">
    <cfRule type="cellIs" dxfId="1193" priority="3170" operator="lessThan">
      <formula>0</formula>
    </cfRule>
  </conditionalFormatting>
  <conditionalFormatting sqref="H86:H1048576">
    <cfRule type="cellIs" dxfId="1192" priority="3169" operator="lessThan">
      <formula>0</formula>
    </cfRule>
  </conditionalFormatting>
  <conditionalFormatting sqref="H86:H1048576">
    <cfRule type="cellIs" dxfId="1191" priority="3168" operator="lessThan">
      <formula>0</formula>
    </cfRule>
  </conditionalFormatting>
  <conditionalFormatting sqref="H86:H1048576">
    <cfRule type="cellIs" dxfId="1190" priority="3167" operator="lessThan">
      <formula>0</formula>
    </cfRule>
  </conditionalFormatting>
  <conditionalFormatting sqref="H86:H1048576">
    <cfRule type="cellIs" dxfId="1189" priority="3166" operator="lessThan">
      <formula>0</formula>
    </cfRule>
  </conditionalFormatting>
  <conditionalFormatting sqref="H86:H1048576">
    <cfRule type="cellIs" dxfId="1188" priority="3165" operator="lessThan">
      <formula>0</formula>
    </cfRule>
  </conditionalFormatting>
  <conditionalFormatting sqref="H86:H1048576">
    <cfRule type="cellIs" dxfId="1187" priority="3164" operator="lessThan">
      <formula>0</formula>
    </cfRule>
  </conditionalFormatting>
  <conditionalFormatting sqref="H86:H1048576">
    <cfRule type="cellIs" dxfId="1186" priority="3163" operator="lessThan">
      <formula>0</formula>
    </cfRule>
  </conditionalFormatting>
  <conditionalFormatting sqref="H86:H1048576">
    <cfRule type="cellIs" dxfId="1185" priority="3162" operator="lessThan">
      <formula>0</formula>
    </cfRule>
  </conditionalFormatting>
  <conditionalFormatting sqref="H86:H1048576">
    <cfRule type="cellIs" dxfId="1184" priority="3161" operator="lessThan">
      <formula>0</formula>
    </cfRule>
  </conditionalFormatting>
  <conditionalFormatting sqref="H86:H1048576">
    <cfRule type="cellIs" dxfId="1183" priority="3160" operator="lessThan">
      <formula>0</formula>
    </cfRule>
  </conditionalFormatting>
  <conditionalFormatting sqref="H86:H1048576">
    <cfRule type="cellIs" dxfId="1182" priority="3159" operator="lessThan">
      <formula>0</formula>
    </cfRule>
  </conditionalFormatting>
  <conditionalFormatting sqref="H86:H1048576">
    <cfRule type="cellIs" dxfId="1181" priority="3158" operator="lessThan">
      <formula>0</formula>
    </cfRule>
  </conditionalFormatting>
  <conditionalFormatting sqref="H86:H1048576">
    <cfRule type="cellIs" dxfId="1180" priority="3157" operator="lessThan">
      <formula>0</formula>
    </cfRule>
  </conditionalFormatting>
  <conditionalFormatting sqref="H86:H1048576">
    <cfRule type="cellIs" dxfId="1179" priority="3156" operator="lessThan">
      <formula>0</formula>
    </cfRule>
  </conditionalFormatting>
  <conditionalFormatting sqref="H86:H1048576">
    <cfRule type="cellIs" dxfId="1178" priority="3155" operator="lessThan">
      <formula>0</formula>
    </cfRule>
  </conditionalFormatting>
  <conditionalFormatting sqref="H86:H1048576">
    <cfRule type="cellIs" dxfId="1177" priority="3154" operator="lessThan">
      <formula>0</formula>
    </cfRule>
  </conditionalFormatting>
  <conditionalFormatting sqref="H86:H1048576">
    <cfRule type="cellIs" dxfId="1176" priority="3153" operator="lessThan">
      <formula>0</formula>
    </cfRule>
  </conditionalFormatting>
  <conditionalFormatting sqref="H86:H1048576">
    <cfRule type="cellIs" dxfId="1175" priority="3152" operator="lessThan">
      <formula>0</formula>
    </cfRule>
  </conditionalFormatting>
  <conditionalFormatting sqref="H86:H1048576">
    <cfRule type="cellIs" dxfId="1174" priority="3151" operator="lessThan">
      <formula>0</formula>
    </cfRule>
  </conditionalFormatting>
  <conditionalFormatting sqref="H86:H1048576">
    <cfRule type="cellIs" dxfId="1173" priority="3150" operator="lessThan">
      <formula>0</formula>
    </cfRule>
  </conditionalFormatting>
  <conditionalFormatting sqref="H86:H1048576">
    <cfRule type="cellIs" dxfId="1172" priority="3149" operator="lessThan">
      <formula>0</formula>
    </cfRule>
  </conditionalFormatting>
  <conditionalFormatting sqref="H86:H1048576">
    <cfRule type="cellIs" dxfId="1171" priority="3148" operator="lessThan">
      <formula>0</formula>
    </cfRule>
  </conditionalFormatting>
  <conditionalFormatting sqref="H86:H1048576">
    <cfRule type="cellIs" dxfId="1170" priority="3147" operator="lessThan">
      <formula>0</formula>
    </cfRule>
  </conditionalFormatting>
  <conditionalFormatting sqref="H86:H1048576">
    <cfRule type="cellIs" dxfId="1169" priority="3146" operator="lessThan">
      <formula>0</formula>
    </cfRule>
  </conditionalFormatting>
  <conditionalFormatting sqref="H86:H1048576">
    <cfRule type="cellIs" dxfId="1168" priority="3145" operator="lessThan">
      <formula>0</formula>
    </cfRule>
  </conditionalFormatting>
  <conditionalFormatting sqref="H86:H1048576">
    <cfRule type="cellIs" dxfId="1167" priority="3144" operator="lessThan">
      <formula>0</formula>
    </cfRule>
  </conditionalFormatting>
  <conditionalFormatting sqref="H86:H1048576">
    <cfRule type="cellIs" dxfId="1166" priority="3143" operator="lessThan">
      <formula>0</formula>
    </cfRule>
  </conditionalFormatting>
  <conditionalFormatting sqref="H86:H1048576">
    <cfRule type="cellIs" dxfId="1165" priority="3142" operator="lessThan">
      <formula>0</formula>
    </cfRule>
  </conditionalFormatting>
  <conditionalFormatting sqref="H86:H1048576">
    <cfRule type="cellIs" dxfId="1164" priority="3141" operator="lessThan">
      <formula>0</formula>
    </cfRule>
  </conditionalFormatting>
  <conditionalFormatting sqref="H86:H1048576">
    <cfRule type="cellIs" dxfId="1163" priority="3140" operator="lessThan">
      <formula>0</formula>
    </cfRule>
  </conditionalFormatting>
  <conditionalFormatting sqref="H86:H1048576">
    <cfRule type="cellIs" dxfId="1162" priority="3139" operator="lessThan">
      <formula>0</formula>
    </cfRule>
  </conditionalFormatting>
  <conditionalFormatting sqref="H86:H1048576">
    <cfRule type="cellIs" dxfId="1161" priority="3138" operator="lessThan">
      <formula>0</formula>
    </cfRule>
  </conditionalFormatting>
  <conditionalFormatting sqref="H86:H1048576">
    <cfRule type="cellIs" dxfId="1160" priority="3137" operator="lessThan">
      <formula>0</formula>
    </cfRule>
  </conditionalFormatting>
  <conditionalFormatting sqref="H86:H1048576">
    <cfRule type="cellIs" dxfId="1159" priority="3136" operator="lessThan">
      <formula>0</formula>
    </cfRule>
  </conditionalFormatting>
  <conditionalFormatting sqref="H86:H1048576">
    <cfRule type="cellIs" dxfId="1158" priority="3135" operator="lessThan">
      <formula>0</formula>
    </cfRule>
  </conditionalFormatting>
  <conditionalFormatting sqref="H86:H1048576">
    <cfRule type="cellIs" dxfId="1157" priority="3134" operator="lessThan">
      <formula>0</formula>
    </cfRule>
  </conditionalFormatting>
  <conditionalFormatting sqref="H86:H1048576">
    <cfRule type="cellIs" dxfId="1156" priority="3133" operator="lessThan">
      <formula>0</formula>
    </cfRule>
  </conditionalFormatting>
  <conditionalFormatting sqref="H86:H1048576">
    <cfRule type="cellIs" dxfId="1155" priority="3132" operator="lessThan">
      <formula>0</formula>
    </cfRule>
  </conditionalFormatting>
  <conditionalFormatting sqref="H86:H1048576">
    <cfRule type="cellIs" dxfId="1154" priority="3131" operator="lessThan">
      <formula>0</formula>
    </cfRule>
  </conditionalFormatting>
  <conditionalFormatting sqref="H86:H1048576">
    <cfRule type="cellIs" dxfId="1153" priority="3130" operator="lessThan">
      <formula>0</formula>
    </cfRule>
  </conditionalFormatting>
  <conditionalFormatting sqref="H86:H1048576">
    <cfRule type="cellIs" dxfId="1152" priority="3129" operator="lessThan">
      <formula>0</formula>
    </cfRule>
  </conditionalFormatting>
  <conditionalFormatting sqref="H86:H1048576">
    <cfRule type="cellIs" dxfId="1151" priority="3128" operator="lessThan">
      <formula>0</formula>
    </cfRule>
  </conditionalFormatting>
  <conditionalFormatting sqref="H86:H1048576">
    <cfRule type="cellIs" dxfId="1150" priority="3127" operator="lessThan">
      <formula>0</formula>
    </cfRule>
  </conditionalFormatting>
  <conditionalFormatting sqref="H86:H1048576">
    <cfRule type="cellIs" dxfId="1149" priority="3126" operator="lessThan">
      <formula>0</formula>
    </cfRule>
  </conditionalFormatting>
  <conditionalFormatting sqref="H86:H1048576">
    <cfRule type="cellIs" dxfId="1148" priority="3125" operator="lessThan">
      <formula>0</formula>
    </cfRule>
  </conditionalFormatting>
  <conditionalFormatting sqref="H86:H1048576">
    <cfRule type="cellIs" dxfId="1147" priority="3124" operator="lessThan">
      <formula>0</formula>
    </cfRule>
  </conditionalFormatting>
  <conditionalFormatting sqref="H86:H1048576">
    <cfRule type="cellIs" dxfId="1146" priority="3123" operator="lessThan">
      <formula>0</formula>
    </cfRule>
  </conditionalFormatting>
  <conditionalFormatting sqref="H86:H1048576">
    <cfRule type="cellIs" dxfId="1145" priority="3122" operator="lessThan">
      <formula>0</formula>
    </cfRule>
  </conditionalFormatting>
  <conditionalFormatting sqref="H86:H1048576">
    <cfRule type="cellIs" dxfId="1144" priority="3121" operator="lessThan">
      <formula>0</formula>
    </cfRule>
  </conditionalFormatting>
  <conditionalFormatting sqref="H86:H1048576">
    <cfRule type="cellIs" dxfId="1143" priority="3120" operator="lessThan">
      <formula>0</formula>
    </cfRule>
  </conditionalFormatting>
  <conditionalFormatting sqref="H86:H1048576">
    <cfRule type="cellIs" dxfId="1142" priority="3119" operator="lessThan">
      <formula>0</formula>
    </cfRule>
  </conditionalFormatting>
  <conditionalFormatting sqref="H86:H1048576">
    <cfRule type="cellIs" dxfId="1141" priority="3118" operator="lessThan">
      <formula>0</formula>
    </cfRule>
  </conditionalFormatting>
  <conditionalFormatting sqref="H86:H1048576">
    <cfRule type="cellIs" dxfId="1140" priority="3117" operator="lessThan">
      <formula>0</formula>
    </cfRule>
  </conditionalFormatting>
  <conditionalFormatting sqref="H86:H1048576">
    <cfRule type="cellIs" dxfId="1139" priority="3116" operator="lessThan">
      <formula>0</formula>
    </cfRule>
  </conditionalFormatting>
  <conditionalFormatting sqref="H86:H1048576">
    <cfRule type="cellIs" dxfId="1138" priority="3115" operator="lessThan">
      <formula>0</formula>
    </cfRule>
  </conditionalFormatting>
  <conditionalFormatting sqref="H86:H1048576">
    <cfRule type="cellIs" dxfId="1137" priority="3114" operator="lessThan">
      <formula>0</formula>
    </cfRule>
  </conditionalFormatting>
  <conditionalFormatting sqref="H86:H1048576">
    <cfRule type="cellIs" dxfId="1136" priority="3113" operator="lessThan">
      <formula>0</formula>
    </cfRule>
  </conditionalFormatting>
  <conditionalFormatting sqref="H86:H1048576">
    <cfRule type="cellIs" dxfId="1135" priority="3112" operator="lessThan">
      <formula>0</formula>
    </cfRule>
  </conditionalFormatting>
  <conditionalFormatting sqref="H86:H1048576">
    <cfRule type="cellIs" dxfId="1134" priority="3111" operator="lessThan">
      <formula>0</formula>
    </cfRule>
  </conditionalFormatting>
  <conditionalFormatting sqref="H86:H1048576">
    <cfRule type="cellIs" dxfId="1133" priority="3110" operator="lessThan">
      <formula>0</formula>
    </cfRule>
  </conditionalFormatting>
  <conditionalFormatting sqref="H86:H1048576">
    <cfRule type="cellIs" dxfId="1132" priority="3109" operator="lessThan">
      <formula>0</formula>
    </cfRule>
  </conditionalFormatting>
  <conditionalFormatting sqref="H86:H1048576">
    <cfRule type="cellIs" dxfId="1131" priority="3108" operator="lessThan">
      <formula>0</formula>
    </cfRule>
  </conditionalFormatting>
  <conditionalFormatting sqref="H86:H1048576">
    <cfRule type="cellIs" dxfId="1130" priority="3107" operator="lessThan">
      <formula>0</formula>
    </cfRule>
  </conditionalFormatting>
  <conditionalFormatting sqref="H86:H1048576">
    <cfRule type="cellIs" dxfId="1129" priority="3106" operator="lessThan">
      <formula>0</formula>
    </cfRule>
  </conditionalFormatting>
  <conditionalFormatting sqref="H86:H1048576">
    <cfRule type="cellIs" dxfId="1128" priority="3105" operator="lessThan">
      <formula>0</formula>
    </cfRule>
  </conditionalFormatting>
  <conditionalFormatting sqref="H86:H1048576">
    <cfRule type="cellIs" dxfId="1127" priority="3104" operator="lessThan">
      <formula>0</formula>
    </cfRule>
  </conditionalFormatting>
  <conditionalFormatting sqref="H86:H1048576">
    <cfRule type="cellIs" dxfId="1126" priority="3103" operator="lessThan">
      <formula>0</formula>
    </cfRule>
  </conditionalFormatting>
  <conditionalFormatting sqref="H86:H1048576">
    <cfRule type="cellIs" dxfId="1125" priority="3102" operator="lessThan">
      <formula>0</formula>
    </cfRule>
  </conditionalFormatting>
  <conditionalFormatting sqref="H86:H1048576">
    <cfRule type="cellIs" dxfId="1124" priority="3101" operator="lessThan">
      <formula>0</formula>
    </cfRule>
  </conditionalFormatting>
  <conditionalFormatting sqref="H86:H1048576">
    <cfRule type="cellIs" dxfId="1123" priority="3100" operator="lessThan">
      <formula>0</formula>
    </cfRule>
  </conditionalFormatting>
  <conditionalFormatting sqref="H86:H1048576">
    <cfRule type="cellIs" dxfId="1122" priority="3099" operator="lessThan">
      <formula>0</formula>
    </cfRule>
  </conditionalFormatting>
  <conditionalFormatting sqref="H86:H1048576">
    <cfRule type="cellIs" dxfId="1121" priority="3098" operator="lessThan">
      <formula>0</formula>
    </cfRule>
  </conditionalFormatting>
  <conditionalFormatting sqref="H86:H1048576">
    <cfRule type="cellIs" dxfId="1120" priority="3097" operator="lessThan">
      <formula>0</formula>
    </cfRule>
  </conditionalFormatting>
  <conditionalFormatting sqref="H86:H1048576">
    <cfRule type="cellIs" dxfId="1119" priority="3096" operator="lessThan">
      <formula>0</formula>
    </cfRule>
  </conditionalFormatting>
  <conditionalFormatting sqref="H86:H1048576">
    <cfRule type="cellIs" dxfId="1118" priority="3095" operator="lessThan">
      <formula>0</formula>
    </cfRule>
  </conditionalFormatting>
  <conditionalFormatting sqref="H86:H1048576">
    <cfRule type="cellIs" dxfId="1117" priority="3094" operator="lessThan">
      <formula>0</formula>
    </cfRule>
  </conditionalFormatting>
  <conditionalFormatting sqref="H86:H1048576">
    <cfRule type="cellIs" dxfId="1116" priority="3093" operator="lessThan">
      <formula>0</formula>
    </cfRule>
  </conditionalFormatting>
  <conditionalFormatting sqref="H86:H1048576">
    <cfRule type="cellIs" dxfId="1115" priority="3092" operator="lessThan">
      <formula>0</formula>
    </cfRule>
  </conditionalFormatting>
  <conditionalFormatting sqref="H86:H1048576">
    <cfRule type="cellIs" dxfId="1114" priority="3091" operator="lessThan">
      <formula>0</formula>
    </cfRule>
  </conditionalFormatting>
  <conditionalFormatting sqref="H86:H1048576">
    <cfRule type="cellIs" dxfId="1113" priority="3090" operator="lessThan">
      <formula>0</formula>
    </cfRule>
  </conditionalFormatting>
  <conditionalFormatting sqref="H86:H1048576">
    <cfRule type="cellIs" dxfId="1112" priority="3089" operator="lessThan">
      <formula>0</formula>
    </cfRule>
  </conditionalFormatting>
  <conditionalFormatting sqref="H86:H1048576">
    <cfRule type="cellIs" dxfId="1111" priority="3088" operator="lessThan">
      <formula>0</formula>
    </cfRule>
  </conditionalFormatting>
  <conditionalFormatting sqref="H86:H1048576">
    <cfRule type="cellIs" dxfId="1110" priority="3087" operator="lessThan">
      <formula>0</formula>
    </cfRule>
  </conditionalFormatting>
  <conditionalFormatting sqref="H86:H1048576">
    <cfRule type="cellIs" dxfId="1109" priority="3086" operator="lessThan">
      <formula>0</formula>
    </cfRule>
  </conditionalFormatting>
  <conditionalFormatting sqref="H86:H1048576">
    <cfRule type="cellIs" dxfId="1108" priority="3085" operator="lessThan">
      <formula>0</formula>
    </cfRule>
  </conditionalFormatting>
  <conditionalFormatting sqref="H86:H1048576">
    <cfRule type="cellIs" dxfId="1107" priority="3084" operator="lessThan">
      <formula>0</formula>
    </cfRule>
  </conditionalFormatting>
  <conditionalFormatting sqref="H86:H1048576">
    <cfRule type="cellIs" dxfId="1106" priority="3083" operator="lessThan">
      <formula>0</formula>
    </cfRule>
  </conditionalFormatting>
  <conditionalFormatting sqref="H86:H1048576">
    <cfRule type="cellIs" dxfId="1105" priority="3082" operator="lessThan">
      <formula>0</formula>
    </cfRule>
  </conditionalFormatting>
  <conditionalFormatting sqref="H86:H1048576">
    <cfRule type="cellIs" dxfId="1104" priority="3081" operator="lessThan">
      <formula>0</formula>
    </cfRule>
  </conditionalFormatting>
  <conditionalFormatting sqref="H86:H1048576">
    <cfRule type="cellIs" dxfId="1103" priority="3080" operator="lessThan">
      <formula>0</formula>
    </cfRule>
  </conditionalFormatting>
  <conditionalFormatting sqref="H86:H1048576">
    <cfRule type="cellIs" dxfId="1102" priority="3079" operator="lessThan">
      <formula>0</formula>
    </cfRule>
  </conditionalFormatting>
  <conditionalFormatting sqref="H86:H1048576">
    <cfRule type="cellIs" dxfId="1101" priority="3078" operator="lessThan">
      <formula>0</formula>
    </cfRule>
  </conditionalFormatting>
  <conditionalFormatting sqref="H86:H1048576">
    <cfRule type="cellIs" dxfId="1100" priority="3077" operator="lessThan">
      <formula>0</formula>
    </cfRule>
  </conditionalFormatting>
  <conditionalFormatting sqref="H86:H1048576">
    <cfRule type="cellIs" dxfId="1099" priority="3076" operator="lessThan">
      <formula>0</formula>
    </cfRule>
  </conditionalFormatting>
  <conditionalFormatting sqref="H86:H1048576">
    <cfRule type="cellIs" dxfId="1098" priority="3075" operator="lessThan">
      <formula>0</formula>
    </cfRule>
  </conditionalFormatting>
  <conditionalFormatting sqref="H86:H1048576">
    <cfRule type="cellIs" dxfId="1097" priority="3074" operator="lessThan">
      <formula>0</formula>
    </cfRule>
  </conditionalFormatting>
  <conditionalFormatting sqref="H86:H1048576">
    <cfRule type="cellIs" dxfId="1096" priority="3073" operator="lessThan">
      <formula>0</formula>
    </cfRule>
  </conditionalFormatting>
  <conditionalFormatting sqref="H86:H1048576">
    <cfRule type="cellIs" dxfId="1095" priority="3072" operator="lessThan">
      <formula>0</formula>
    </cfRule>
  </conditionalFormatting>
  <conditionalFormatting sqref="H86:H1048576">
    <cfRule type="cellIs" dxfId="1094" priority="3071" operator="lessThan">
      <formula>0</formula>
    </cfRule>
  </conditionalFormatting>
  <conditionalFormatting sqref="H86:H1048576">
    <cfRule type="cellIs" dxfId="1093" priority="3070" operator="lessThan">
      <formula>0</formula>
    </cfRule>
  </conditionalFormatting>
  <conditionalFormatting sqref="H86:H1048576">
    <cfRule type="cellIs" dxfId="1092" priority="3069" operator="lessThan">
      <formula>0</formula>
    </cfRule>
  </conditionalFormatting>
  <conditionalFormatting sqref="H86:H1048576">
    <cfRule type="cellIs" dxfId="1091" priority="3068" operator="lessThan">
      <formula>0</formula>
    </cfRule>
  </conditionalFormatting>
  <conditionalFormatting sqref="H86:H1048576">
    <cfRule type="cellIs" dxfId="1090" priority="3067" operator="lessThan">
      <formula>0</formula>
    </cfRule>
  </conditionalFormatting>
  <conditionalFormatting sqref="H86:H1048576">
    <cfRule type="cellIs" dxfId="1089" priority="3066" operator="lessThan">
      <formula>0</formula>
    </cfRule>
  </conditionalFormatting>
  <conditionalFormatting sqref="H86:H1048576">
    <cfRule type="cellIs" dxfId="1088" priority="3065" operator="lessThan">
      <formula>0</formula>
    </cfRule>
  </conditionalFormatting>
  <conditionalFormatting sqref="H86:H1048576">
    <cfRule type="cellIs" dxfId="1087" priority="3064" operator="lessThan">
      <formula>0</formula>
    </cfRule>
  </conditionalFormatting>
  <conditionalFormatting sqref="H86:H1048576">
    <cfRule type="cellIs" dxfId="1086" priority="3063" operator="lessThan">
      <formula>0</formula>
    </cfRule>
  </conditionalFormatting>
  <conditionalFormatting sqref="H86:H1048576">
    <cfRule type="cellIs" dxfId="1085" priority="3062" operator="lessThan">
      <formula>0</formula>
    </cfRule>
  </conditionalFormatting>
  <conditionalFormatting sqref="H86:H1048576">
    <cfRule type="cellIs" dxfId="1084" priority="3061" operator="lessThan">
      <formula>0</formula>
    </cfRule>
  </conditionalFormatting>
  <conditionalFormatting sqref="H86:H1048576">
    <cfRule type="cellIs" dxfId="1083" priority="3060" operator="lessThan">
      <formula>0</formula>
    </cfRule>
  </conditionalFormatting>
  <conditionalFormatting sqref="H86:H1048576">
    <cfRule type="cellIs" dxfId="1082" priority="3059" operator="lessThan">
      <formula>0</formula>
    </cfRule>
  </conditionalFormatting>
  <conditionalFormatting sqref="H86:H1048576">
    <cfRule type="cellIs" dxfId="1081" priority="3058" operator="lessThan">
      <formula>0</formula>
    </cfRule>
  </conditionalFormatting>
  <conditionalFormatting sqref="H86:H1048576">
    <cfRule type="cellIs" dxfId="1080" priority="3057" operator="lessThan">
      <formula>0</formula>
    </cfRule>
  </conditionalFormatting>
  <conditionalFormatting sqref="H86:H1048576">
    <cfRule type="cellIs" dxfId="1079" priority="3056" operator="lessThan">
      <formula>0</formula>
    </cfRule>
  </conditionalFormatting>
  <conditionalFormatting sqref="H86:H1048576">
    <cfRule type="cellIs" dxfId="1078" priority="3055" operator="lessThan">
      <formula>0</formula>
    </cfRule>
  </conditionalFormatting>
  <conditionalFormatting sqref="H86:H1048576">
    <cfRule type="cellIs" dxfId="1077" priority="3054" operator="lessThan">
      <formula>0</formula>
    </cfRule>
  </conditionalFormatting>
  <conditionalFormatting sqref="H86:H1048576">
    <cfRule type="cellIs" dxfId="1076" priority="3053" operator="lessThan">
      <formula>0</formula>
    </cfRule>
  </conditionalFormatting>
  <conditionalFormatting sqref="H86:H1048576">
    <cfRule type="cellIs" dxfId="1075" priority="3052" operator="lessThan">
      <formula>0</formula>
    </cfRule>
  </conditionalFormatting>
  <conditionalFormatting sqref="H86:H1048576">
    <cfRule type="cellIs" dxfId="1074" priority="3051" operator="lessThan">
      <formula>0</formula>
    </cfRule>
  </conditionalFormatting>
  <conditionalFormatting sqref="H86:H1048576">
    <cfRule type="cellIs" dxfId="1073" priority="3050" operator="lessThan">
      <formula>0</formula>
    </cfRule>
  </conditionalFormatting>
  <conditionalFormatting sqref="H86:H1048576">
    <cfRule type="cellIs" dxfId="1072" priority="3049" operator="lessThan">
      <formula>0</formula>
    </cfRule>
  </conditionalFormatting>
  <conditionalFormatting sqref="H86:H1048576">
    <cfRule type="cellIs" dxfId="1071" priority="3048" operator="lessThan">
      <formula>0</formula>
    </cfRule>
  </conditionalFormatting>
  <conditionalFormatting sqref="H86:H1048576">
    <cfRule type="cellIs" dxfId="1070" priority="3047" operator="lessThan">
      <formula>0</formula>
    </cfRule>
  </conditionalFormatting>
  <conditionalFormatting sqref="H86:H1048576">
    <cfRule type="cellIs" dxfId="1069" priority="3046" operator="lessThan">
      <formula>0</formula>
    </cfRule>
  </conditionalFormatting>
  <conditionalFormatting sqref="H86:H1048576">
    <cfRule type="cellIs" dxfId="1068" priority="3045" operator="lessThan">
      <formula>0</formula>
    </cfRule>
  </conditionalFormatting>
  <conditionalFormatting sqref="H86:H1048576">
    <cfRule type="cellIs" dxfId="1067" priority="3044" operator="lessThan">
      <formula>0</formula>
    </cfRule>
  </conditionalFormatting>
  <conditionalFormatting sqref="H86:H1048576">
    <cfRule type="cellIs" dxfId="1066" priority="3043" operator="lessThan">
      <formula>0</formula>
    </cfRule>
  </conditionalFormatting>
  <conditionalFormatting sqref="H86:H1048576">
    <cfRule type="cellIs" dxfId="1065" priority="3042" operator="lessThan">
      <formula>0</formula>
    </cfRule>
  </conditionalFormatting>
  <conditionalFormatting sqref="H86:H1048576">
    <cfRule type="cellIs" dxfId="1064" priority="3041" operator="lessThan">
      <formula>0</formula>
    </cfRule>
  </conditionalFormatting>
  <conditionalFormatting sqref="H86:H1048576">
    <cfRule type="cellIs" dxfId="1063" priority="3040" operator="lessThan">
      <formula>0</formula>
    </cfRule>
  </conditionalFormatting>
  <conditionalFormatting sqref="H86:H1048576">
    <cfRule type="cellIs" dxfId="1062" priority="3039" operator="lessThan">
      <formula>0</formula>
    </cfRule>
  </conditionalFormatting>
  <conditionalFormatting sqref="H86:H1048576">
    <cfRule type="cellIs" dxfId="1061" priority="3038" operator="lessThan">
      <formula>0</formula>
    </cfRule>
  </conditionalFormatting>
  <conditionalFormatting sqref="H86:H1048576">
    <cfRule type="cellIs" dxfId="1060" priority="3037" operator="lessThan">
      <formula>0</formula>
    </cfRule>
  </conditionalFormatting>
  <conditionalFormatting sqref="H86:H1048576">
    <cfRule type="cellIs" dxfId="1059" priority="3036" operator="lessThan">
      <formula>0</formula>
    </cfRule>
  </conditionalFormatting>
  <conditionalFormatting sqref="H86:H1048576">
    <cfRule type="cellIs" dxfId="1058" priority="3035" operator="lessThan">
      <formula>0</formula>
    </cfRule>
  </conditionalFormatting>
  <conditionalFormatting sqref="H86:H1048576">
    <cfRule type="cellIs" dxfId="1057" priority="3034" operator="lessThan">
      <formula>0</formula>
    </cfRule>
  </conditionalFormatting>
  <conditionalFormatting sqref="H86:H1048576">
    <cfRule type="cellIs" dxfId="1056" priority="3033" operator="lessThan">
      <formula>0</formula>
    </cfRule>
  </conditionalFormatting>
  <conditionalFormatting sqref="H86:H1048576">
    <cfRule type="cellIs" dxfId="1055" priority="3032" operator="lessThan">
      <formula>0</formula>
    </cfRule>
  </conditionalFormatting>
  <conditionalFormatting sqref="H86:H1048576">
    <cfRule type="cellIs" dxfId="1054" priority="3031" operator="lessThan">
      <formula>0</formula>
    </cfRule>
  </conditionalFormatting>
  <conditionalFormatting sqref="H86:H1048576">
    <cfRule type="cellIs" dxfId="1053" priority="3030" operator="lessThan">
      <formula>0</formula>
    </cfRule>
  </conditionalFormatting>
  <conditionalFormatting sqref="H86:H1048576">
    <cfRule type="cellIs" dxfId="1052" priority="3029" operator="lessThan">
      <formula>0</formula>
    </cfRule>
  </conditionalFormatting>
  <conditionalFormatting sqref="H86:H1048576">
    <cfRule type="cellIs" dxfId="1051" priority="3028" operator="lessThan">
      <formula>0</formula>
    </cfRule>
  </conditionalFormatting>
  <conditionalFormatting sqref="H86:H1048576">
    <cfRule type="cellIs" dxfId="1050" priority="3027" operator="lessThan">
      <formula>0</formula>
    </cfRule>
  </conditionalFormatting>
  <conditionalFormatting sqref="H86:H1048576">
    <cfRule type="cellIs" dxfId="1049" priority="3026" operator="lessThan">
      <formula>0</formula>
    </cfRule>
  </conditionalFormatting>
  <conditionalFormatting sqref="H86:H1048576">
    <cfRule type="cellIs" dxfId="1048" priority="3025" operator="lessThan">
      <formula>0</formula>
    </cfRule>
  </conditionalFormatting>
  <conditionalFormatting sqref="H86:H1048576">
    <cfRule type="cellIs" dxfId="1047" priority="3024" operator="lessThan">
      <formula>0</formula>
    </cfRule>
  </conditionalFormatting>
  <conditionalFormatting sqref="H86:H1048576">
    <cfRule type="cellIs" dxfId="1046" priority="3023" operator="lessThan">
      <formula>0</formula>
    </cfRule>
  </conditionalFormatting>
  <conditionalFormatting sqref="H86:H1048576">
    <cfRule type="cellIs" dxfId="1045" priority="3022" operator="lessThan">
      <formula>0</formula>
    </cfRule>
  </conditionalFormatting>
  <conditionalFormatting sqref="H86:H1048576">
    <cfRule type="cellIs" dxfId="1044" priority="3021" operator="lessThan">
      <formula>0</formula>
    </cfRule>
  </conditionalFormatting>
  <conditionalFormatting sqref="H86:H1048576">
    <cfRule type="cellIs" dxfId="1043" priority="3020" operator="lessThan">
      <formula>0</formula>
    </cfRule>
  </conditionalFormatting>
  <conditionalFormatting sqref="H86:H1048576">
    <cfRule type="cellIs" dxfId="1042" priority="3019" operator="lessThan">
      <formula>0</formula>
    </cfRule>
  </conditionalFormatting>
  <conditionalFormatting sqref="H86:H1048576">
    <cfRule type="cellIs" dxfId="1041" priority="3018" operator="lessThan">
      <formula>0</formula>
    </cfRule>
  </conditionalFormatting>
  <conditionalFormatting sqref="H86:H1048576">
    <cfRule type="cellIs" dxfId="1040" priority="3017" operator="lessThan">
      <formula>0</formula>
    </cfRule>
  </conditionalFormatting>
  <conditionalFormatting sqref="H86:H1048576">
    <cfRule type="cellIs" dxfId="1039" priority="3016" operator="lessThan">
      <formula>0</formula>
    </cfRule>
  </conditionalFormatting>
  <conditionalFormatting sqref="H86:H1048576">
    <cfRule type="cellIs" dxfId="1038" priority="3015" operator="lessThan">
      <formula>0</formula>
    </cfRule>
  </conditionalFormatting>
  <conditionalFormatting sqref="H86:H1048576">
    <cfRule type="cellIs" dxfId="1037" priority="3014" operator="lessThan">
      <formula>0</formula>
    </cfRule>
  </conditionalFormatting>
  <conditionalFormatting sqref="H86:H1048576">
    <cfRule type="cellIs" dxfId="1036" priority="3013" operator="lessThan">
      <formula>0</formula>
    </cfRule>
  </conditionalFormatting>
  <conditionalFormatting sqref="H86:H1048576">
    <cfRule type="cellIs" dxfId="1035" priority="3012" operator="lessThan">
      <formula>0</formula>
    </cfRule>
  </conditionalFormatting>
  <conditionalFormatting sqref="H86:H1048576">
    <cfRule type="cellIs" dxfId="1034" priority="3011" operator="lessThan">
      <formula>0</formula>
    </cfRule>
  </conditionalFormatting>
  <conditionalFormatting sqref="H86:H1048576">
    <cfRule type="cellIs" dxfId="1033" priority="3010" operator="lessThan">
      <formula>0</formula>
    </cfRule>
  </conditionalFormatting>
  <conditionalFormatting sqref="H86:H1048576">
    <cfRule type="cellIs" dxfId="1032" priority="3009" operator="lessThan">
      <formula>0</formula>
    </cfRule>
  </conditionalFormatting>
  <conditionalFormatting sqref="H86:H1048576">
    <cfRule type="cellIs" dxfId="1031" priority="3008" operator="lessThan">
      <formula>0</formula>
    </cfRule>
  </conditionalFormatting>
  <conditionalFormatting sqref="H86:H1048576">
    <cfRule type="cellIs" dxfId="1030" priority="3007" operator="lessThan">
      <formula>0</formula>
    </cfRule>
  </conditionalFormatting>
  <conditionalFormatting sqref="H86:H1048576">
    <cfRule type="cellIs" dxfId="1029" priority="3006" operator="lessThan">
      <formula>0</formula>
    </cfRule>
  </conditionalFormatting>
  <conditionalFormatting sqref="H86:H1048576">
    <cfRule type="cellIs" dxfId="1028" priority="3005" operator="lessThan">
      <formula>0</formula>
    </cfRule>
  </conditionalFormatting>
  <conditionalFormatting sqref="H86:H1048576">
    <cfRule type="cellIs" dxfId="1027" priority="3004" operator="lessThan">
      <formula>0</formula>
    </cfRule>
  </conditionalFormatting>
  <conditionalFormatting sqref="H86:H1048576">
    <cfRule type="cellIs" dxfId="1026" priority="3003" operator="lessThan">
      <formula>0</formula>
    </cfRule>
  </conditionalFormatting>
  <conditionalFormatting sqref="H86:H1048576">
    <cfRule type="cellIs" dxfId="1025" priority="3002" operator="lessThan">
      <formula>0</formula>
    </cfRule>
  </conditionalFormatting>
  <conditionalFormatting sqref="H86:H1048576">
    <cfRule type="cellIs" dxfId="1024" priority="3001" operator="lessThan">
      <formula>0</formula>
    </cfRule>
  </conditionalFormatting>
  <conditionalFormatting sqref="H86:H1048576">
    <cfRule type="cellIs" dxfId="1023" priority="3000" operator="lessThan">
      <formula>0</formula>
    </cfRule>
  </conditionalFormatting>
  <conditionalFormatting sqref="H86:H1048576">
    <cfRule type="cellIs" dxfId="1022" priority="2999" operator="lessThan">
      <formula>0</formula>
    </cfRule>
  </conditionalFormatting>
  <conditionalFormatting sqref="H86:H1048576">
    <cfRule type="cellIs" dxfId="1021" priority="2998" operator="lessThan">
      <formula>0</formula>
    </cfRule>
  </conditionalFormatting>
  <conditionalFormatting sqref="H86:H1048576">
    <cfRule type="cellIs" dxfId="1020" priority="2997" operator="lessThan">
      <formula>0</formula>
    </cfRule>
  </conditionalFormatting>
  <conditionalFormatting sqref="H86:H1048576">
    <cfRule type="cellIs" dxfId="1019" priority="2996" operator="lessThan">
      <formula>0</formula>
    </cfRule>
  </conditionalFormatting>
  <conditionalFormatting sqref="H86:H1048576">
    <cfRule type="cellIs" dxfId="1018" priority="2995" operator="lessThan">
      <formula>0</formula>
    </cfRule>
  </conditionalFormatting>
  <conditionalFormatting sqref="H86:H1048576">
    <cfRule type="cellIs" dxfId="1017" priority="2994" operator="lessThan">
      <formula>0</formula>
    </cfRule>
  </conditionalFormatting>
  <conditionalFormatting sqref="H86:H1048576">
    <cfRule type="cellIs" dxfId="1016" priority="2993" operator="lessThan">
      <formula>0</formula>
    </cfRule>
  </conditionalFormatting>
  <conditionalFormatting sqref="H86:H1048576">
    <cfRule type="cellIs" dxfId="1015" priority="2992" operator="lessThan">
      <formula>0</formula>
    </cfRule>
  </conditionalFormatting>
  <conditionalFormatting sqref="H86:H1048576">
    <cfRule type="cellIs" dxfId="1014" priority="2991" operator="lessThan">
      <formula>0</formula>
    </cfRule>
  </conditionalFormatting>
  <conditionalFormatting sqref="H86:H1048576">
    <cfRule type="cellIs" dxfId="1013" priority="2990" operator="lessThan">
      <formula>0</formula>
    </cfRule>
  </conditionalFormatting>
  <conditionalFormatting sqref="H86:H1048576">
    <cfRule type="cellIs" dxfId="1012" priority="2989" operator="lessThan">
      <formula>0</formula>
    </cfRule>
  </conditionalFormatting>
  <conditionalFormatting sqref="H86:H1048576">
    <cfRule type="cellIs" dxfId="1011" priority="2988" operator="lessThan">
      <formula>0</formula>
    </cfRule>
  </conditionalFormatting>
  <conditionalFormatting sqref="H86:H1048576">
    <cfRule type="cellIs" dxfId="1010" priority="2987" operator="lessThan">
      <formula>0</formula>
    </cfRule>
  </conditionalFormatting>
  <conditionalFormatting sqref="H86:H1048576">
    <cfRule type="cellIs" dxfId="1009" priority="2986" operator="lessThan">
      <formula>0</formula>
    </cfRule>
  </conditionalFormatting>
  <conditionalFormatting sqref="H86:H1048576">
    <cfRule type="cellIs" dxfId="1008" priority="2985" operator="lessThan">
      <formula>0</formula>
    </cfRule>
  </conditionalFormatting>
  <conditionalFormatting sqref="H86:H1048576">
    <cfRule type="cellIs" dxfId="1007" priority="2984" operator="lessThan">
      <formula>0</formula>
    </cfRule>
  </conditionalFormatting>
  <conditionalFormatting sqref="H10:H1048576">
    <cfRule type="cellIs" dxfId="1006" priority="2983" operator="lessThan">
      <formula>0</formula>
    </cfRule>
  </conditionalFormatting>
  <conditionalFormatting sqref="H10:H1048576">
    <cfRule type="cellIs" dxfId="1005" priority="2982" operator="lessThan">
      <formula>0</formula>
    </cfRule>
  </conditionalFormatting>
  <conditionalFormatting sqref="H10:H1048576">
    <cfRule type="cellIs" dxfId="1004" priority="2981" operator="lessThan">
      <formula>0</formula>
    </cfRule>
  </conditionalFormatting>
  <conditionalFormatting sqref="H10:H1048576">
    <cfRule type="cellIs" dxfId="1003" priority="2980" operator="lessThan">
      <formula>0</formula>
    </cfRule>
  </conditionalFormatting>
  <conditionalFormatting sqref="H10:H1048576">
    <cfRule type="cellIs" dxfId="1002" priority="2979" operator="lessThan">
      <formula>0</formula>
    </cfRule>
  </conditionalFormatting>
  <conditionalFormatting sqref="H10:H1048576">
    <cfRule type="cellIs" dxfId="1001" priority="2978" operator="lessThan">
      <formula>0</formula>
    </cfRule>
  </conditionalFormatting>
  <conditionalFormatting sqref="H10:H1048576">
    <cfRule type="cellIs" dxfId="1000" priority="2977" operator="lessThan">
      <formula>0</formula>
    </cfRule>
  </conditionalFormatting>
  <conditionalFormatting sqref="H10:H1048576">
    <cfRule type="cellIs" dxfId="999" priority="2976" operator="lessThan">
      <formula>0</formula>
    </cfRule>
  </conditionalFormatting>
  <conditionalFormatting sqref="H10:H1048576">
    <cfRule type="cellIs" dxfId="998" priority="2975" operator="lessThan">
      <formula>0</formula>
    </cfRule>
  </conditionalFormatting>
  <conditionalFormatting sqref="H10:H1048576">
    <cfRule type="cellIs" dxfId="997" priority="2974" operator="lessThan">
      <formula>0</formula>
    </cfRule>
  </conditionalFormatting>
  <conditionalFormatting sqref="H10:H1048576">
    <cfRule type="cellIs" dxfId="996" priority="2973" operator="lessThan">
      <formula>0</formula>
    </cfRule>
  </conditionalFormatting>
  <conditionalFormatting sqref="H10:H1048576">
    <cfRule type="cellIs" dxfId="995" priority="2972" operator="lessThan">
      <formula>0</formula>
    </cfRule>
  </conditionalFormatting>
  <conditionalFormatting sqref="H10:H1048576">
    <cfRule type="cellIs" dxfId="994" priority="2971" operator="lessThan">
      <formula>0</formula>
    </cfRule>
  </conditionalFormatting>
  <conditionalFormatting sqref="H10:H1048576">
    <cfRule type="cellIs" dxfId="993" priority="2970" operator="lessThan">
      <formula>0</formula>
    </cfRule>
  </conditionalFormatting>
  <conditionalFormatting sqref="H10:H1048576">
    <cfRule type="cellIs" dxfId="992" priority="2969" operator="lessThan">
      <formula>0</formula>
    </cfRule>
  </conditionalFormatting>
  <conditionalFormatting sqref="H10:H1048576">
    <cfRule type="cellIs" dxfId="991" priority="2968" operator="lessThan">
      <formula>0</formula>
    </cfRule>
  </conditionalFormatting>
  <conditionalFormatting sqref="H10:H1048576">
    <cfRule type="cellIs" dxfId="990" priority="2967" operator="lessThan">
      <formula>0</formula>
    </cfRule>
  </conditionalFormatting>
  <conditionalFormatting sqref="H10:H1048576">
    <cfRule type="cellIs" dxfId="989" priority="2966" operator="lessThan">
      <formula>0</formula>
    </cfRule>
  </conditionalFormatting>
  <conditionalFormatting sqref="H10:H1048576">
    <cfRule type="cellIs" dxfId="988" priority="2965" operator="lessThan">
      <formula>0</formula>
    </cfRule>
  </conditionalFormatting>
  <conditionalFormatting sqref="H10:H1048576">
    <cfRule type="cellIs" dxfId="987" priority="2964" operator="lessThan">
      <formula>0</formula>
    </cfRule>
  </conditionalFormatting>
  <conditionalFormatting sqref="H10:H1048576">
    <cfRule type="cellIs" dxfId="986" priority="2963" operator="lessThan">
      <formula>0</formula>
    </cfRule>
  </conditionalFormatting>
  <conditionalFormatting sqref="H10:H1048576">
    <cfRule type="cellIs" dxfId="985" priority="2962" operator="lessThan">
      <formula>0</formula>
    </cfRule>
  </conditionalFormatting>
  <conditionalFormatting sqref="H10:H1048576">
    <cfRule type="cellIs" dxfId="984" priority="2961" operator="lessThan">
      <formula>0</formula>
    </cfRule>
  </conditionalFormatting>
  <conditionalFormatting sqref="H10:H1048576">
    <cfRule type="cellIs" dxfId="983" priority="2960" operator="lessThan">
      <formula>0</formula>
    </cfRule>
  </conditionalFormatting>
  <conditionalFormatting sqref="H10:H1048576">
    <cfRule type="cellIs" dxfId="982" priority="2959" operator="lessThan">
      <formula>0</formula>
    </cfRule>
  </conditionalFormatting>
  <conditionalFormatting sqref="H10:H1048576">
    <cfRule type="cellIs" dxfId="981" priority="2958" operator="lessThan">
      <formula>0</formula>
    </cfRule>
  </conditionalFormatting>
  <conditionalFormatting sqref="H10:H1048576">
    <cfRule type="cellIs" dxfId="980" priority="2957" operator="lessThan">
      <formula>0</formula>
    </cfRule>
  </conditionalFormatting>
  <conditionalFormatting sqref="H10:H1048576">
    <cfRule type="cellIs" dxfId="979" priority="2956" operator="lessThan">
      <formula>0</formula>
    </cfRule>
  </conditionalFormatting>
  <conditionalFormatting sqref="H10:H1048576">
    <cfRule type="cellIs" dxfId="978" priority="2955" operator="lessThan">
      <formula>0</formula>
    </cfRule>
  </conditionalFormatting>
  <conditionalFormatting sqref="H10:H1048576">
    <cfRule type="cellIs" dxfId="977" priority="2954" operator="lessThan">
      <formula>0</formula>
    </cfRule>
  </conditionalFormatting>
  <conditionalFormatting sqref="H10:H1048576">
    <cfRule type="cellIs" dxfId="976" priority="2953" operator="lessThan">
      <formula>0</formula>
    </cfRule>
  </conditionalFormatting>
  <conditionalFormatting sqref="H10:H1048576">
    <cfRule type="cellIs" dxfId="975" priority="2952" operator="lessThan">
      <formula>0</formula>
    </cfRule>
  </conditionalFormatting>
  <conditionalFormatting sqref="H10:H1048576">
    <cfRule type="cellIs" dxfId="974" priority="2951" operator="lessThan">
      <formula>0</formula>
    </cfRule>
  </conditionalFormatting>
  <conditionalFormatting sqref="H10:H1048576">
    <cfRule type="cellIs" dxfId="973" priority="2950" operator="lessThan">
      <formula>0</formula>
    </cfRule>
  </conditionalFormatting>
  <conditionalFormatting sqref="H10:H1048576">
    <cfRule type="cellIs" dxfId="972" priority="2949" operator="lessThan">
      <formula>0</formula>
    </cfRule>
  </conditionalFormatting>
  <conditionalFormatting sqref="H10:H1048576">
    <cfRule type="cellIs" dxfId="971" priority="2948" operator="lessThan">
      <formula>0</formula>
    </cfRule>
  </conditionalFormatting>
  <conditionalFormatting sqref="H10:H1048576">
    <cfRule type="cellIs" dxfId="970" priority="2947" operator="lessThan">
      <formula>0</formula>
    </cfRule>
  </conditionalFormatting>
  <conditionalFormatting sqref="H10:H1048576">
    <cfRule type="cellIs" dxfId="969" priority="2946" operator="lessThan">
      <formula>0</formula>
    </cfRule>
  </conditionalFormatting>
  <conditionalFormatting sqref="H10:H1048576">
    <cfRule type="cellIs" dxfId="968" priority="2945" operator="lessThan">
      <formula>0</formula>
    </cfRule>
  </conditionalFormatting>
  <conditionalFormatting sqref="H10:H1048576">
    <cfRule type="cellIs" dxfId="967" priority="2944" operator="lessThan">
      <formula>0</formula>
    </cfRule>
  </conditionalFormatting>
  <conditionalFormatting sqref="H10:H1048576">
    <cfRule type="cellIs" dxfId="966" priority="2943" operator="lessThan">
      <formula>0</formula>
    </cfRule>
  </conditionalFormatting>
  <conditionalFormatting sqref="H10:H1048576">
    <cfRule type="cellIs" dxfId="965" priority="2942" operator="lessThan">
      <formula>0</formula>
    </cfRule>
  </conditionalFormatting>
  <conditionalFormatting sqref="H10:H1048576">
    <cfRule type="cellIs" dxfId="964" priority="2941" operator="lessThan">
      <formula>0</formula>
    </cfRule>
  </conditionalFormatting>
  <conditionalFormatting sqref="H10:H1048576">
    <cfRule type="cellIs" dxfId="963" priority="2940" operator="lessThan">
      <formula>0</formula>
    </cfRule>
  </conditionalFormatting>
  <conditionalFormatting sqref="H10:H1048576">
    <cfRule type="cellIs" dxfId="962" priority="2939" operator="lessThan">
      <formula>0</formula>
    </cfRule>
  </conditionalFormatting>
  <conditionalFormatting sqref="H10:H1048576">
    <cfRule type="cellIs" dxfId="961" priority="2938" operator="lessThan">
      <formula>0</formula>
    </cfRule>
  </conditionalFormatting>
  <conditionalFormatting sqref="H10:H1048576">
    <cfRule type="cellIs" dxfId="960" priority="2937" operator="lessThan">
      <formula>0</formula>
    </cfRule>
  </conditionalFormatting>
  <conditionalFormatting sqref="H10:H1048576">
    <cfRule type="cellIs" dxfId="959" priority="2936" operator="lessThan">
      <formula>0</formula>
    </cfRule>
  </conditionalFormatting>
  <conditionalFormatting sqref="H10:H1048576">
    <cfRule type="cellIs" dxfId="958" priority="2935" operator="lessThan">
      <formula>0</formula>
    </cfRule>
  </conditionalFormatting>
  <conditionalFormatting sqref="H10:H1048576">
    <cfRule type="cellIs" dxfId="957" priority="2934" operator="lessThan">
      <formula>0</formula>
    </cfRule>
  </conditionalFormatting>
  <conditionalFormatting sqref="H10:H1048576">
    <cfRule type="cellIs" dxfId="956" priority="2933" operator="lessThan">
      <formula>0</formula>
    </cfRule>
  </conditionalFormatting>
  <conditionalFormatting sqref="H10:H1048576">
    <cfRule type="cellIs" dxfId="955" priority="2932" operator="lessThan">
      <formula>0</formula>
    </cfRule>
  </conditionalFormatting>
  <conditionalFormatting sqref="H10:H1048576">
    <cfRule type="cellIs" dxfId="954" priority="2931" operator="lessThan">
      <formula>0</formula>
    </cfRule>
  </conditionalFormatting>
  <conditionalFormatting sqref="H10:H1048576">
    <cfRule type="cellIs" dxfId="953" priority="2930" operator="lessThan">
      <formula>0</formula>
    </cfRule>
  </conditionalFormatting>
  <conditionalFormatting sqref="H10:H1048576">
    <cfRule type="cellIs" dxfId="952" priority="2929" operator="lessThan">
      <formula>0</formula>
    </cfRule>
  </conditionalFormatting>
  <conditionalFormatting sqref="H10:H1048576">
    <cfRule type="cellIs" dxfId="951" priority="2928" operator="lessThan">
      <formula>0</formula>
    </cfRule>
  </conditionalFormatting>
  <conditionalFormatting sqref="H10:H1048576">
    <cfRule type="cellIs" dxfId="950" priority="2927" operator="lessThan">
      <formula>0</formula>
    </cfRule>
  </conditionalFormatting>
  <conditionalFormatting sqref="H10:H1048576">
    <cfRule type="cellIs" dxfId="949" priority="2926" operator="lessThan">
      <formula>0</formula>
    </cfRule>
  </conditionalFormatting>
  <conditionalFormatting sqref="H10:H1048576">
    <cfRule type="cellIs" dxfId="948" priority="2925" operator="lessThan">
      <formula>0</formula>
    </cfRule>
  </conditionalFormatting>
  <conditionalFormatting sqref="H10:H1048576">
    <cfRule type="cellIs" dxfId="947" priority="2924" operator="lessThan">
      <formula>0</formula>
    </cfRule>
  </conditionalFormatting>
  <conditionalFormatting sqref="H10:H1048576">
    <cfRule type="cellIs" dxfId="946" priority="2923" operator="lessThan">
      <formula>0</formula>
    </cfRule>
  </conditionalFormatting>
  <conditionalFormatting sqref="H10:H1048576">
    <cfRule type="cellIs" dxfId="945" priority="2922" operator="lessThan">
      <formula>0</formula>
    </cfRule>
  </conditionalFormatting>
  <conditionalFormatting sqref="H10:H1048576">
    <cfRule type="cellIs" dxfId="944" priority="2921" operator="lessThan">
      <formula>0</formula>
    </cfRule>
  </conditionalFormatting>
  <conditionalFormatting sqref="H10:H1048576">
    <cfRule type="cellIs" dxfId="943" priority="2920" operator="lessThan">
      <formula>0</formula>
    </cfRule>
  </conditionalFormatting>
  <conditionalFormatting sqref="H10:H1048576">
    <cfRule type="cellIs" dxfId="942" priority="2919" operator="lessThan">
      <formula>0</formula>
    </cfRule>
  </conditionalFormatting>
  <conditionalFormatting sqref="H10:H1048576">
    <cfRule type="cellIs" dxfId="941" priority="2918" operator="lessThan">
      <formula>0</formula>
    </cfRule>
  </conditionalFormatting>
  <conditionalFormatting sqref="H10:H1048576">
    <cfRule type="cellIs" dxfId="940" priority="2917" operator="lessThan">
      <formula>0</formula>
    </cfRule>
  </conditionalFormatting>
  <conditionalFormatting sqref="H10:H1048576">
    <cfRule type="cellIs" dxfId="939" priority="2916" operator="lessThan">
      <formula>0</formula>
    </cfRule>
  </conditionalFormatting>
  <conditionalFormatting sqref="H10:H1048576">
    <cfRule type="cellIs" dxfId="938" priority="2915" operator="lessThan">
      <formula>0</formula>
    </cfRule>
  </conditionalFormatting>
  <conditionalFormatting sqref="H10:H1048576">
    <cfRule type="cellIs" dxfId="937" priority="2914" operator="lessThan">
      <formula>0</formula>
    </cfRule>
  </conditionalFormatting>
  <conditionalFormatting sqref="H10:H1048576">
    <cfRule type="cellIs" dxfId="936" priority="2913" operator="lessThan">
      <formula>0</formula>
    </cfRule>
  </conditionalFormatting>
  <conditionalFormatting sqref="H10:H1048576">
    <cfRule type="cellIs" dxfId="935" priority="2912" operator="lessThan">
      <formula>0</formula>
    </cfRule>
  </conditionalFormatting>
  <conditionalFormatting sqref="H10:H1048576">
    <cfRule type="cellIs" dxfId="934" priority="2911" operator="lessThan">
      <formula>0</formula>
    </cfRule>
  </conditionalFormatting>
  <conditionalFormatting sqref="H10:H1048576">
    <cfRule type="cellIs" dxfId="933" priority="2910" operator="lessThan">
      <formula>0</formula>
    </cfRule>
  </conditionalFormatting>
  <conditionalFormatting sqref="H10:H1048576">
    <cfRule type="cellIs" dxfId="932" priority="2909" operator="lessThan">
      <formula>0</formula>
    </cfRule>
  </conditionalFormatting>
  <conditionalFormatting sqref="H10:H1048576">
    <cfRule type="cellIs" dxfId="931" priority="2908" operator="lessThan">
      <formula>0</formula>
    </cfRule>
  </conditionalFormatting>
  <conditionalFormatting sqref="H10:H1048576">
    <cfRule type="cellIs" dxfId="930" priority="2907" operator="lessThan">
      <formula>0</formula>
    </cfRule>
  </conditionalFormatting>
  <conditionalFormatting sqref="H10:H1048576">
    <cfRule type="cellIs" dxfId="929" priority="2906" operator="lessThan">
      <formula>0</formula>
    </cfRule>
  </conditionalFormatting>
  <conditionalFormatting sqref="H10:H1048576">
    <cfRule type="cellIs" dxfId="928" priority="2905" operator="lessThan">
      <formula>0</formula>
    </cfRule>
  </conditionalFormatting>
  <conditionalFormatting sqref="H10:H1048576">
    <cfRule type="cellIs" dxfId="927" priority="2904" operator="lessThan">
      <formula>0</formula>
    </cfRule>
  </conditionalFormatting>
  <conditionalFormatting sqref="H10:H1048576">
    <cfRule type="cellIs" dxfId="926" priority="2903" operator="lessThan">
      <formula>0</formula>
    </cfRule>
  </conditionalFormatting>
  <conditionalFormatting sqref="H10:H1048576">
    <cfRule type="cellIs" dxfId="925" priority="2902" operator="lessThan">
      <formula>0</formula>
    </cfRule>
  </conditionalFormatting>
  <conditionalFormatting sqref="H10:H1048576">
    <cfRule type="cellIs" dxfId="924" priority="2901" operator="lessThan">
      <formula>0</formula>
    </cfRule>
  </conditionalFormatting>
  <conditionalFormatting sqref="H10:H1048576">
    <cfRule type="cellIs" dxfId="923" priority="2900" operator="lessThan">
      <formula>0</formula>
    </cfRule>
  </conditionalFormatting>
  <conditionalFormatting sqref="H10:H1048576">
    <cfRule type="cellIs" dxfId="922" priority="2899" operator="lessThan">
      <formula>0</formula>
    </cfRule>
  </conditionalFormatting>
  <conditionalFormatting sqref="H10:H1048576">
    <cfRule type="cellIs" dxfId="921" priority="2898" operator="lessThan">
      <formula>0</formula>
    </cfRule>
  </conditionalFormatting>
  <conditionalFormatting sqref="H10:H1048576">
    <cfRule type="cellIs" dxfId="920" priority="2897" operator="lessThan">
      <formula>0</formula>
    </cfRule>
  </conditionalFormatting>
  <conditionalFormatting sqref="H10:H1048576">
    <cfRule type="cellIs" dxfId="919" priority="2896" operator="lessThan">
      <formula>0</formula>
    </cfRule>
  </conditionalFormatting>
  <conditionalFormatting sqref="H10:H1048576">
    <cfRule type="cellIs" dxfId="918" priority="2895" operator="lessThan">
      <formula>0</formula>
    </cfRule>
  </conditionalFormatting>
  <conditionalFormatting sqref="H10:H1048576">
    <cfRule type="cellIs" dxfId="917" priority="2894" operator="lessThan">
      <formula>0</formula>
    </cfRule>
  </conditionalFormatting>
  <conditionalFormatting sqref="H10:H1048576">
    <cfRule type="cellIs" dxfId="916" priority="2893" operator="lessThan">
      <formula>0</formula>
    </cfRule>
  </conditionalFormatting>
  <conditionalFormatting sqref="H10:H1048576">
    <cfRule type="cellIs" dxfId="915" priority="2892" operator="lessThan">
      <formula>0</formula>
    </cfRule>
  </conditionalFormatting>
  <conditionalFormatting sqref="H10:H1048576">
    <cfRule type="cellIs" dxfId="914" priority="2891" operator="lessThan">
      <formula>0</formula>
    </cfRule>
  </conditionalFormatting>
  <conditionalFormatting sqref="H10:H1048576">
    <cfRule type="cellIs" dxfId="913" priority="2890" operator="lessThan">
      <formula>0</formula>
    </cfRule>
  </conditionalFormatting>
  <conditionalFormatting sqref="H10:H1048576">
    <cfRule type="cellIs" dxfId="912" priority="2889" operator="lessThan">
      <formula>0</formula>
    </cfRule>
  </conditionalFormatting>
  <conditionalFormatting sqref="H10:H1048576">
    <cfRule type="cellIs" dxfId="911" priority="2888" operator="lessThan">
      <formula>0</formula>
    </cfRule>
  </conditionalFormatting>
  <conditionalFormatting sqref="H10:H1048576">
    <cfRule type="cellIs" dxfId="910" priority="2887" operator="lessThan">
      <formula>0</formula>
    </cfRule>
  </conditionalFormatting>
  <conditionalFormatting sqref="H10:H1048576">
    <cfRule type="cellIs" dxfId="909" priority="2886" operator="lessThan">
      <formula>0</formula>
    </cfRule>
  </conditionalFormatting>
  <conditionalFormatting sqref="H10:H1048576">
    <cfRule type="cellIs" dxfId="908" priority="2885" operator="lessThan">
      <formula>0</formula>
    </cfRule>
  </conditionalFormatting>
  <conditionalFormatting sqref="H10:H1048576">
    <cfRule type="cellIs" dxfId="907" priority="2884" operator="lessThan">
      <formula>0</formula>
    </cfRule>
  </conditionalFormatting>
  <conditionalFormatting sqref="H10:H1048576">
    <cfRule type="cellIs" dxfId="906" priority="2883" operator="lessThan">
      <formula>0</formula>
    </cfRule>
  </conditionalFormatting>
  <conditionalFormatting sqref="H10:H1048576">
    <cfRule type="cellIs" dxfId="905" priority="2882" operator="lessThan">
      <formula>0</formula>
    </cfRule>
  </conditionalFormatting>
  <conditionalFormatting sqref="H10:H1048576">
    <cfRule type="cellIs" dxfId="904" priority="2881" operator="lessThan">
      <formula>0</formula>
    </cfRule>
  </conditionalFormatting>
  <conditionalFormatting sqref="H10:H1048576">
    <cfRule type="cellIs" dxfId="903" priority="2880" operator="lessThan">
      <formula>0</formula>
    </cfRule>
  </conditionalFormatting>
  <conditionalFormatting sqref="H10:H1048576">
    <cfRule type="cellIs" dxfId="902" priority="2879" operator="lessThan">
      <formula>0</formula>
    </cfRule>
  </conditionalFormatting>
  <conditionalFormatting sqref="H10:H1048576">
    <cfRule type="cellIs" dxfId="901" priority="2878" operator="lessThan">
      <formula>0</formula>
    </cfRule>
  </conditionalFormatting>
  <conditionalFormatting sqref="H10:H1048576">
    <cfRule type="cellIs" dxfId="900" priority="2877" operator="lessThan">
      <formula>0</formula>
    </cfRule>
  </conditionalFormatting>
  <conditionalFormatting sqref="H10:H1048576">
    <cfRule type="cellIs" dxfId="899" priority="2876" operator="lessThan">
      <formula>0</formula>
    </cfRule>
  </conditionalFormatting>
  <conditionalFormatting sqref="H10:H1048576">
    <cfRule type="cellIs" dxfId="898" priority="2875" operator="lessThan">
      <formula>0</formula>
    </cfRule>
  </conditionalFormatting>
  <conditionalFormatting sqref="H10:H1048576">
    <cfRule type="cellIs" dxfId="897" priority="2874" operator="lessThan">
      <formula>0</formula>
    </cfRule>
  </conditionalFormatting>
  <conditionalFormatting sqref="H10:H1048576">
    <cfRule type="cellIs" dxfId="896" priority="2873" operator="lessThan">
      <formula>0</formula>
    </cfRule>
  </conditionalFormatting>
  <conditionalFormatting sqref="H10:H1048576">
    <cfRule type="cellIs" dxfId="895" priority="2872" operator="lessThan">
      <formula>0</formula>
    </cfRule>
  </conditionalFormatting>
  <conditionalFormatting sqref="H10:H1048576">
    <cfRule type="cellIs" dxfId="894" priority="2871" operator="lessThan">
      <formula>0</formula>
    </cfRule>
  </conditionalFormatting>
  <conditionalFormatting sqref="H10:H1048576">
    <cfRule type="cellIs" dxfId="893" priority="2870" operator="lessThan">
      <formula>0</formula>
    </cfRule>
  </conditionalFormatting>
  <conditionalFormatting sqref="H10:H1048576">
    <cfRule type="cellIs" dxfId="892" priority="2869" operator="lessThan">
      <formula>0</formula>
    </cfRule>
  </conditionalFormatting>
  <conditionalFormatting sqref="H10:H1048576">
    <cfRule type="cellIs" dxfId="891" priority="2868" operator="lessThan">
      <formula>0</formula>
    </cfRule>
  </conditionalFormatting>
  <conditionalFormatting sqref="H10:H1048576">
    <cfRule type="cellIs" dxfId="890" priority="2867" operator="lessThan">
      <formula>0</formula>
    </cfRule>
  </conditionalFormatting>
  <conditionalFormatting sqref="H10:H1048576">
    <cfRule type="cellIs" dxfId="889" priority="2866" operator="lessThan">
      <formula>0</formula>
    </cfRule>
  </conditionalFormatting>
  <conditionalFormatting sqref="H10:H1048576">
    <cfRule type="cellIs" dxfId="888" priority="2865" operator="lessThan">
      <formula>0</formula>
    </cfRule>
  </conditionalFormatting>
  <conditionalFormatting sqref="H10:H1048576">
    <cfRule type="cellIs" dxfId="887" priority="2864" operator="lessThan">
      <formula>0</formula>
    </cfRule>
  </conditionalFormatting>
  <conditionalFormatting sqref="H10:H1048576">
    <cfRule type="cellIs" dxfId="886" priority="2863" operator="lessThan">
      <formula>0</formula>
    </cfRule>
  </conditionalFormatting>
  <conditionalFormatting sqref="H10:H1048576">
    <cfRule type="cellIs" dxfId="885" priority="2862" operator="lessThan">
      <formula>0</formula>
    </cfRule>
  </conditionalFormatting>
  <conditionalFormatting sqref="H10:H1048576">
    <cfRule type="cellIs" dxfId="884" priority="2861" operator="lessThan">
      <formula>0</formula>
    </cfRule>
  </conditionalFormatting>
  <conditionalFormatting sqref="H10:H1048576">
    <cfRule type="cellIs" dxfId="883" priority="2860" operator="lessThan">
      <formula>0</formula>
    </cfRule>
  </conditionalFormatting>
  <conditionalFormatting sqref="H10:H1048576">
    <cfRule type="cellIs" dxfId="882" priority="2859" operator="lessThan">
      <formula>0</formula>
    </cfRule>
  </conditionalFormatting>
  <conditionalFormatting sqref="H10:H1048576">
    <cfRule type="cellIs" dxfId="881" priority="2858" operator="lessThan">
      <formula>0</formula>
    </cfRule>
  </conditionalFormatting>
  <conditionalFormatting sqref="H10:H1048576">
    <cfRule type="cellIs" dxfId="880" priority="2857" operator="lessThan">
      <formula>0</formula>
    </cfRule>
  </conditionalFormatting>
  <conditionalFormatting sqref="H10:H1048576">
    <cfRule type="cellIs" dxfId="879" priority="2856" operator="lessThan">
      <formula>0</formula>
    </cfRule>
  </conditionalFormatting>
  <conditionalFormatting sqref="H10:H1048576">
    <cfRule type="cellIs" dxfId="878" priority="2855" operator="lessThan">
      <formula>0</formula>
    </cfRule>
  </conditionalFormatting>
  <conditionalFormatting sqref="H10:H1048576">
    <cfRule type="cellIs" dxfId="877" priority="2854" operator="lessThan">
      <formula>0</formula>
    </cfRule>
  </conditionalFormatting>
  <conditionalFormatting sqref="H10:H1048576">
    <cfRule type="cellIs" dxfId="876" priority="2853" operator="lessThan">
      <formula>0</formula>
    </cfRule>
  </conditionalFormatting>
  <conditionalFormatting sqref="H10:H1048576">
    <cfRule type="cellIs" dxfId="875" priority="2852" operator="lessThan">
      <formula>0</formula>
    </cfRule>
  </conditionalFormatting>
  <conditionalFormatting sqref="H10:H1048576">
    <cfRule type="cellIs" dxfId="874" priority="2851" operator="lessThan">
      <formula>0</formula>
    </cfRule>
  </conditionalFormatting>
  <conditionalFormatting sqref="H10:H1048576">
    <cfRule type="cellIs" dxfId="873" priority="2850" operator="lessThan">
      <formula>0</formula>
    </cfRule>
  </conditionalFormatting>
  <conditionalFormatting sqref="H10:H1048576">
    <cfRule type="cellIs" dxfId="872" priority="2849" operator="lessThan">
      <formula>0</formula>
    </cfRule>
  </conditionalFormatting>
  <conditionalFormatting sqref="H10:H1048576">
    <cfRule type="cellIs" dxfId="871" priority="2848" operator="lessThan">
      <formula>0</formula>
    </cfRule>
  </conditionalFormatting>
  <conditionalFormatting sqref="H10:H1048576">
    <cfRule type="cellIs" dxfId="870" priority="2847" operator="lessThan">
      <formula>0</formula>
    </cfRule>
  </conditionalFormatting>
  <conditionalFormatting sqref="H10:H1048576">
    <cfRule type="cellIs" dxfId="869" priority="2846" operator="lessThan">
      <formula>0</formula>
    </cfRule>
  </conditionalFormatting>
  <conditionalFormatting sqref="H10:H1048576">
    <cfRule type="cellIs" dxfId="868" priority="2845" operator="lessThan">
      <formula>0</formula>
    </cfRule>
  </conditionalFormatting>
  <conditionalFormatting sqref="H10:H1048576">
    <cfRule type="cellIs" dxfId="867" priority="2844" operator="lessThan">
      <formula>0</formula>
    </cfRule>
  </conditionalFormatting>
  <conditionalFormatting sqref="H10:H1048576">
    <cfRule type="cellIs" dxfId="866" priority="2843" operator="lessThan">
      <formula>0</formula>
    </cfRule>
  </conditionalFormatting>
  <conditionalFormatting sqref="H10:H1048576">
    <cfRule type="cellIs" dxfId="865" priority="2842" operator="lessThan">
      <formula>0</formula>
    </cfRule>
  </conditionalFormatting>
  <conditionalFormatting sqref="H10:H1048576">
    <cfRule type="cellIs" dxfId="864" priority="2841" operator="lessThan">
      <formula>0</formula>
    </cfRule>
  </conditionalFormatting>
  <conditionalFormatting sqref="H10:H1048576">
    <cfRule type="cellIs" dxfId="863" priority="2840" operator="lessThan">
      <formula>0</formula>
    </cfRule>
  </conditionalFormatting>
  <conditionalFormatting sqref="H10:H1048576">
    <cfRule type="cellIs" dxfId="862" priority="2839" operator="lessThan">
      <formula>0</formula>
    </cfRule>
  </conditionalFormatting>
  <conditionalFormatting sqref="H10:H1048576">
    <cfRule type="cellIs" dxfId="861" priority="2838" operator="lessThan">
      <formula>0</formula>
    </cfRule>
  </conditionalFormatting>
  <conditionalFormatting sqref="H10:H1048576">
    <cfRule type="cellIs" dxfId="860" priority="2837" operator="lessThan">
      <formula>0</formula>
    </cfRule>
  </conditionalFormatting>
  <conditionalFormatting sqref="H10:H1048576">
    <cfRule type="cellIs" dxfId="859" priority="2836" operator="lessThan">
      <formula>0</formula>
    </cfRule>
  </conditionalFormatting>
  <conditionalFormatting sqref="H10:H1048576">
    <cfRule type="cellIs" dxfId="858" priority="2835" operator="lessThan">
      <formula>0</formula>
    </cfRule>
  </conditionalFormatting>
  <conditionalFormatting sqref="H10:H1048576">
    <cfRule type="cellIs" dxfId="857" priority="2834" operator="lessThan">
      <formula>0</formula>
    </cfRule>
  </conditionalFormatting>
  <conditionalFormatting sqref="H10:H1048576">
    <cfRule type="cellIs" dxfId="856" priority="2833" operator="lessThan">
      <formula>0</formula>
    </cfRule>
  </conditionalFormatting>
  <conditionalFormatting sqref="H10:H1048576">
    <cfRule type="cellIs" dxfId="855" priority="2832" operator="lessThan">
      <formula>0</formula>
    </cfRule>
  </conditionalFormatting>
  <conditionalFormatting sqref="H10:H1048576">
    <cfRule type="cellIs" dxfId="854" priority="2831" operator="lessThan">
      <formula>0</formula>
    </cfRule>
  </conditionalFormatting>
  <conditionalFormatting sqref="H10:H1048576">
    <cfRule type="cellIs" dxfId="853" priority="2830" operator="lessThan">
      <formula>0</formula>
    </cfRule>
  </conditionalFormatting>
  <conditionalFormatting sqref="H10:H1048576">
    <cfRule type="cellIs" dxfId="852" priority="2829" operator="lessThan">
      <formula>0</formula>
    </cfRule>
  </conditionalFormatting>
  <conditionalFormatting sqref="H10:H1048576">
    <cfRule type="cellIs" dxfId="851" priority="2828" operator="lessThan">
      <formula>0</formula>
    </cfRule>
  </conditionalFormatting>
  <conditionalFormatting sqref="H10:H1048576">
    <cfRule type="cellIs" dxfId="850" priority="2827" operator="lessThan">
      <formula>0</formula>
    </cfRule>
  </conditionalFormatting>
  <conditionalFormatting sqref="H10:H1048576">
    <cfRule type="cellIs" dxfId="849" priority="2826" operator="lessThan">
      <formula>0</formula>
    </cfRule>
  </conditionalFormatting>
  <conditionalFormatting sqref="H10:H1048576">
    <cfRule type="cellIs" dxfId="848" priority="2825" operator="lessThan">
      <formula>0</formula>
    </cfRule>
  </conditionalFormatting>
  <conditionalFormatting sqref="H10:H1048576">
    <cfRule type="cellIs" dxfId="847" priority="2824" operator="lessThan">
      <formula>0</formula>
    </cfRule>
  </conditionalFormatting>
  <conditionalFormatting sqref="H10:H1048576">
    <cfRule type="cellIs" dxfId="846" priority="2823" operator="lessThan">
      <formula>0</formula>
    </cfRule>
  </conditionalFormatting>
  <conditionalFormatting sqref="H10:H1048576">
    <cfRule type="cellIs" dxfId="845" priority="2822" operator="lessThan">
      <formula>0</formula>
    </cfRule>
  </conditionalFormatting>
  <conditionalFormatting sqref="H10:H1048576">
    <cfRule type="cellIs" dxfId="844" priority="2821" operator="lessThan">
      <formula>0</formula>
    </cfRule>
  </conditionalFormatting>
  <conditionalFormatting sqref="H10:H1048576">
    <cfRule type="cellIs" dxfId="843" priority="2820" operator="lessThan">
      <formula>0</formula>
    </cfRule>
  </conditionalFormatting>
  <conditionalFormatting sqref="H10:H1048576">
    <cfRule type="cellIs" dxfId="842" priority="2819" operator="lessThan">
      <formula>0</formula>
    </cfRule>
  </conditionalFormatting>
  <conditionalFormatting sqref="H10:H1048576">
    <cfRule type="cellIs" dxfId="841" priority="2818" operator="lessThan">
      <formula>0</formula>
    </cfRule>
  </conditionalFormatting>
  <conditionalFormatting sqref="H10:H1048576">
    <cfRule type="cellIs" dxfId="840" priority="2817" operator="lessThan">
      <formula>0</formula>
    </cfRule>
  </conditionalFormatting>
  <conditionalFormatting sqref="H10:H1048576">
    <cfRule type="cellIs" dxfId="839" priority="2816" operator="lessThan">
      <formula>0</formula>
    </cfRule>
  </conditionalFormatting>
  <conditionalFormatting sqref="H10:H1048576">
    <cfRule type="cellIs" dxfId="838" priority="2815" operator="lessThan">
      <formula>0</formula>
    </cfRule>
  </conditionalFormatting>
  <conditionalFormatting sqref="H10:H1048576">
    <cfRule type="cellIs" dxfId="837" priority="2814" operator="lessThan">
      <formula>0</formula>
    </cfRule>
  </conditionalFormatting>
  <conditionalFormatting sqref="H10:H1048576">
    <cfRule type="cellIs" dxfId="836" priority="2813" operator="lessThan">
      <formula>0</formula>
    </cfRule>
  </conditionalFormatting>
  <conditionalFormatting sqref="H10:H1048576">
    <cfRule type="cellIs" dxfId="835" priority="2812" operator="lessThan">
      <formula>0</formula>
    </cfRule>
  </conditionalFormatting>
  <conditionalFormatting sqref="H10:H1048576">
    <cfRule type="cellIs" dxfId="834" priority="2811" operator="lessThan">
      <formula>0</formula>
    </cfRule>
  </conditionalFormatting>
  <conditionalFormatting sqref="H10:H1048576">
    <cfRule type="cellIs" dxfId="833" priority="2810" operator="lessThan">
      <formula>0</formula>
    </cfRule>
  </conditionalFormatting>
  <conditionalFormatting sqref="H10:H1048576">
    <cfRule type="cellIs" dxfId="832" priority="2809" operator="lessThan">
      <formula>0</formula>
    </cfRule>
  </conditionalFormatting>
  <conditionalFormatting sqref="H10:H1048576">
    <cfRule type="cellIs" dxfId="831" priority="2808" operator="lessThan">
      <formula>0</formula>
    </cfRule>
  </conditionalFormatting>
  <conditionalFormatting sqref="H10:H1048576">
    <cfRule type="cellIs" dxfId="830" priority="2807" operator="lessThan">
      <formula>0</formula>
    </cfRule>
  </conditionalFormatting>
  <conditionalFormatting sqref="H10:H1048576">
    <cfRule type="cellIs" dxfId="829" priority="2806" operator="lessThan">
      <formula>0</formula>
    </cfRule>
  </conditionalFormatting>
  <conditionalFormatting sqref="H10:H1048576">
    <cfRule type="cellIs" dxfId="828" priority="2805" operator="lessThan">
      <formula>0</formula>
    </cfRule>
  </conditionalFormatting>
  <conditionalFormatting sqref="H10:H1048576">
    <cfRule type="cellIs" dxfId="827" priority="2804" operator="lessThan">
      <formula>0</formula>
    </cfRule>
  </conditionalFormatting>
  <conditionalFormatting sqref="H10:H1048576">
    <cfRule type="cellIs" dxfId="826" priority="2803" operator="lessThan">
      <formula>0</formula>
    </cfRule>
  </conditionalFormatting>
  <conditionalFormatting sqref="H10:H1048576">
    <cfRule type="cellIs" dxfId="825" priority="2802" operator="lessThan">
      <formula>0</formula>
    </cfRule>
  </conditionalFormatting>
  <conditionalFormatting sqref="H10:H1048576">
    <cfRule type="cellIs" dxfId="824" priority="2801" operator="lessThan">
      <formula>0</formula>
    </cfRule>
  </conditionalFormatting>
  <conditionalFormatting sqref="H10:H1048576">
    <cfRule type="cellIs" dxfId="823" priority="2800" operator="lessThan">
      <formula>0</formula>
    </cfRule>
  </conditionalFormatting>
  <conditionalFormatting sqref="H10:H1048576">
    <cfRule type="cellIs" dxfId="822" priority="2799" operator="lessThan">
      <formula>0</formula>
    </cfRule>
  </conditionalFormatting>
  <conditionalFormatting sqref="H10:H1048576">
    <cfRule type="cellIs" dxfId="821" priority="2798" operator="lessThan">
      <formula>0</formula>
    </cfRule>
  </conditionalFormatting>
  <conditionalFormatting sqref="H10:H1048576">
    <cfRule type="cellIs" dxfId="820" priority="2797" operator="lessThan">
      <formula>0</formula>
    </cfRule>
  </conditionalFormatting>
  <conditionalFormatting sqref="H10:H1048576">
    <cfRule type="cellIs" dxfId="819" priority="2796" operator="lessThan">
      <formula>0</formula>
    </cfRule>
  </conditionalFormatting>
  <conditionalFormatting sqref="H10:H1048576">
    <cfRule type="cellIs" dxfId="818" priority="2795" operator="lessThan">
      <formula>0</formula>
    </cfRule>
  </conditionalFormatting>
  <conditionalFormatting sqref="H10:H1048576">
    <cfRule type="cellIs" dxfId="817" priority="2794" operator="lessThan">
      <formula>0</formula>
    </cfRule>
  </conditionalFormatting>
  <conditionalFormatting sqref="H10:H1048576">
    <cfRule type="cellIs" dxfId="816" priority="2793" operator="lessThan">
      <formula>0</formula>
    </cfRule>
  </conditionalFormatting>
  <conditionalFormatting sqref="H10:H1048576">
    <cfRule type="cellIs" dxfId="815" priority="2792" operator="lessThan">
      <formula>0</formula>
    </cfRule>
  </conditionalFormatting>
  <conditionalFormatting sqref="H10:H1048576">
    <cfRule type="cellIs" dxfId="814" priority="2791" operator="lessThan">
      <formula>0</formula>
    </cfRule>
  </conditionalFormatting>
  <conditionalFormatting sqref="H10:H1048576">
    <cfRule type="cellIs" dxfId="813" priority="2790" operator="lessThan">
      <formula>0</formula>
    </cfRule>
  </conditionalFormatting>
  <conditionalFormatting sqref="H10:H1048576">
    <cfRule type="cellIs" dxfId="812" priority="2789" operator="lessThan">
      <formula>0</formula>
    </cfRule>
  </conditionalFormatting>
  <conditionalFormatting sqref="H10:H1048576">
    <cfRule type="cellIs" dxfId="811" priority="2788" operator="lessThan">
      <formula>0</formula>
    </cfRule>
  </conditionalFormatting>
  <conditionalFormatting sqref="H10:H1048576">
    <cfRule type="cellIs" dxfId="810" priority="2787" operator="lessThan">
      <formula>0</formula>
    </cfRule>
  </conditionalFormatting>
  <conditionalFormatting sqref="H10:H1048576">
    <cfRule type="cellIs" dxfId="809" priority="2786" operator="lessThan">
      <formula>0</formula>
    </cfRule>
  </conditionalFormatting>
  <conditionalFormatting sqref="H10:H1048576">
    <cfRule type="cellIs" dxfId="808" priority="2785" operator="lessThan">
      <formula>0</formula>
    </cfRule>
  </conditionalFormatting>
  <conditionalFormatting sqref="H10:H1048576">
    <cfRule type="cellIs" dxfId="807" priority="2784" operator="lessThan">
      <formula>0</formula>
    </cfRule>
  </conditionalFormatting>
  <conditionalFormatting sqref="H10:H1048576">
    <cfRule type="cellIs" dxfId="806" priority="2783" operator="lessThan">
      <formula>0</formula>
    </cfRule>
  </conditionalFormatting>
  <conditionalFormatting sqref="H10:H1048576">
    <cfRule type="cellIs" dxfId="805" priority="2782" operator="lessThan">
      <formula>0</formula>
    </cfRule>
  </conditionalFormatting>
  <conditionalFormatting sqref="H10:H1048576">
    <cfRule type="cellIs" dxfId="804" priority="2781" operator="lessThan">
      <formula>0</formula>
    </cfRule>
  </conditionalFormatting>
  <conditionalFormatting sqref="H10:H1048576">
    <cfRule type="cellIs" dxfId="803" priority="2780" operator="lessThan">
      <formula>0</formula>
    </cfRule>
  </conditionalFormatting>
  <conditionalFormatting sqref="H10:H1048576">
    <cfRule type="cellIs" dxfId="802" priority="2779" operator="lessThan">
      <formula>0</formula>
    </cfRule>
  </conditionalFormatting>
  <conditionalFormatting sqref="H10:H1048576">
    <cfRule type="cellIs" dxfId="801" priority="2778" operator="lessThan">
      <formula>0</formula>
    </cfRule>
  </conditionalFormatting>
  <conditionalFormatting sqref="H10:H1048576">
    <cfRule type="cellIs" dxfId="800" priority="2777" operator="lessThan">
      <formula>0</formula>
    </cfRule>
  </conditionalFormatting>
  <conditionalFormatting sqref="H10:H1048576">
    <cfRule type="cellIs" dxfId="799" priority="2776" operator="lessThan">
      <formula>0</formula>
    </cfRule>
  </conditionalFormatting>
  <conditionalFormatting sqref="H10:H1048576">
    <cfRule type="cellIs" dxfId="798" priority="2775" operator="lessThan">
      <formula>0</formula>
    </cfRule>
  </conditionalFormatting>
  <conditionalFormatting sqref="H10:H1048576">
    <cfRule type="cellIs" dxfId="797" priority="2774" operator="lessThan">
      <formula>0</formula>
    </cfRule>
  </conditionalFormatting>
  <conditionalFormatting sqref="H10:H1048576">
    <cfRule type="cellIs" dxfId="796" priority="2773" operator="lessThan">
      <formula>0</formula>
    </cfRule>
  </conditionalFormatting>
  <conditionalFormatting sqref="H10:H1048576">
    <cfRule type="cellIs" dxfId="795" priority="2772" operator="lessThan">
      <formula>0</formula>
    </cfRule>
  </conditionalFormatting>
  <conditionalFormatting sqref="H10:H1048576">
    <cfRule type="cellIs" dxfId="794" priority="2771" operator="lessThan">
      <formula>0</formula>
    </cfRule>
  </conditionalFormatting>
  <conditionalFormatting sqref="H10:H1048576">
    <cfRule type="cellIs" dxfId="793" priority="2770" operator="lessThan">
      <formula>0</formula>
    </cfRule>
  </conditionalFormatting>
  <conditionalFormatting sqref="H10:H1048576">
    <cfRule type="cellIs" dxfId="792" priority="2769" operator="lessThan">
      <formula>0</formula>
    </cfRule>
  </conditionalFormatting>
  <conditionalFormatting sqref="H10:H1048576">
    <cfRule type="cellIs" dxfId="791" priority="2768" operator="lessThan">
      <formula>0</formula>
    </cfRule>
  </conditionalFormatting>
  <conditionalFormatting sqref="H10:H1048576">
    <cfRule type="cellIs" dxfId="790" priority="2767" operator="lessThan">
      <formula>0</formula>
    </cfRule>
  </conditionalFormatting>
  <conditionalFormatting sqref="H10:H1048576">
    <cfRule type="cellIs" dxfId="789" priority="2766" operator="lessThan">
      <formula>0</formula>
    </cfRule>
  </conditionalFormatting>
  <conditionalFormatting sqref="H10:H1048576">
    <cfRule type="cellIs" dxfId="788" priority="2765" operator="lessThan">
      <formula>0</formula>
    </cfRule>
  </conditionalFormatting>
  <conditionalFormatting sqref="H10:H1048576">
    <cfRule type="cellIs" dxfId="787" priority="2764" operator="lessThan">
      <formula>0</formula>
    </cfRule>
  </conditionalFormatting>
  <conditionalFormatting sqref="H10:H1048576">
    <cfRule type="cellIs" dxfId="786" priority="2763" operator="lessThan">
      <formula>0</formula>
    </cfRule>
  </conditionalFormatting>
  <conditionalFormatting sqref="H10:H1048576">
    <cfRule type="cellIs" dxfId="785" priority="2762" operator="lessThan">
      <formula>0</formula>
    </cfRule>
  </conditionalFormatting>
  <conditionalFormatting sqref="H10:H1048576">
    <cfRule type="cellIs" dxfId="784" priority="2761" operator="lessThan">
      <formula>0</formula>
    </cfRule>
  </conditionalFormatting>
  <conditionalFormatting sqref="H10:H1048576">
    <cfRule type="cellIs" dxfId="783" priority="2760" operator="lessThan">
      <formula>0</formula>
    </cfRule>
  </conditionalFormatting>
  <conditionalFormatting sqref="H10:H1048576">
    <cfRule type="cellIs" dxfId="782" priority="2759" operator="lessThan">
      <formula>0</formula>
    </cfRule>
  </conditionalFormatting>
  <conditionalFormatting sqref="H10:H1048576">
    <cfRule type="cellIs" dxfId="781" priority="2758" operator="lessThan">
      <formula>0</formula>
    </cfRule>
  </conditionalFormatting>
  <conditionalFormatting sqref="H10:H1048576">
    <cfRule type="cellIs" dxfId="780" priority="2757" operator="lessThan">
      <formula>0</formula>
    </cfRule>
  </conditionalFormatting>
  <conditionalFormatting sqref="H10:H1048576">
    <cfRule type="cellIs" dxfId="779" priority="2756" operator="lessThan">
      <formula>0</formula>
    </cfRule>
  </conditionalFormatting>
  <conditionalFormatting sqref="H10:H1048576">
    <cfRule type="cellIs" dxfId="778" priority="2755" operator="lessThan">
      <formula>0</formula>
    </cfRule>
  </conditionalFormatting>
  <conditionalFormatting sqref="H10:H1048576">
    <cfRule type="cellIs" dxfId="777" priority="2754" operator="lessThan">
      <formula>0</formula>
    </cfRule>
  </conditionalFormatting>
  <conditionalFormatting sqref="H10:H1048576">
    <cfRule type="cellIs" dxfId="776" priority="2753" operator="lessThan">
      <formula>0</formula>
    </cfRule>
  </conditionalFormatting>
  <conditionalFormatting sqref="H10:H1048576">
    <cfRule type="cellIs" dxfId="775" priority="2752" operator="lessThan">
      <formula>0</formula>
    </cfRule>
  </conditionalFormatting>
  <conditionalFormatting sqref="H10:H1048576">
    <cfRule type="cellIs" dxfId="774" priority="2751" operator="lessThan">
      <formula>0</formula>
    </cfRule>
  </conditionalFormatting>
  <conditionalFormatting sqref="H10:H1048576">
    <cfRule type="cellIs" dxfId="773" priority="2750" operator="lessThan">
      <formula>0</formula>
    </cfRule>
  </conditionalFormatting>
  <conditionalFormatting sqref="H10:H1048576">
    <cfRule type="cellIs" dxfId="772" priority="2749" operator="lessThan">
      <formula>0</formula>
    </cfRule>
  </conditionalFormatting>
  <conditionalFormatting sqref="H10:H1048576">
    <cfRule type="cellIs" dxfId="771" priority="2748" operator="lessThan">
      <formula>0</formula>
    </cfRule>
  </conditionalFormatting>
  <conditionalFormatting sqref="H10:H1048576">
    <cfRule type="cellIs" dxfId="770" priority="2747" operator="lessThan">
      <formula>0</formula>
    </cfRule>
  </conditionalFormatting>
  <conditionalFormatting sqref="H10:H1048576">
    <cfRule type="cellIs" dxfId="769" priority="2746" operator="lessThan">
      <formula>0</formula>
    </cfRule>
  </conditionalFormatting>
  <conditionalFormatting sqref="H10:H1048576">
    <cfRule type="cellIs" dxfId="768" priority="2745" operator="lessThan">
      <formula>0</formula>
    </cfRule>
  </conditionalFormatting>
  <conditionalFormatting sqref="H10:H1048576">
    <cfRule type="cellIs" dxfId="767" priority="2744" operator="lessThan">
      <formula>0</formula>
    </cfRule>
  </conditionalFormatting>
  <conditionalFormatting sqref="H10:H1048576">
    <cfRule type="cellIs" dxfId="766" priority="2743" operator="lessThan">
      <formula>0</formula>
    </cfRule>
  </conditionalFormatting>
  <conditionalFormatting sqref="H10:H1048576">
    <cfRule type="cellIs" dxfId="765" priority="2742" operator="lessThan">
      <formula>0</formula>
    </cfRule>
  </conditionalFormatting>
  <conditionalFormatting sqref="H10:H1048576">
    <cfRule type="cellIs" dxfId="764" priority="2741" operator="lessThan">
      <formula>0</formula>
    </cfRule>
  </conditionalFormatting>
  <conditionalFormatting sqref="H10:H1048576">
    <cfRule type="cellIs" dxfId="763" priority="2740" operator="lessThan">
      <formula>0</formula>
    </cfRule>
  </conditionalFormatting>
  <conditionalFormatting sqref="H10:H1048576">
    <cfRule type="cellIs" dxfId="762" priority="2739" operator="lessThan">
      <formula>0</formula>
    </cfRule>
  </conditionalFormatting>
  <conditionalFormatting sqref="H10:H1048576">
    <cfRule type="cellIs" dxfId="761" priority="2738" operator="lessThan">
      <formula>0</formula>
    </cfRule>
  </conditionalFormatting>
  <conditionalFormatting sqref="H10:H1048576">
    <cfRule type="cellIs" dxfId="760" priority="2737" operator="lessThan">
      <formula>0</formula>
    </cfRule>
  </conditionalFormatting>
  <conditionalFormatting sqref="H10:H1048576">
    <cfRule type="cellIs" dxfId="759" priority="2736" operator="lessThan">
      <formula>0</formula>
    </cfRule>
  </conditionalFormatting>
  <conditionalFormatting sqref="H10:H1048576">
    <cfRule type="cellIs" dxfId="758" priority="2735" operator="lessThan">
      <formula>0</formula>
    </cfRule>
  </conditionalFormatting>
  <conditionalFormatting sqref="H10:H1048576">
    <cfRule type="cellIs" dxfId="757" priority="2734" operator="lessThan">
      <formula>0</formula>
    </cfRule>
  </conditionalFormatting>
  <conditionalFormatting sqref="H10:H1048576">
    <cfRule type="cellIs" dxfId="756" priority="2733" operator="lessThan">
      <formula>0</formula>
    </cfRule>
  </conditionalFormatting>
  <conditionalFormatting sqref="H10:H1048576">
    <cfRule type="cellIs" dxfId="755" priority="2732" operator="lessThan">
      <formula>0</formula>
    </cfRule>
  </conditionalFormatting>
  <conditionalFormatting sqref="H10:H1048576">
    <cfRule type="cellIs" dxfId="754" priority="2731" operator="lessThan">
      <formula>0</formula>
    </cfRule>
  </conditionalFormatting>
  <conditionalFormatting sqref="H10:H1048576">
    <cfRule type="cellIs" dxfId="753" priority="2730" operator="lessThan">
      <formula>0</formula>
    </cfRule>
  </conditionalFormatting>
  <conditionalFormatting sqref="H10:H1048576">
    <cfRule type="cellIs" dxfId="752" priority="2729" operator="lessThan">
      <formula>0</formula>
    </cfRule>
  </conditionalFormatting>
  <conditionalFormatting sqref="H10:H1048576">
    <cfRule type="cellIs" dxfId="751" priority="2728" operator="lessThan">
      <formula>0</formula>
    </cfRule>
  </conditionalFormatting>
  <conditionalFormatting sqref="H10:H1048576">
    <cfRule type="cellIs" dxfId="750" priority="2727" operator="lessThan">
      <formula>0</formula>
    </cfRule>
  </conditionalFormatting>
  <conditionalFormatting sqref="H10:H1048576">
    <cfRule type="cellIs" dxfId="749" priority="2726" operator="lessThan">
      <formula>0</formula>
    </cfRule>
  </conditionalFormatting>
  <conditionalFormatting sqref="H10:H1048576">
    <cfRule type="cellIs" dxfId="748" priority="2725" operator="lessThan">
      <formula>0</formula>
    </cfRule>
  </conditionalFormatting>
  <conditionalFormatting sqref="H10:H1048576">
    <cfRule type="cellIs" dxfId="747" priority="2724" operator="lessThan">
      <formula>0</formula>
    </cfRule>
  </conditionalFormatting>
  <conditionalFormatting sqref="H10:H1048576">
    <cfRule type="cellIs" dxfId="746" priority="2723" operator="lessThan">
      <formula>0</formula>
    </cfRule>
  </conditionalFormatting>
  <conditionalFormatting sqref="H10:H1048576">
    <cfRule type="cellIs" dxfId="745" priority="2722" operator="lessThan">
      <formula>0</formula>
    </cfRule>
  </conditionalFormatting>
  <conditionalFormatting sqref="H10:H1048576">
    <cfRule type="cellIs" dxfId="744" priority="2721" operator="lessThan">
      <formula>0</formula>
    </cfRule>
  </conditionalFormatting>
  <conditionalFormatting sqref="H10:H1048576">
    <cfRule type="cellIs" dxfId="743" priority="2720" operator="lessThan">
      <formula>0</formula>
    </cfRule>
  </conditionalFormatting>
  <conditionalFormatting sqref="H10:H1048576">
    <cfRule type="cellIs" dxfId="742" priority="2719" operator="lessThan">
      <formula>0</formula>
    </cfRule>
  </conditionalFormatting>
  <conditionalFormatting sqref="H10:H1048576">
    <cfRule type="cellIs" dxfId="741" priority="2718" operator="lessThan">
      <formula>0</formula>
    </cfRule>
  </conditionalFormatting>
  <conditionalFormatting sqref="H10:H1048576">
    <cfRule type="cellIs" dxfId="740" priority="2717" operator="lessThan">
      <formula>0</formula>
    </cfRule>
  </conditionalFormatting>
  <conditionalFormatting sqref="H10:H1048576">
    <cfRule type="cellIs" dxfId="739" priority="2716" operator="lessThan">
      <formula>0</formula>
    </cfRule>
  </conditionalFormatting>
  <conditionalFormatting sqref="H10:H1048576">
    <cfRule type="cellIs" dxfId="738" priority="2715" operator="lessThan">
      <formula>0</formula>
    </cfRule>
  </conditionalFormatting>
  <conditionalFormatting sqref="H10:H1048576">
    <cfRule type="cellIs" dxfId="737" priority="2714" operator="lessThan">
      <formula>0</formula>
    </cfRule>
  </conditionalFormatting>
  <conditionalFormatting sqref="H10:H1048576">
    <cfRule type="cellIs" dxfId="736" priority="2713" operator="lessThan">
      <formula>0</formula>
    </cfRule>
  </conditionalFormatting>
  <conditionalFormatting sqref="H10:H1048576">
    <cfRule type="cellIs" dxfId="735" priority="2712" operator="lessThan">
      <formula>0</formula>
    </cfRule>
  </conditionalFormatting>
  <conditionalFormatting sqref="H10:H1048576">
    <cfRule type="cellIs" dxfId="734" priority="2711" operator="lessThan">
      <formula>0</formula>
    </cfRule>
  </conditionalFormatting>
  <conditionalFormatting sqref="H10:H1048576">
    <cfRule type="cellIs" dxfId="733" priority="2710" operator="lessThan">
      <formula>0</formula>
    </cfRule>
  </conditionalFormatting>
  <conditionalFormatting sqref="H10:H1048576">
    <cfRule type="cellIs" dxfId="732" priority="2709" operator="lessThan">
      <formula>0</formula>
    </cfRule>
  </conditionalFormatting>
  <conditionalFormatting sqref="H10:H1048576">
    <cfRule type="cellIs" dxfId="731" priority="2708" operator="lessThan">
      <formula>0</formula>
    </cfRule>
  </conditionalFormatting>
  <conditionalFormatting sqref="H10:H1048576">
    <cfRule type="cellIs" dxfId="730" priority="2707" operator="lessThan">
      <formula>0</formula>
    </cfRule>
  </conditionalFormatting>
  <conditionalFormatting sqref="H10:H1048576">
    <cfRule type="cellIs" dxfId="729" priority="2706" operator="lessThan">
      <formula>0</formula>
    </cfRule>
  </conditionalFormatting>
  <conditionalFormatting sqref="H10:H1048576">
    <cfRule type="cellIs" dxfId="728" priority="2705" operator="lessThan">
      <formula>0</formula>
    </cfRule>
  </conditionalFormatting>
  <conditionalFormatting sqref="H10:H1048576">
    <cfRule type="cellIs" dxfId="727" priority="2704" operator="lessThan">
      <formula>0</formula>
    </cfRule>
  </conditionalFormatting>
  <conditionalFormatting sqref="H10:H1048576">
    <cfRule type="cellIs" dxfId="726" priority="2703" operator="lessThan">
      <formula>0</formula>
    </cfRule>
  </conditionalFormatting>
  <conditionalFormatting sqref="H10:H1048576">
    <cfRule type="cellIs" dxfId="725" priority="2702" operator="lessThan">
      <formula>0</formula>
    </cfRule>
  </conditionalFormatting>
  <conditionalFormatting sqref="H10:H1048576">
    <cfRule type="cellIs" dxfId="724" priority="2701" operator="lessThan">
      <formula>0</formula>
    </cfRule>
  </conditionalFormatting>
  <conditionalFormatting sqref="H10:H1048576">
    <cfRule type="cellIs" dxfId="723" priority="2700" operator="lessThan">
      <formula>0</formula>
    </cfRule>
  </conditionalFormatting>
  <conditionalFormatting sqref="H10:H1048576">
    <cfRule type="cellIs" dxfId="722" priority="2699" operator="lessThan">
      <formula>0</formula>
    </cfRule>
  </conditionalFormatting>
  <conditionalFormatting sqref="H10:H1048576">
    <cfRule type="cellIs" dxfId="721" priority="2698" operator="lessThan">
      <formula>0</formula>
    </cfRule>
  </conditionalFormatting>
  <conditionalFormatting sqref="H10:H1048576">
    <cfRule type="cellIs" dxfId="720" priority="2697" operator="lessThan">
      <formula>0</formula>
    </cfRule>
  </conditionalFormatting>
  <conditionalFormatting sqref="H10:H1048576">
    <cfRule type="cellIs" dxfId="719" priority="2696" operator="lessThan">
      <formula>0</formula>
    </cfRule>
  </conditionalFormatting>
  <conditionalFormatting sqref="H10:H1048576">
    <cfRule type="cellIs" dxfId="718" priority="2695" operator="lessThan">
      <formula>0</formula>
    </cfRule>
  </conditionalFormatting>
  <conditionalFormatting sqref="H10:H1048576">
    <cfRule type="cellIs" dxfId="717" priority="2694" operator="lessThan">
      <formula>0</formula>
    </cfRule>
  </conditionalFormatting>
  <conditionalFormatting sqref="H10:H1048576">
    <cfRule type="cellIs" dxfId="716" priority="2693" operator="lessThan">
      <formula>0</formula>
    </cfRule>
  </conditionalFormatting>
  <conditionalFormatting sqref="H10:H1048576">
    <cfRule type="cellIs" dxfId="715" priority="2692" operator="lessThan">
      <formula>0</formula>
    </cfRule>
  </conditionalFormatting>
  <conditionalFormatting sqref="H10:H1048576">
    <cfRule type="cellIs" dxfId="714" priority="2691" operator="lessThan">
      <formula>0</formula>
    </cfRule>
  </conditionalFormatting>
  <conditionalFormatting sqref="H10:H1048576">
    <cfRule type="cellIs" dxfId="713" priority="2690" operator="lessThan">
      <formula>0</formula>
    </cfRule>
  </conditionalFormatting>
  <conditionalFormatting sqref="H10:H1048576">
    <cfRule type="cellIs" dxfId="712" priority="2689" operator="lessThan">
      <formula>0</formula>
    </cfRule>
  </conditionalFormatting>
  <conditionalFormatting sqref="H10:H1048576">
    <cfRule type="cellIs" dxfId="711" priority="2688" operator="lessThan">
      <formula>0</formula>
    </cfRule>
  </conditionalFormatting>
  <conditionalFormatting sqref="H10:H1048576">
    <cfRule type="cellIs" dxfId="710" priority="2687" operator="lessThan">
      <formula>0</formula>
    </cfRule>
  </conditionalFormatting>
  <conditionalFormatting sqref="H10:H1048576">
    <cfRule type="cellIs" dxfId="709" priority="2686" operator="lessThan">
      <formula>0</formula>
    </cfRule>
  </conditionalFormatting>
  <conditionalFormatting sqref="H10:H1048576">
    <cfRule type="cellIs" dxfId="708" priority="2685" operator="lessThan">
      <formula>0</formula>
    </cfRule>
  </conditionalFormatting>
  <conditionalFormatting sqref="H10:H1048576">
    <cfRule type="cellIs" dxfId="707" priority="2684" operator="lessThan">
      <formula>0</formula>
    </cfRule>
  </conditionalFormatting>
  <conditionalFormatting sqref="H10:H1048576">
    <cfRule type="cellIs" dxfId="706" priority="2683" operator="lessThan">
      <formula>0</formula>
    </cfRule>
  </conditionalFormatting>
  <conditionalFormatting sqref="H10:H1048576">
    <cfRule type="cellIs" dxfId="705" priority="2682" operator="lessThan">
      <formula>0</formula>
    </cfRule>
  </conditionalFormatting>
  <conditionalFormatting sqref="H10:H1048576">
    <cfRule type="cellIs" dxfId="704" priority="2681" operator="lessThan">
      <formula>0</formula>
    </cfRule>
  </conditionalFormatting>
  <conditionalFormatting sqref="H10:H1048576">
    <cfRule type="cellIs" dxfId="703" priority="2680" operator="lessThan">
      <formula>0</formula>
    </cfRule>
  </conditionalFormatting>
  <conditionalFormatting sqref="H10:H1048576">
    <cfRule type="cellIs" dxfId="702" priority="2679" operator="lessThan">
      <formula>0</formula>
    </cfRule>
  </conditionalFormatting>
  <conditionalFormatting sqref="H10:H1048576">
    <cfRule type="cellIs" dxfId="701" priority="2678" operator="lessThan">
      <formula>0</formula>
    </cfRule>
  </conditionalFormatting>
  <conditionalFormatting sqref="H10:H1048576">
    <cfRule type="cellIs" dxfId="700" priority="2677" operator="lessThan">
      <formula>0</formula>
    </cfRule>
  </conditionalFormatting>
  <conditionalFormatting sqref="H10:H1048576">
    <cfRule type="cellIs" dxfId="699" priority="2676" operator="lessThan">
      <formula>0</formula>
    </cfRule>
  </conditionalFormatting>
  <conditionalFormatting sqref="H10:H1048576">
    <cfRule type="cellIs" dxfId="698" priority="2675" operator="lessThan">
      <formula>0</formula>
    </cfRule>
  </conditionalFormatting>
  <conditionalFormatting sqref="H10:H1048576">
    <cfRule type="cellIs" dxfId="697" priority="2674" operator="lessThan">
      <formula>0</formula>
    </cfRule>
  </conditionalFormatting>
  <conditionalFormatting sqref="H10:H1048576">
    <cfRule type="cellIs" dxfId="696" priority="2673" operator="lessThan">
      <formula>0</formula>
    </cfRule>
  </conditionalFormatting>
  <conditionalFormatting sqref="H10:H1048576">
    <cfRule type="cellIs" dxfId="695" priority="2672" operator="lessThan">
      <formula>0</formula>
    </cfRule>
  </conditionalFormatting>
  <conditionalFormatting sqref="H10:H1048576">
    <cfRule type="cellIs" dxfId="694" priority="2671" operator="lessThan">
      <formula>0</formula>
    </cfRule>
  </conditionalFormatting>
  <conditionalFormatting sqref="H10:H1048576">
    <cfRule type="cellIs" dxfId="693" priority="2670" operator="lessThan">
      <formula>0</formula>
    </cfRule>
  </conditionalFormatting>
  <conditionalFormatting sqref="H10:H1048576">
    <cfRule type="cellIs" dxfId="692" priority="2669" operator="lessThan">
      <formula>0</formula>
    </cfRule>
  </conditionalFormatting>
  <conditionalFormatting sqref="H10:H1048576">
    <cfRule type="cellIs" dxfId="691" priority="2668" operator="lessThan">
      <formula>0</formula>
    </cfRule>
  </conditionalFormatting>
  <conditionalFormatting sqref="H10:H1048576">
    <cfRule type="cellIs" dxfId="690" priority="2667" operator="lessThan">
      <formula>0</formula>
    </cfRule>
  </conditionalFormatting>
  <conditionalFormatting sqref="H10:H1048576">
    <cfRule type="cellIs" dxfId="689" priority="2666" operator="lessThan">
      <formula>0</formula>
    </cfRule>
  </conditionalFormatting>
  <conditionalFormatting sqref="H10:H1048576">
    <cfRule type="cellIs" dxfId="688" priority="2665" operator="lessThan">
      <formula>0</formula>
    </cfRule>
  </conditionalFormatting>
  <conditionalFormatting sqref="H10:H1048576">
    <cfRule type="cellIs" dxfId="687" priority="2664" operator="lessThan">
      <formula>0</formula>
    </cfRule>
  </conditionalFormatting>
  <conditionalFormatting sqref="H10:H1048576">
    <cfRule type="cellIs" dxfId="686" priority="2663" operator="lessThan">
      <formula>0</formula>
    </cfRule>
  </conditionalFormatting>
  <conditionalFormatting sqref="H10:H1048576">
    <cfRule type="cellIs" dxfId="685" priority="2662" operator="lessThan">
      <formula>0</formula>
    </cfRule>
  </conditionalFormatting>
  <conditionalFormatting sqref="H10:H1048576">
    <cfRule type="cellIs" dxfId="684" priority="2661" operator="lessThan">
      <formula>0</formula>
    </cfRule>
  </conditionalFormatting>
  <conditionalFormatting sqref="H10:H1048576">
    <cfRule type="cellIs" dxfId="683" priority="2660" operator="lessThan">
      <formula>0</formula>
    </cfRule>
  </conditionalFormatting>
  <conditionalFormatting sqref="H10:H1048576">
    <cfRule type="cellIs" dxfId="682" priority="2659" operator="lessThan">
      <formula>0</formula>
    </cfRule>
  </conditionalFormatting>
  <conditionalFormatting sqref="H10:H1048576">
    <cfRule type="cellIs" dxfId="681" priority="2658" operator="lessThan">
      <formula>0</formula>
    </cfRule>
  </conditionalFormatting>
  <conditionalFormatting sqref="H10:H1048576">
    <cfRule type="cellIs" dxfId="680" priority="2657" operator="lessThan">
      <formula>0</formula>
    </cfRule>
  </conditionalFormatting>
  <conditionalFormatting sqref="H10:H1048576">
    <cfRule type="cellIs" dxfId="679" priority="2656" operator="lessThan">
      <formula>0</formula>
    </cfRule>
  </conditionalFormatting>
  <conditionalFormatting sqref="H10:H1048576">
    <cfRule type="cellIs" dxfId="678" priority="2655" operator="lessThan">
      <formula>0</formula>
    </cfRule>
  </conditionalFormatting>
  <conditionalFormatting sqref="H10:H1048576">
    <cfRule type="cellIs" dxfId="677" priority="2654" operator="lessThan">
      <formula>0</formula>
    </cfRule>
  </conditionalFormatting>
  <conditionalFormatting sqref="H10:H1048576">
    <cfRule type="cellIs" dxfId="676" priority="2653" operator="lessThan">
      <formula>0</formula>
    </cfRule>
  </conditionalFormatting>
  <conditionalFormatting sqref="H10:H1048576">
    <cfRule type="cellIs" dxfId="675" priority="2652" operator="lessThan">
      <formula>0</formula>
    </cfRule>
  </conditionalFormatting>
  <conditionalFormatting sqref="H10:H1048576">
    <cfRule type="cellIs" dxfId="674" priority="2651" operator="lessThan">
      <formula>0</formula>
    </cfRule>
  </conditionalFormatting>
  <conditionalFormatting sqref="H10:H1048576">
    <cfRule type="cellIs" dxfId="673" priority="2650" operator="lessThan">
      <formula>0</formula>
    </cfRule>
  </conditionalFormatting>
  <conditionalFormatting sqref="H10:H1048576">
    <cfRule type="cellIs" dxfId="672" priority="2649" operator="lessThan">
      <formula>0</formula>
    </cfRule>
  </conditionalFormatting>
  <conditionalFormatting sqref="H10:H1048576">
    <cfRule type="cellIs" dxfId="671" priority="2648" operator="lessThan">
      <formula>0</formula>
    </cfRule>
  </conditionalFormatting>
  <conditionalFormatting sqref="H10:H1048576">
    <cfRule type="cellIs" dxfId="670" priority="2647" operator="lessThan">
      <formula>0</formula>
    </cfRule>
  </conditionalFormatting>
  <conditionalFormatting sqref="H10:H1048576">
    <cfRule type="cellIs" dxfId="669" priority="2646" operator="lessThan">
      <formula>0</formula>
    </cfRule>
  </conditionalFormatting>
  <conditionalFormatting sqref="H10:H1048576">
    <cfRule type="cellIs" dxfId="668" priority="2645" operator="lessThan">
      <formula>0</formula>
    </cfRule>
  </conditionalFormatting>
  <conditionalFormatting sqref="H10:H1048576">
    <cfRule type="cellIs" dxfId="667" priority="2644" operator="lessThan">
      <formula>0</formula>
    </cfRule>
  </conditionalFormatting>
  <conditionalFormatting sqref="H10:H1048576">
    <cfRule type="cellIs" dxfId="666" priority="2643" operator="lessThan">
      <formula>0</formula>
    </cfRule>
  </conditionalFormatting>
  <conditionalFormatting sqref="H10:H1048576">
    <cfRule type="cellIs" dxfId="665" priority="2642" operator="lessThan">
      <formula>0</formula>
    </cfRule>
  </conditionalFormatting>
  <conditionalFormatting sqref="H10:H1048576">
    <cfRule type="cellIs" dxfId="664" priority="2641" operator="lessThan">
      <formula>0</formula>
    </cfRule>
  </conditionalFormatting>
  <conditionalFormatting sqref="H10:H1048576">
    <cfRule type="cellIs" dxfId="663" priority="2640" operator="lessThan">
      <formula>0</formula>
    </cfRule>
  </conditionalFormatting>
  <conditionalFormatting sqref="H10:H1048576">
    <cfRule type="cellIs" dxfId="662" priority="2639" operator="lessThan">
      <formula>0</formula>
    </cfRule>
  </conditionalFormatting>
  <conditionalFormatting sqref="H10:H1048576">
    <cfRule type="cellIs" dxfId="661" priority="2638" operator="lessThan">
      <formula>0</formula>
    </cfRule>
  </conditionalFormatting>
  <conditionalFormatting sqref="H10:H1048576">
    <cfRule type="cellIs" dxfId="660" priority="2637" operator="lessThan">
      <formula>0</formula>
    </cfRule>
  </conditionalFormatting>
  <conditionalFormatting sqref="H10:H1048576">
    <cfRule type="cellIs" dxfId="659" priority="2636" operator="lessThan">
      <formula>0</formula>
    </cfRule>
  </conditionalFormatting>
  <conditionalFormatting sqref="H10:H1048576">
    <cfRule type="cellIs" dxfId="658" priority="2635" operator="lessThan">
      <formula>0</formula>
    </cfRule>
  </conditionalFormatting>
  <conditionalFormatting sqref="H10:H1048576">
    <cfRule type="cellIs" dxfId="657" priority="2634" operator="lessThan">
      <formula>0</formula>
    </cfRule>
  </conditionalFormatting>
  <conditionalFormatting sqref="H10:H1048576">
    <cfRule type="cellIs" dxfId="656" priority="2633" operator="lessThan">
      <formula>0</formula>
    </cfRule>
  </conditionalFormatting>
  <conditionalFormatting sqref="H10:H1048576">
    <cfRule type="cellIs" dxfId="655" priority="2632" operator="lessThan">
      <formula>0</formula>
    </cfRule>
  </conditionalFormatting>
  <conditionalFormatting sqref="H10:H1048576">
    <cfRule type="cellIs" dxfId="654" priority="2631" operator="lessThan">
      <formula>0</formula>
    </cfRule>
  </conditionalFormatting>
  <conditionalFormatting sqref="H10:H1048576">
    <cfRule type="cellIs" dxfId="653" priority="2630" operator="lessThan">
      <formula>0</formula>
    </cfRule>
  </conditionalFormatting>
  <conditionalFormatting sqref="H10:H1048576">
    <cfRule type="cellIs" dxfId="652" priority="2629" operator="lessThan">
      <formula>0</formula>
    </cfRule>
  </conditionalFormatting>
  <conditionalFormatting sqref="H10:H1048576">
    <cfRule type="cellIs" dxfId="651" priority="2628" operator="lessThan">
      <formula>0</formula>
    </cfRule>
  </conditionalFormatting>
  <conditionalFormatting sqref="H10:H1048576">
    <cfRule type="cellIs" dxfId="650" priority="2627" operator="lessThan">
      <formula>0</formula>
    </cfRule>
  </conditionalFormatting>
  <conditionalFormatting sqref="H10:H1048576">
    <cfRule type="cellIs" dxfId="649" priority="2626" operator="lessThan">
      <formula>0</formula>
    </cfRule>
  </conditionalFormatting>
  <conditionalFormatting sqref="H10:H1048576">
    <cfRule type="cellIs" dxfId="648" priority="2625" operator="lessThan">
      <formula>0</formula>
    </cfRule>
  </conditionalFormatting>
  <conditionalFormatting sqref="H10:H1048576">
    <cfRule type="cellIs" dxfId="647" priority="2624" operator="lessThan">
      <formula>0</formula>
    </cfRule>
  </conditionalFormatting>
  <conditionalFormatting sqref="H10:H1048576">
    <cfRule type="cellIs" dxfId="646" priority="2623" operator="lessThan">
      <formula>0</formula>
    </cfRule>
  </conditionalFormatting>
  <conditionalFormatting sqref="H10:H1048576">
    <cfRule type="cellIs" dxfId="645" priority="2622" operator="lessThan">
      <formula>0</formula>
    </cfRule>
  </conditionalFormatting>
  <conditionalFormatting sqref="H10:H1048576">
    <cfRule type="cellIs" dxfId="644" priority="2621" operator="lessThan">
      <formula>0</formula>
    </cfRule>
  </conditionalFormatting>
  <conditionalFormatting sqref="H10:H1048576">
    <cfRule type="cellIs" dxfId="643" priority="2620" operator="lessThan">
      <formula>0</formula>
    </cfRule>
  </conditionalFormatting>
  <conditionalFormatting sqref="H10:H1048576">
    <cfRule type="cellIs" dxfId="642" priority="2619" operator="lessThan">
      <formula>0</formula>
    </cfRule>
  </conditionalFormatting>
  <conditionalFormatting sqref="H10:H1048576">
    <cfRule type="cellIs" dxfId="641" priority="2618" operator="lessThan">
      <formula>0</formula>
    </cfRule>
  </conditionalFormatting>
  <conditionalFormatting sqref="H10:H1048576">
    <cfRule type="cellIs" dxfId="640" priority="2617" operator="lessThan">
      <formula>0</formula>
    </cfRule>
  </conditionalFormatting>
  <conditionalFormatting sqref="H10:H1048576">
    <cfRule type="cellIs" dxfId="639" priority="2616" operator="lessThan">
      <formula>0</formula>
    </cfRule>
  </conditionalFormatting>
  <conditionalFormatting sqref="H10:H1048576">
    <cfRule type="cellIs" dxfId="638" priority="2615" operator="lessThan">
      <formula>0</formula>
    </cfRule>
  </conditionalFormatting>
  <conditionalFormatting sqref="H10:H1048576">
    <cfRule type="cellIs" dxfId="637" priority="2614" operator="lessThan">
      <formula>0</formula>
    </cfRule>
  </conditionalFormatting>
  <conditionalFormatting sqref="H10:H1048576">
    <cfRule type="cellIs" dxfId="636" priority="2613" operator="lessThan">
      <formula>0</formula>
    </cfRule>
  </conditionalFormatting>
  <conditionalFormatting sqref="H10:H1048576">
    <cfRule type="cellIs" dxfId="635" priority="2612" operator="lessThan">
      <formula>0</formula>
    </cfRule>
  </conditionalFormatting>
  <conditionalFormatting sqref="H10:H1048576">
    <cfRule type="cellIs" dxfId="634" priority="2611" operator="lessThan">
      <formula>0</formula>
    </cfRule>
  </conditionalFormatting>
  <conditionalFormatting sqref="H10:H1048576">
    <cfRule type="cellIs" dxfId="633" priority="2610" operator="lessThan">
      <formula>0</formula>
    </cfRule>
  </conditionalFormatting>
  <conditionalFormatting sqref="H10:H1048576">
    <cfRule type="cellIs" dxfId="632" priority="2609" operator="lessThan">
      <formula>0</formula>
    </cfRule>
  </conditionalFormatting>
  <conditionalFormatting sqref="H10:H1048576">
    <cfRule type="cellIs" dxfId="631" priority="2608" operator="lessThan">
      <formula>0</formula>
    </cfRule>
  </conditionalFormatting>
  <conditionalFormatting sqref="H10:H1048576">
    <cfRule type="cellIs" dxfId="630" priority="2607" operator="lessThan">
      <formula>0</formula>
    </cfRule>
  </conditionalFormatting>
  <conditionalFormatting sqref="H10:H1048576">
    <cfRule type="cellIs" dxfId="629" priority="2606" operator="lessThan">
      <formula>0</formula>
    </cfRule>
  </conditionalFormatting>
  <conditionalFormatting sqref="H10:H1048576">
    <cfRule type="cellIs" dxfId="628" priority="2605" operator="lessThan">
      <formula>0</formula>
    </cfRule>
  </conditionalFormatting>
  <conditionalFormatting sqref="H10:H1048576">
    <cfRule type="cellIs" dxfId="627" priority="2604" operator="lessThan">
      <formula>0</formula>
    </cfRule>
  </conditionalFormatting>
  <conditionalFormatting sqref="H10:H1048576">
    <cfRule type="cellIs" dxfId="626" priority="2603" operator="lessThan">
      <formula>0</formula>
    </cfRule>
  </conditionalFormatting>
  <conditionalFormatting sqref="H10:H1048576">
    <cfRule type="cellIs" dxfId="625" priority="2602" operator="lessThan">
      <formula>0</formula>
    </cfRule>
  </conditionalFormatting>
  <conditionalFormatting sqref="H10:H1048576">
    <cfRule type="cellIs" dxfId="624" priority="2601" operator="lessThan">
      <formula>0</formula>
    </cfRule>
  </conditionalFormatting>
  <conditionalFormatting sqref="H10:H1048576">
    <cfRule type="cellIs" dxfId="623" priority="2600" operator="lessThan">
      <formula>0</formula>
    </cfRule>
  </conditionalFormatting>
  <conditionalFormatting sqref="H10:H1048576">
    <cfRule type="cellIs" dxfId="622" priority="2599" operator="lessThan">
      <formula>0</formula>
    </cfRule>
  </conditionalFormatting>
  <conditionalFormatting sqref="H10:H1048576">
    <cfRule type="cellIs" dxfId="621" priority="2598" operator="lessThan">
      <formula>0</formula>
    </cfRule>
  </conditionalFormatting>
  <conditionalFormatting sqref="H10:H1048576">
    <cfRule type="cellIs" dxfId="620" priority="2597" operator="lessThan">
      <formula>0</formula>
    </cfRule>
  </conditionalFormatting>
  <conditionalFormatting sqref="H10:H1048576">
    <cfRule type="cellIs" dxfId="619" priority="2596" operator="lessThan">
      <formula>0</formula>
    </cfRule>
  </conditionalFormatting>
  <conditionalFormatting sqref="H10:H1048576">
    <cfRule type="cellIs" dxfId="618" priority="2595" operator="lessThan">
      <formula>0</formula>
    </cfRule>
  </conditionalFormatting>
  <conditionalFormatting sqref="H10:H1048576">
    <cfRule type="cellIs" dxfId="617" priority="2594" operator="lessThan">
      <formula>0</formula>
    </cfRule>
  </conditionalFormatting>
  <conditionalFormatting sqref="H10:H1048576">
    <cfRule type="cellIs" dxfId="616" priority="2593" operator="lessThan">
      <formula>0</formula>
    </cfRule>
  </conditionalFormatting>
  <conditionalFormatting sqref="H10:H1048576">
    <cfRule type="cellIs" dxfId="615" priority="2592" operator="lessThan">
      <formula>0</formula>
    </cfRule>
  </conditionalFormatting>
  <conditionalFormatting sqref="H10:H1048576">
    <cfRule type="cellIs" dxfId="614" priority="2591" operator="lessThan">
      <formula>0</formula>
    </cfRule>
  </conditionalFormatting>
  <conditionalFormatting sqref="H10:H1048576">
    <cfRule type="cellIs" dxfId="613" priority="2590" operator="lessThan">
      <formula>0</formula>
    </cfRule>
  </conditionalFormatting>
  <conditionalFormatting sqref="H10:H1048576">
    <cfRule type="cellIs" dxfId="612" priority="2589" operator="lessThan">
      <formula>0</formula>
    </cfRule>
  </conditionalFormatting>
  <conditionalFormatting sqref="H10:H1048576">
    <cfRule type="cellIs" dxfId="611" priority="2588" operator="lessThan">
      <formula>0</formula>
    </cfRule>
  </conditionalFormatting>
  <conditionalFormatting sqref="H10:H1048576">
    <cfRule type="cellIs" dxfId="610" priority="2587" operator="lessThan">
      <formula>0</formula>
    </cfRule>
  </conditionalFormatting>
  <conditionalFormatting sqref="H10:H1048576">
    <cfRule type="cellIs" dxfId="609" priority="2586" operator="lessThan">
      <formula>0</formula>
    </cfRule>
  </conditionalFormatting>
  <conditionalFormatting sqref="H10:H1048576">
    <cfRule type="cellIs" dxfId="608" priority="2585" operator="lessThan">
      <formula>0</formula>
    </cfRule>
  </conditionalFormatting>
  <conditionalFormatting sqref="H10:H1048576">
    <cfRule type="cellIs" dxfId="607" priority="2584" operator="lessThan">
      <formula>0</formula>
    </cfRule>
  </conditionalFormatting>
  <conditionalFormatting sqref="H10:H1048576">
    <cfRule type="cellIs" dxfId="606" priority="2583" operator="lessThan">
      <formula>0</formula>
    </cfRule>
  </conditionalFormatting>
  <conditionalFormatting sqref="H10:H1048576">
    <cfRule type="cellIs" dxfId="605" priority="2582" operator="lessThan">
      <formula>0</formula>
    </cfRule>
  </conditionalFormatting>
  <conditionalFormatting sqref="H10:H1048576">
    <cfRule type="cellIs" dxfId="604" priority="2581" operator="lessThan">
      <formula>0</formula>
    </cfRule>
  </conditionalFormatting>
  <conditionalFormatting sqref="H10:H1048576">
    <cfRule type="cellIs" dxfId="603" priority="2580" operator="lessThan">
      <formula>0</formula>
    </cfRule>
  </conditionalFormatting>
  <conditionalFormatting sqref="H10:H1048576">
    <cfRule type="cellIs" dxfId="602" priority="2579" operator="lessThan">
      <formula>0</formula>
    </cfRule>
  </conditionalFormatting>
  <conditionalFormatting sqref="H10:H1048576">
    <cfRule type="cellIs" dxfId="601" priority="2578" operator="lessThan">
      <formula>0</formula>
    </cfRule>
  </conditionalFormatting>
  <conditionalFormatting sqref="H10:H1048576">
    <cfRule type="cellIs" dxfId="600" priority="2577" operator="lessThan">
      <formula>0</formula>
    </cfRule>
  </conditionalFormatting>
  <conditionalFormatting sqref="H10:H1048576">
    <cfRule type="cellIs" dxfId="599" priority="2576" operator="lessThan">
      <formula>0</formula>
    </cfRule>
  </conditionalFormatting>
  <conditionalFormatting sqref="H10:H1048576">
    <cfRule type="cellIs" dxfId="598" priority="2575" operator="lessThan">
      <formula>0</formula>
    </cfRule>
  </conditionalFormatting>
  <conditionalFormatting sqref="H10:H1048576">
    <cfRule type="cellIs" dxfId="597" priority="2574" operator="lessThan">
      <formula>0</formula>
    </cfRule>
  </conditionalFormatting>
  <conditionalFormatting sqref="H10:H1048576">
    <cfRule type="cellIs" dxfId="596" priority="2573" operator="lessThan">
      <formula>0</formula>
    </cfRule>
  </conditionalFormatting>
  <conditionalFormatting sqref="H10:H1048576">
    <cfRule type="cellIs" dxfId="595" priority="2572" operator="lessThan">
      <formula>0</formula>
    </cfRule>
  </conditionalFormatting>
  <conditionalFormatting sqref="H10:H1048576">
    <cfRule type="cellIs" dxfId="594" priority="2571" operator="lessThan">
      <formula>0</formula>
    </cfRule>
  </conditionalFormatting>
  <conditionalFormatting sqref="H10:H1048576">
    <cfRule type="cellIs" dxfId="593" priority="2570" operator="lessThan">
      <formula>0</formula>
    </cfRule>
  </conditionalFormatting>
  <conditionalFormatting sqref="H10:H1048576">
    <cfRule type="cellIs" dxfId="592" priority="2569" operator="lessThan">
      <formula>0</formula>
    </cfRule>
  </conditionalFormatting>
  <conditionalFormatting sqref="H10:H1048576">
    <cfRule type="cellIs" dxfId="591" priority="2568" operator="lessThan">
      <formula>0</formula>
    </cfRule>
  </conditionalFormatting>
  <conditionalFormatting sqref="H10:H1048576">
    <cfRule type="cellIs" dxfId="590" priority="2567" operator="lessThan">
      <formula>0</formula>
    </cfRule>
  </conditionalFormatting>
  <conditionalFormatting sqref="H10:H1048576">
    <cfRule type="cellIs" dxfId="589" priority="2566" operator="lessThan">
      <formula>0</formula>
    </cfRule>
  </conditionalFormatting>
  <conditionalFormatting sqref="H10:H1048576">
    <cfRule type="cellIs" dxfId="588" priority="2565" operator="lessThan">
      <formula>0</formula>
    </cfRule>
  </conditionalFormatting>
  <conditionalFormatting sqref="H10:H1048576">
    <cfRule type="cellIs" dxfId="587" priority="2564" operator="lessThan">
      <formula>0</formula>
    </cfRule>
  </conditionalFormatting>
  <conditionalFormatting sqref="H10:H1048576">
    <cfRule type="cellIs" dxfId="586" priority="2563" operator="lessThan">
      <formula>0</formula>
    </cfRule>
  </conditionalFormatting>
  <conditionalFormatting sqref="H10:H1048576">
    <cfRule type="cellIs" dxfId="585" priority="2562" operator="lessThan">
      <formula>0</formula>
    </cfRule>
  </conditionalFormatting>
  <conditionalFormatting sqref="H10:H1048576">
    <cfRule type="cellIs" dxfId="584" priority="2561" operator="lessThan">
      <formula>0</formula>
    </cfRule>
  </conditionalFormatting>
  <conditionalFormatting sqref="H10:H1048576">
    <cfRule type="cellIs" dxfId="583" priority="2560" operator="lessThan">
      <formula>0</formula>
    </cfRule>
  </conditionalFormatting>
  <conditionalFormatting sqref="H10:H1048576">
    <cfRule type="cellIs" dxfId="582" priority="2559" operator="lessThan">
      <formula>0</formula>
    </cfRule>
  </conditionalFormatting>
  <conditionalFormatting sqref="H10:H1048576">
    <cfRule type="cellIs" dxfId="581" priority="2558" operator="lessThan">
      <formula>0</formula>
    </cfRule>
  </conditionalFormatting>
  <conditionalFormatting sqref="H10:H1048576">
    <cfRule type="cellIs" dxfId="580" priority="2557" operator="lessThan">
      <formula>0</formula>
    </cfRule>
  </conditionalFormatting>
  <conditionalFormatting sqref="H10:H1048576">
    <cfRule type="cellIs" dxfId="579" priority="2556" operator="lessThan">
      <formula>0</formula>
    </cfRule>
  </conditionalFormatting>
  <conditionalFormatting sqref="H10:H1048576">
    <cfRule type="cellIs" dxfId="578" priority="2555" operator="lessThan">
      <formula>0</formula>
    </cfRule>
  </conditionalFormatting>
  <conditionalFormatting sqref="H10:H1048576">
    <cfRule type="cellIs" dxfId="577" priority="2554" operator="lessThan">
      <formula>0</formula>
    </cfRule>
  </conditionalFormatting>
  <conditionalFormatting sqref="H10:H1048576">
    <cfRule type="cellIs" dxfId="576" priority="2553" operator="lessThan">
      <formula>0</formula>
    </cfRule>
  </conditionalFormatting>
  <conditionalFormatting sqref="H10:H1048576">
    <cfRule type="cellIs" dxfId="575" priority="2552" operator="lessThan">
      <formula>0</formula>
    </cfRule>
  </conditionalFormatting>
  <conditionalFormatting sqref="H10:H1048576">
    <cfRule type="cellIs" dxfId="574" priority="2551" operator="lessThan">
      <formula>0</formula>
    </cfRule>
  </conditionalFormatting>
  <conditionalFormatting sqref="H10:H1048576">
    <cfRule type="cellIs" dxfId="573" priority="2550" operator="lessThan">
      <formula>0</formula>
    </cfRule>
  </conditionalFormatting>
  <conditionalFormatting sqref="H10:H1048576">
    <cfRule type="cellIs" dxfId="572" priority="2549" operator="lessThan">
      <formula>0</formula>
    </cfRule>
  </conditionalFormatting>
  <conditionalFormatting sqref="H10:H1048576">
    <cfRule type="cellIs" dxfId="571" priority="2548" operator="lessThan">
      <formula>0</formula>
    </cfRule>
  </conditionalFormatting>
  <conditionalFormatting sqref="H10:H1048576">
    <cfRule type="cellIs" dxfId="570" priority="2547" operator="lessThan">
      <formula>0</formula>
    </cfRule>
  </conditionalFormatting>
  <conditionalFormatting sqref="H10:H1048576">
    <cfRule type="cellIs" dxfId="569" priority="2546" operator="lessThan">
      <formula>0</formula>
    </cfRule>
  </conditionalFormatting>
  <conditionalFormatting sqref="H10:H1048576">
    <cfRule type="cellIs" dxfId="568" priority="2545" operator="lessThan">
      <formula>0</formula>
    </cfRule>
  </conditionalFormatting>
  <conditionalFormatting sqref="H10:H1048576">
    <cfRule type="cellIs" dxfId="567" priority="2544" operator="lessThan">
      <formula>0</formula>
    </cfRule>
  </conditionalFormatting>
  <conditionalFormatting sqref="H10:H1048576">
    <cfRule type="cellIs" dxfId="566" priority="2543" operator="lessThan">
      <formula>0</formula>
    </cfRule>
  </conditionalFormatting>
  <conditionalFormatting sqref="H10:H1048576">
    <cfRule type="cellIs" dxfId="565" priority="2542" operator="lessThan">
      <formula>0</formula>
    </cfRule>
  </conditionalFormatting>
  <conditionalFormatting sqref="H10:H1048576">
    <cfRule type="cellIs" dxfId="564" priority="2541" operator="lessThan">
      <formula>0</formula>
    </cfRule>
  </conditionalFormatting>
  <conditionalFormatting sqref="H10:H1048576">
    <cfRule type="cellIs" dxfId="563" priority="2540" operator="lessThan">
      <formula>0</formula>
    </cfRule>
  </conditionalFormatting>
  <conditionalFormatting sqref="H10:H1048576">
    <cfRule type="cellIs" dxfId="562" priority="2539" operator="lessThan">
      <formula>0</formula>
    </cfRule>
  </conditionalFormatting>
  <conditionalFormatting sqref="H10:H1048576">
    <cfRule type="cellIs" dxfId="561" priority="2538" operator="lessThan">
      <formula>0</formula>
    </cfRule>
  </conditionalFormatting>
  <conditionalFormatting sqref="H10:H1048576">
    <cfRule type="cellIs" dxfId="560" priority="2537" operator="lessThan">
      <formula>0</formula>
    </cfRule>
  </conditionalFormatting>
  <conditionalFormatting sqref="H10:H1048576">
    <cfRule type="cellIs" dxfId="559" priority="2536" operator="lessThan">
      <formula>0</formula>
    </cfRule>
  </conditionalFormatting>
  <conditionalFormatting sqref="H10:H1048576">
    <cfRule type="cellIs" dxfId="558" priority="2535" operator="lessThan">
      <formula>0</formula>
    </cfRule>
  </conditionalFormatting>
  <conditionalFormatting sqref="H10:H1048576">
    <cfRule type="cellIs" dxfId="557" priority="2534" operator="lessThan">
      <formula>0</formula>
    </cfRule>
  </conditionalFormatting>
  <conditionalFormatting sqref="H10:H1048576">
    <cfRule type="cellIs" dxfId="556" priority="2533" operator="lessThan">
      <formula>0</formula>
    </cfRule>
  </conditionalFormatting>
  <conditionalFormatting sqref="H10:H1048576">
    <cfRule type="cellIs" dxfId="555" priority="2532" operator="lessThan">
      <formula>0</formula>
    </cfRule>
  </conditionalFormatting>
  <conditionalFormatting sqref="H10:H1048576">
    <cfRule type="cellIs" dxfId="554" priority="2531" operator="lessThan">
      <formula>0</formula>
    </cfRule>
  </conditionalFormatting>
  <conditionalFormatting sqref="H10:H1048576">
    <cfRule type="cellIs" dxfId="553" priority="2530" operator="lessThan">
      <formula>0</formula>
    </cfRule>
  </conditionalFormatting>
  <conditionalFormatting sqref="H10:H1048576">
    <cfRule type="cellIs" dxfId="552" priority="2529" operator="lessThan">
      <formula>0</formula>
    </cfRule>
  </conditionalFormatting>
  <conditionalFormatting sqref="H10:H1048576">
    <cfRule type="cellIs" dxfId="551" priority="2528" operator="lessThan">
      <formula>0</formula>
    </cfRule>
  </conditionalFormatting>
  <conditionalFormatting sqref="H10:H1048576">
    <cfRule type="cellIs" dxfId="550" priority="2527" operator="lessThan">
      <formula>0</formula>
    </cfRule>
  </conditionalFormatting>
  <conditionalFormatting sqref="H10:H1048576">
    <cfRule type="cellIs" dxfId="549" priority="2526" operator="lessThan">
      <formula>0</formula>
    </cfRule>
  </conditionalFormatting>
  <conditionalFormatting sqref="H10:H1048576">
    <cfRule type="cellIs" dxfId="548" priority="2525" operator="lessThan">
      <formula>0</formula>
    </cfRule>
  </conditionalFormatting>
  <conditionalFormatting sqref="H10:H1048576">
    <cfRule type="cellIs" dxfId="547" priority="2524" operator="lessThan">
      <formula>0</formula>
    </cfRule>
  </conditionalFormatting>
  <conditionalFormatting sqref="H10:H1048576">
    <cfRule type="cellIs" dxfId="546" priority="2523" operator="lessThan">
      <formula>0</formula>
    </cfRule>
  </conditionalFormatting>
  <conditionalFormatting sqref="H10:H1048576">
    <cfRule type="cellIs" dxfId="545" priority="2522" operator="lessThan">
      <formula>0</formula>
    </cfRule>
  </conditionalFormatting>
  <conditionalFormatting sqref="H10:H1048576">
    <cfRule type="cellIs" dxfId="544" priority="2521" operator="lessThan">
      <formula>0</formula>
    </cfRule>
  </conditionalFormatting>
  <conditionalFormatting sqref="H10:H1048576">
    <cfRule type="cellIs" dxfId="543" priority="2520" operator="lessThan">
      <formula>0</formula>
    </cfRule>
  </conditionalFormatting>
  <conditionalFormatting sqref="H10:H1048576">
    <cfRule type="cellIs" dxfId="542" priority="2519" operator="lessThan">
      <formula>0</formula>
    </cfRule>
  </conditionalFormatting>
  <conditionalFormatting sqref="H10:H1048576">
    <cfRule type="cellIs" dxfId="541" priority="2518" operator="lessThan">
      <formula>0</formula>
    </cfRule>
  </conditionalFormatting>
  <conditionalFormatting sqref="H10:H1048576">
    <cfRule type="cellIs" dxfId="540" priority="2517" operator="lessThan">
      <formula>0</formula>
    </cfRule>
  </conditionalFormatting>
  <conditionalFormatting sqref="H10:H1048576">
    <cfRule type="cellIs" dxfId="539" priority="2516" operator="lessThan">
      <formula>0</formula>
    </cfRule>
  </conditionalFormatting>
  <conditionalFormatting sqref="H10:H1048576">
    <cfRule type="cellIs" dxfId="538" priority="2515" operator="lessThan">
      <formula>0</formula>
    </cfRule>
  </conditionalFormatting>
  <conditionalFormatting sqref="H10:H1048576">
    <cfRule type="cellIs" dxfId="537" priority="2514" operator="lessThan">
      <formula>0</formula>
    </cfRule>
  </conditionalFormatting>
  <conditionalFormatting sqref="H10:H1048576">
    <cfRule type="cellIs" dxfId="536" priority="2513" operator="lessThan">
      <formula>0</formula>
    </cfRule>
  </conditionalFormatting>
  <conditionalFormatting sqref="H10:H1048576">
    <cfRule type="cellIs" dxfId="535" priority="2512" operator="lessThan">
      <formula>0</formula>
    </cfRule>
  </conditionalFormatting>
  <conditionalFormatting sqref="H10:H1048576">
    <cfRule type="cellIs" dxfId="534" priority="2511" operator="lessThan">
      <formula>0</formula>
    </cfRule>
  </conditionalFormatting>
  <conditionalFormatting sqref="H10:H1048576">
    <cfRule type="cellIs" dxfId="533" priority="2510" operator="lessThan">
      <formula>0</formula>
    </cfRule>
  </conditionalFormatting>
  <conditionalFormatting sqref="H10:H1048576">
    <cfRule type="cellIs" dxfId="532" priority="2509" operator="lessThan">
      <formula>0</formula>
    </cfRule>
  </conditionalFormatting>
  <conditionalFormatting sqref="H10:H1048576">
    <cfRule type="cellIs" dxfId="531" priority="2508" operator="lessThan">
      <formula>0</formula>
    </cfRule>
  </conditionalFormatting>
  <conditionalFormatting sqref="H10:H1048576">
    <cfRule type="cellIs" dxfId="530" priority="2507" operator="lessThan">
      <formula>0</formula>
    </cfRule>
  </conditionalFormatting>
  <conditionalFormatting sqref="H10:H1048576">
    <cfRule type="cellIs" dxfId="529" priority="2506" operator="lessThan">
      <formula>0</formula>
    </cfRule>
  </conditionalFormatting>
  <conditionalFormatting sqref="H10:H1048576">
    <cfRule type="cellIs" dxfId="528" priority="2505" operator="lessThan">
      <formula>0</formula>
    </cfRule>
  </conditionalFormatting>
  <conditionalFormatting sqref="H10:H1048576">
    <cfRule type="cellIs" dxfId="527" priority="2504" operator="lessThan">
      <formula>0</formula>
    </cfRule>
  </conditionalFormatting>
  <conditionalFormatting sqref="H10:H1048576">
    <cfRule type="cellIs" dxfId="526" priority="2503" operator="lessThan">
      <formula>0</formula>
    </cfRule>
  </conditionalFormatting>
  <conditionalFormatting sqref="H10:H1048576">
    <cfRule type="cellIs" dxfId="525" priority="2502" operator="lessThan">
      <formula>0</formula>
    </cfRule>
  </conditionalFormatting>
  <conditionalFormatting sqref="H10:H1048576">
    <cfRule type="cellIs" dxfId="524" priority="2501" operator="lessThan">
      <formula>0</formula>
    </cfRule>
  </conditionalFormatting>
  <conditionalFormatting sqref="H10:H1048576">
    <cfRule type="cellIs" dxfId="523" priority="2500" operator="lessThan">
      <formula>0</formula>
    </cfRule>
  </conditionalFormatting>
  <conditionalFormatting sqref="H10:H1048576">
    <cfRule type="cellIs" dxfId="522" priority="2499" operator="lessThan">
      <formula>0</formula>
    </cfRule>
  </conditionalFormatting>
  <conditionalFormatting sqref="H10:H1048576">
    <cfRule type="cellIs" dxfId="521" priority="2498" operator="lessThan">
      <formula>0</formula>
    </cfRule>
  </conditionalFormatting>
  <conditionalFormatting sqref="H10:H1048576">
    <cfRule type="cellIs" dxfId="520" priority="2497" operator="lessThan">
      <formula>0</formula>
    </cfRule>
  </conditionalFormatting>
  <conditionalFormatting sqref="H10:H1048576">
    <cfRule type="cellIs" dxfId="519" priority="2496" operator="lessThan">
      <formula>0</formula>
    </cfRule>
  </conditionalFormatting>
  <conditionalFormatting sqref="H10:H1048576">
    <cfRule type="cellIs" dxfId="518" priority="2495" operator="lessThan">
      <formula>0</formula>
    </cfRule>
  </conditionalFormatting>
  <conditionalFormatting sqref="H10:H1048576">
    <cfRule type="cellIs" dxfId="517" priority="2494" operator="lessThan">
      <formula>0</formula>
    </cfRule>
  </conditionalFormatting>
  <conditionalFormatting sqref="H10:H1048576">
    <cfRule type="cellIs" dxfId="516" priority="2493" operator="lessThan">
      <formula>0</formula>
    </cfRule>
  </conditionalFormatting>
  <conditionalFormatting sqref="H10:H1048576">
    <cfRule type="cellIs" dxfId="515" priority="2492" operator="lessThan">
      <formula>0</formula>
    </cfRule>
  </conditionalFormatting>
  <conditionalFormatting sqref="H10:H1048576">
    <cfRule type="cellIs" dxfId="514" priority="2491" operator="lessThan">
      <formula>0</formula>
    </cfRule>
  </conditionalFormatting>
  <conditionalFormatting sqref="H10:H1048576">
    <cfRule type="cellIs" dxfId="513" priority="2490" operator="lessThan">
      <formula>0</formula>
    </cfRule>
  </conditionalFormatting>
  <conditionalFormatting sqref="H10:H1048576">
    <cfRule type="cellIs" dxfId="512" priority="2489" operator="lessThan">
      <formula>0</formula>
    </cfRule>
  </conditionalFormatting>
  <conditionalFormatting sqref="H10:H1048576">
    <cfRule type="cellIs" dxfId="511" priority="2488" operator="lessThan">
      <formula>0</formula>
    </cfRule>
  </conditionalFormatting>
  <conditionalFormatting sqref="H10:H1048576">
    <cfRule type="cellIs" dxfId="510" priority="2487" operator="lessThan">
      <formula>0</formula>
    </cfRule>
  </conditionalFormatting>
  <conditionalFormatting sqref="H10:H1048576">
    <cfRule type="cellIs" dxfId="509" priority="2486" operator="lessThan">
      <formula>0</formula>
    </cfRule>
  </conditionalFormatting>
  <conditionalFormatting sqref="H10:H1048576">
    <cfRule type="cellIs" dxfId="508" priority="2485" operator="lessThan">
      <formula>0</formula>
    </cfRule>
  </conditionalFormatting>
  <conditionalFormatting sqref="H10:H1048576">
    <cfRule type="cellIs" dxfId="507" priority="2484" operator="lessThan">
      <formula>0</formula>
    </cfRule>
  </conditionalFormatting>
  <conditionalFormatting sqref="H10:H1048576">
    <cfRule type="cellIs" dxfId="506" priority="2483" operator="lessThan">
      <formula>0</formula>
    </cfRule>
  </conditionalFormatting>
  <conditionalFormatting sqref="H10:H1048576">
    <cfRule type="cellIs" dxfId="505" priority="2482" operator="lessThan">
      <formula>0</formula>
    </cfRule>
  </conditionalFormatting>
  <conditionalFormatting sqref="H10:H1048576">
    <cfRule type="cellIs" dxfId="504" priority="2481" operator="lessThan">
      <formula>0</formula>
    </cfRule>
  </conditionalFormatting>
  <conditionalFormatting sqref="H10:H1048576">
    <cfRule type="cellIs" dxfId="503" priority="2480" operator="lessThan">
      <formula>0</formula>
    </cfRule>
  </conditionalFormatting>
  <conditionalFormatting sqref="H10:H1048576">
    <cfRule type="cellIs" dxfId="502" priority="2479" operator="lessThan">
      <formula>0</formula>
    </cfRule>
  </conditionalFormatting>
  <conditionalFormatting sqref="H10:H1048576">
    <cfRule type="cellIs" dxfId="501" priority="2478" operator="lessThan">
      <formula>0</formula>
    </cfRule>
  </conditionalFormatting>
  <conditionalFormatting sqref="H10:H1048576">
    <cfRule type="cellIs" dxfId="500" priority="2477" operator="lessThan">
      <formula>0</formula>
    </cfRule>
  </conditionalFormatting>
  <conditionalFormatting sqref="H10:H1048576">
    <cfRule type="cellIs" dxfId="499" priority="2476" operator="lessThan">
      <formula>0</formula>
    </cfRule>
  </conditionalFormatting>
  <conditionalFormatting sqref="H10:H1048576">
    <cfRule type="cellIs" dxfId="498" priority="2475" operator="lessThan">
      <formula>0</formula>
    </cfRule>
  </conditionalFormatting>
  <conditionalFormatting sqref="H10:H1048576">
    <cfRule type="cellIs" dxfId="497" priority="2474" operator="lessThan">
      <formula>0</formula>
    </cfRule>
  </conditionalFormatting>
  <conditionalFormatting sqref="H10:H1048576">
    <cfRule type="cellIs" dxfId="496" priority="2473" operator="lessThan">
      <formula>0</formula>
    </cfRule>
  </conditionalFormatting>
  <conditionalFormatting sqref="H10:H1048576">
    <cfRule type="cellIs" dxfId="495" priority="2472" operator="lessThan">
      <formula>0</formula>
    </cfRule>
  </conditionalFormatting>
  <conditionalFormatting sqref="H10:H1048576">
    <cfRule type="cellIs" dxfId="494" priority="2471" operator="lessThan">
      <formula>0</formula>
    </cfRule>
  </conditionalFormatting>
  <conditionalFormatting sqref="H10:H1048576">
    <cfRule type="cellIs" dxfId="493" priority="2470" operator="lessThan">
      <formula>0</formula>
    </cfRule>
  </conditionalFormatting>
  <conditionalFormatting sqref="H10:H1048576">
    <cfRule type="cellIs" dxfId="492" priority="2469" operator="lessThan">
      <formula>0</formula>
    </cfRule>
  </conditionalFormatting>
  <conditionalFormatting sqref="H10:H1048576">
    <cfRule type="cellIs" dxfId="491" priority="2468" operator="lessThan">
      <formula>0</formula>
    </cfRule>
  </conditionalFormatting>
  <conditionalFormatting sqref="H10:H1048576">
    <cfRule type="cellIs" dxfId="490" priority="2467" operator="lessThan">
      <formula>0</formula>
    </cfRule>
  </conditionalFormatting>
  <conditionalFormatting sqref="H10:H1048576">
    <cfRule type="cellIs" dxfId="489" priority="2466" operator="lessThan">
      <formula>0</formula>
    </cfRule>
  </conditionalFormatting>
  <conditionalFormatting sqref="H10:H1048576">
    <cfRule type="cellIs" dxfId="488" priority="2465" operator="lessThan">
      <formula>0</formula>
    </cfRule>
  </conditionalFormatting>
  <conditionalFormatting sqref="H10:H1048576">
    <cfRule type="cellIs" dxfId="487" priority="2464" operator="lessThan">
      <formula>0</formula>
    </cfRule>
  </conditionalFormatting>
  <conditionalFormatting sqref="H10:H1048576">
    <cfRule type="cellIs" dxfId="486" priority="2463" operator="lessThan">
      <formula>0</formula>
    </cfRule>
  </conditionalFormatting>
  <conditionalFormatting sqref="H10:H1048576">
    <cfRule type="cellIs" dxfId="485" priority="2462" operator="lessThan">
      <formula>0</formula>
    </cfRule>
  </conditionalFormatting>
  <conditionalFormatting sqref="H10:H1048576">
    <cfRule type="cellIs" dxfId="484" priority="2461" operator="lessThan">
      <formula>0</formula>
    </cfRule>
  </conditionalFormatting>
  <conditionalFormatting sqref="H10:H1048576">
    <cfRule type="cellIs" dxfId="483" priority="2460" operator="lessThan">
      <formula>0</formula>
    </cfRule>
  </conditionalFormatting>
  <conditionalFormatting sqref="H10:H1048576">
    <cfRule type="cellIs" dxfId="482" priority="2459" operator="lessThan">
      <formula>0</formula>
    </cfRule>
  </conditionalFormatting>
  <conditionalFormatting sqref="H10:H1048576">
    <cfRule type="cellIs" dxfId="481" priority="2458" operator="lessThan">
      <formula>0</formula>
    </cfRule>
  </conditionalFormatting>
  <conditionalFormatting sqref="H10:H1048576">
    <cfRule type="cellIs" dxfId="480" priority="2457" operator="lessThan">
      <formula>0</formula>
    </cfRule>
  </conditionalFormatting>
  <conditionalFormatting sqref="H10:H1048576">
    <cfRule type="cellIs" dxfId="479" priority="2456" operator="lessThan">
      <formula>0</formula>
    </cfRule>
  </conditionalFormatting>
  <conditionalFormatting sqref="H10:H1048576">
    <cfRule type="cellIs" dxfId="478" priority="2455" operator="lessThan">
      <formula>0</formula>
    </cfRule>
  </conditionalFormatting>
  <conditionalFormatting sqref="H10:H1048576">
    <cfRule type="cellIs" dxfId="477" priority="2454" operator="lessThan">
      <formula>0</formula>
    </cfRule>
  </conditionalFormatting>
  <conditionalFormatting sqref="H10:H1048576">
    <cfRule type="cellIs" dxfId="476" priority="2453" operator="lessThan">
      <formula>0</formula>
    </cfRule>
  </conditionalFormatting>
  <conditionalFormatting sqref="H10:H1048576">
    <cfRule type="cellIs" dxfId="475" priority="2452" operator="lessThan">
      <formula>0</formula>
    </cfRule>
  </conditionalFormatting>
  <conditionalFormatting sqref="H10:H1048576">
    <cfRule type="cellIs" dxfId="474" priority="2451" operator="lessThan">
      <formula>0</formula>
    </cfRule>
  </conditionalFormatting>
  <conditionalFormatting sqref="H10:H1048576">
    <cfRule type="cellIs" dxfId="473" priority="2450" operator="lessThan">
      <formula>0</formula>
    </cfRule>
  </conditionalFormatting>
  <conditionalFormatting sqref="H10:H1048576">
    <cfRule type="cellIs" dxfId="472" priority="2449" operator="lessThan">
      <formula>0</formula>
    </cfRule>
  </conditionalFormatting>
  <conditionalFormatting sqref="H10:H1048576">
    <cfRule type="cellIs" dxfId="471" priority="2448" operator="lessThan">
      <formula>0</formula>
    </cfRule>
  </conditionalFormatting>
  <conditionalFormatting sqref="H10:H1048576">
    <cfRule type="cellIs" dxfId="470" priority="2447" operator="lessThan">
      <formula>0</formula>
    </cfRule>
  </conditionalFormatting>
  <conditionalFormatting sqref="H10:H1048576">
    <cfRule type="cellIs" dxfId="469" priority="2446" operator="lessThan">
      <formula>0</formula>
    </cfRule>
  </conditionalFormatting>
  <conditionalFormatting sqref="H10:H1048576">
    <cfRule type="cellIs" dxfId="468" priority="2445" operator="lessThan">
      <formula>0</formula>
    </cfRule>
  </conditionalFormatting>
  <conditionalFormatting sqref="H10:H1048576">
    <cfRule type="cellIs" dxfId="467" priority="2444" operator="lessThan">
      <formula>0</formula>
    </cfRule>
  </conditionalFormatting>
  <conditionalFormatting sqref="H10:H1048576">
    <cfRule type="cellIs" dxfId="466" priority="2443" operator="lessThan">
      <formula>0</formula>
    </cfRule>
  </conditionalFormatting>
  <conditionalFormatting sqref="H10:H1048576">
    <cfRule type="cellIs" dxfId="465" priority="2442" operator="lessThan">
      <formula>0</formula>
    </cfRule>
  </conditionalFormatting>
  <conditionalFormatting sqref="H10:H1048576">
    <cfRule type="cellIs" dxfId="464" priority="2441" operator="lessThan">
      <formula>0</formula>
    </cfRule>
  </conditionalFormatting>
  <conditionalFormatting sqref="H10:H1048576">
    <cfRule type="cellIs" dxfId="463" priority="2440" operator="lessThan">
      <formula>0</formula>
    </cfRule>
  </conditionalFormatting>
  <conditionalFormatting sqref="H10:H1048576">
    <cfRule type="cellIs" dxfId="462" priority="2439" operator="lessThan">
      <formula>0</formula>
    </cfRule>
  </conditionalFormatting>
  <conditionalFormatting sqref="H10:H1048576">
    <cfRule type="cellIs" dxfId="461" priority="2438" operator="lessThan">
      <formula>0</formula>
    </cfRule>
  </conditionalFormatting>
  <conditionalFormatting sqref="H10:H1048576">
    <cfRule type="cellIs" dxfId="460" priority="2437" operator="lessThan">
      <formula>0</formula>
    </cfRule>
  </conditionalFormatting>
  <conditionalFormatting sqref="H10:H1048576">
    <cfRule type="cellIs" dxfId="459" priority="2436" operator="lessThan">
      <formula>0</formula>
    </cfRule>
  </conditionalFormatting>
  <conditionalFormatting sqref="H10:H1048576">
    <cfRule type="cellIs" dxfId="458" priority="2435" operator="lessThan">
      <formula>0</formula>
    </cfRule>
  </conditionalFormatting>
  <conditionalFormatting sqref="H10:H1048576">
    <cfRule type="cellIs" dxfId="457" priority="2434" operator="lessThan">
      <formula>0</formula>
    </cfRule>
  </conditionalFormatting>
  <conditionalFormatting sqref="H10:H1048576">
    <cfRule type="cellIs" dxfId="456" priority="2433" operator="lessThan">
      <formula>0</formula>
    </cfRule>
  </conditionalFormatting>
  <conditionalFormatting sqref="H10:H1048576">
    <cfRule type="cellIs" dxfId="455" priority="2432" operator="lessThan">
      <formula>0</formula>
    </cfRule>
  </conditionalFormatting>
  <conditionalFormatting sqref="H10:H1048576">
    <cfRule type="cellIs" dxfId="454" priority="2431" operator="lessThan">
      <formula>0</formula>
    </cfRule>
  </conditionalFormatting>
  <conditionalFormatting sqref="H10:H1048576">
    <cfRule type="cellIs" dxfId="453" priority="2430" operator="lessThan">
      <formula>0</formula>
    </cfRule>
  </conditionalFormatting>
  <conditionalFormatting sqref="H10:H1048576">
    <cfRule type="cellIs" dxfId="452" priority="2429" operator="lessThan">
      <formula>0</formula>
    </cfRule>
  </conditionalFormatting>
  <conditionalFormatting sqref="H10:H1048576">
    <cfRule type="cellIs" dxfId="451" priority="2428" operator="lessThan">
      <formula>0</formula>
    </cfRule>
  </conditionalFormatting>
  <conditionalFormatting sqref="H10:H1048576">
    <cfRule type="cellIs" dxfId="450" priority="2427" operator="lessThan">
      <formula>0</formula>
    </cfRule>
  </conditionalFormatting>
  <conditionalFormatting sqref="H10:H1048576">
    <cfRule type="cellIs" dxfId="449" priority="2426" operator="lessThan">
      <formula>0</formula>
    </cfRule>
  </conditionalFormatting>
  <conditionalFormatting sqref="H10:H1048576">
    <cfRule type="cellIs" dxfId="448" priority="2425" operator="lessThan">
      <formula>0</formula>
    </cfRule>
  </conditionalFormatting>
  <conditionalFormatting sqref="H10:H1048576">
    <cfRule type="cellIs" dxfId="447" priority="2424" operator="lessThan">
      <formula>0</formula>
    </cfRule>
  </conditionalFormatting>
  <conditionalFormatting sqref="H10:H1048576">
    <cfRule type="cellIs" dxfId="446" priority="2423" operator="lessThan">
      <formula>0</formula>
    </cfRule>
  </conditionalFormatting>
  <conditionalFormatting sqref="H10:H1048576">
    <cfRule type="cellIs" dxfId="445" priority="2422" operator="lessThan">
      <formula>0</formula>
    </cfRule>
  </conditionalFormatting>
  <conditionalFormatting sqref="H10:H1048576">
    <cfRule type="cellIs" dxfId="444" priority="2421" operator="lessThan">
      <formula>0</formula>
    </cfRule>
  </conditionalFormatting>
  <conditionalFormatting sqref="H10:H1048576">
    <cfRule type="cellIs" dxfId="443" priority="2420" operator="lessThan">
      <formula>0</formula>
    </cfRule>
  </conditionalFormatting>
  <conditionalFormatting sqref="H10:H1048576">
    <cfRule type="cellIs" dxfId="442" priority="2419" operator="lessThan">
      <formula>0</formula>
    </cfRule>
  </conditionalFormatting>
  <conditionalFormatting sqref="H10:H1048576">
    <cfRule type="cellIs" dxfId="441" priority="2418" operator="lessThan">
      <formula>0</formula>
    </cfRule>
  </conditionalFormatting>
  <conditionalFormatting sqref="H10:H1048576">
    <cfRule type="cellIs" dxfId="440" priority="2417" operator="lessThan">
      <formula>0</formula>
    </cfRule>
  </conditionalFormatting>
  <conditionalFormatting sqref="H10:H1048576">
    <cfRule type="cellIs" dxfId="439" priority="2416" operator="lessThan">
      <formula>0</formula>
    </cfRule>
  </conditionalFormatting>
  <conditionalFormatting sqref="H10:H1048576">
    <cfRule type="cellIs" dxfId="438" priority="2415" operator="lessThan">
      <formula>0</formula>
    </cfRule>
  </conditionalFormatting>
  <conditionalFormatting sqref="H10:H1048576">
    <cfRule type="cellIs" dxfId="437" priority="2414" operator="lessThan">
      <formula>0</formula>
    </cfRule>
  </conditionalFormatting>
  <conditionalFormatting sqref="H10:H1048576">
    <cfRule type="cellIs" dxfId="436" priority="2413" operator="lessThan">
      <formula>0</formula>
    </cfRule>
  </conditionalFormatting>
  <conditionalFormatting sqref="H10:H1048576">
    <cfRule type="cellIs" dxfId="435" priority="2412" operator="lessThan">
      <formula>0</formula>
    </cfRule>
  </conditionalFormatting>
  <conditionalFormatting sqref="H10:H1048576">
    <cfRule type="cellIs" dxfId="434" priority="2411" operator="lessThan">
      <formula>0</formula>
    </cfRule>
  </conditionalFormatting>
  <conditionalFormatting sqref="H10:H1048576">
    <cfRule type="cellIs" dxfId="433" priority="2410" operator="lessThan">
      <formula>0</formula>
    </cfRule>
  </conditionalFormatting>
  <conditionalFormatting sqref="H10:H1048576">
    <cfRule type="cellIs" dxfId="432" priority="2409" operator="lessThan">
      <formula>0</formula>
    </cfRule>
  </conditionalFormatting>
  <conditionalFormatting sqref="H10:H1048576">
    <cfRule type="cellIs" dxfId="431" priority="2408" operator="lessThan">
      <formula>0</formula>
    </cfRule>
  </conditionalFormatting>
  <conditionalFormatting sqref="H10:H1048576">
    <cfRule type="cellIs" dxfId="430" priority="2407" operator="lessThan">
      <formula>0</formula>
    </cfRule>
  </conditionalFormatting>
  <conditionalFormatting sqref="H10:H1048576">
    <cfRule type="cellIs" dxfId="429" priority="2406" operator="lessThan">
      <formula>0</formula>
    </cfRule>
  </conditionalFormatting>
  <conditionalFormatting sqref="H10:H1048576">
    <cfRule type="cellIs" dxfId="428" priority="2405" operator="lessThan">
      <formula>0</formula>
    </cfRule>
  </conditionalFormatting>
  <conditionalFormatting sqref="H10:H1048576">
    <cfRule type="cellIs" dxfId="427" priority="2404" operator="lessThan">
      <formula>0</formula>
    </cfRule>
  </conditionalFormatting>
  <conditionalFormatting sqref="H10:H1048576">
    <cfRule type="cellIs" dxfId="426" priority="2403" operator="lessThan">
      <formula>0</formula>
    </cfRule>
  </conditionalFormatting>
  <conditionalFormatting sqref="H10:H1048576">
    <cfRule type="cellIs" dxfId="425" priority="2402" operator="lessThan">
      <formula>0</formula>
    </cfRule>
  </conditionalFormatting>
  <conditionalFormatting sqref="H10:H1048576">
    <cfRule type="cellIs" dxfId="424" priority="2401" operator="lessThan">
      <formula>0</formula>
    </cfRule>
  </conditionalFormatting>
  <conditionalFormatting sqref="H10:H1048576">
    <cfRule type="cellIs" dxfId="423" priority="2400" operator="lessThan">
      <formula>0</formula>
    </cfRule>
  </conditionalFormatting>
  <conditionalFormatting sqref="H10:H1048576">
    <cfRule type="cellIs" dxfId="422" priority="2399" operator="lessThan">
      <formula>0</formula>
    </cfRule>
  </conditionalFormatting>
  <conditionalFormatting sqref="H10:H1048576">
    <cfRule type="cellIs" dxfId="421" priority="2398" operator="lessThan">
      <formula>0</formula>
    </cfRule>
  </conditionalFormatting>
  <conditionalFormatting sqref="H10:H1048576">
    <cfRule type="cellIs" dxfId="420" priority="2397" operator="lessThan">
      <formula>0</formula>
    </cfRule>
  </conditionalFormatting>
  <conditionalFormatting sqref="H10:H1048576">
    <cfRule type="cellIs" dxfId="419" priority="2396" operator="lessThan">
      <formula>0</formula>
    </cfRule>
  </conditionalFormatting>
  <conditionalFormatting sqref="H10:H1048576">
    <cfRule type="cellIs" dxfId="418" priority="2395" operator="lessThan">
      <formula>0</formula>
    </cfRule>
  </conditionalFormatting>
  <conditionalFormatting sqref="H10:H1048576">
    <cfRule type="cellIs" dxfId="417" priority="2394" operator="lessThan">
      <formula>0</formula>
    </cfRule>
  </conditionalFormatting>
  <conditionalFormatting sqref="H10:H1048576">
    <cfRule type="cellIs" dxfId="416" priority="2393" operator="lessThan">
      <formula>0</formula>
    </cfRule>
  </conditionalFormatting>
  <conditionalFormatting sqref="H10:H1048576">
    <cfRule type="cellIs" dxfId="415" priority="2392" operator="lessThan">
      <formula>0</formula>
    </cfRule>
  </conditionalFormatting>
  <conditionalFormatting sqref="H10:H1048576">
    <cfRule type="cellIs" dxfId="414" priority="2391" operator="lessThan">
      <formula>0</formula>
    </cfRule>
  </conditionalFormatting>
  <conditionalFormatting sqref="H10:H1048576">
    <cfRule type="cellIs" dxfId="413" priority="2390" operator="lessThan">
      <formula>0</formula>
    </cfRule>
  </conditionalFormatting>
  <conditionalFormatting sqref="H10:H1048576">
    <cfRule type="cellIs" dxfId="412" priority="2389" operator="lessThan">
      <formula>0</formula>
    </cfRule>
  </conditionalFormatting>
  <conditionalFormatting sqref="H10:H1048576">
    <cfRule type="cellIs" dxfId="411" priority="2388" operator="lessThan">
      <formula>0</formula>
    </cfRule>
  </conditionalFormatting>
  <conditionalFormatting sqref="H10:H1048576">
    <cfRule type="cellIs" dxfId="410" priority="2387" operator="lessThan">
      <formula>0</formula>
    </cfRule>
  </conditionalFormatting>
  <conditionalFormatting sqref="H10:H1048576">
    <cfRule type="cellIs" dxfId="409" priority="2386" operator="lessThan">
      <formula>0</formula>
    </cfRule>
  </conditionalFormatting>
  <conditionalFormatting sqref="H10:H1048576">
    <cfRule type="cellIs" dxfId="408" priority="2385" operator="lessThan">
      <formula>0</formula>
    </cfRule>
  </conditionalFormatting>
  <conditionalFormatting sqref="H10:H1048576">
    <cfRule type="cellIs" dxfId="407" priority="2384" operator="lessThan">
      <formula>0</formula>
    </cfRule>
  </conditionalFormatting>
  <conditionalFormatting sqref="H10:H1048576">
    <cfRule type="cellIs" dxfId="406" priority="2383" operator="lessThan">
      <formula>0</formula>
    </cfRule>
  </conditionalFormatting>
  <conditionalFormatting sqref="H10:H1048576">
    <cfRule type="cellIs" dxfId="405" priority="2382" operator="lessThan">
      <formula>0</formula>
    </cfRule>
  </conditionalFormatting>
  <conditionalFormatting sqref="H10:H1048576">
    <cfRule type="cellIs" dxfId="404" priority="2381" operator="lessThan">
      <formula>0</formula>
    </cfRule>
  </conditionalFormatting>
  <conditionalFormatting sqref="H10:H1048576">
    <cfRule type="cellIs" dxfId="403" priority="2380" operator="lessThan">
      <formula>0</formula>
    </cfRule>
  </conditionalFormatting>
  <conditionalFormatting sqref="H10:H1048576">
    <cfRule type="cellIs" dxfId="402" priority="2379" operator="lessThan">
      <formula>0</formula>
    </cfRule>
  </conditionalFormatting>
  <conditionalFormatting sqref="H10:H1048576">
    <cfRule type="cellIs" dxfId="401" priority="2378" operator="lessThan">
      <formula>0</formula>
    </cfRule>
  </conditionalFormatting>
  <conditionalFormatting sqref="H10:H1048576">
    <cfRule type="cellIs" dxfId="400" priority="2377" operator="lessThan">
      <formula>0</formula>
    </cfRule>
  </conditionalFormatting>
  <conditionalFormatting sqref="H10:H1048576">
    <cfRule type="cellIs" dxfId="399" priority="2376" operator="lessThan">
      <formula>0</formula>
    </cfRule>
  </conditionalFormatting>
  <conditionalFormatting sqref="H10:H1048576">
    <cfRule type="cellIs" dxfId="398" priority="2375" operator="lessThan">
      <formula>0</formula>
    </cfRule>
  </conditionalFormatting>
  <conditionalFormatting sqref="H10:H1048576">
    <cfRule type="cellIs" dxfId="397" priority="2374" operator="lessThan">
      <formula>0</formula>
    </cfRule>
  </conditionalFormatting>
  <conditionalFormatting sqref="H10:H1048576">
    <cfRule type="cellIs" dxfId="396" priority="2373" operator="lessThan">
      <formula>0</formula>
    </cfRule>
  </conditionalFormatting>
  <conditionalFormatting sqref="H10:H1048576">
    <cfRule type="cellIs" dxfId="395" priority="2372" operator="lessThan">
      <formula>0</formula>
    </cfRule>
  </conditionalFormatting>
  <conditionalFormatting sqref="H10:H1048576">
    <cfRule type="cellIs" dxfId="394" priority="2371" operator="lessThan">
      <formula>0</formula>
    </cfRule>
  </conditionalFormatting>
  <conditionalFormatting sqref="H10:H1048576">
    <cfRule type="cellIs" dxfId="393" priority="2370" operator="lessThan">
      <formula>0</formula>
    </cfRule>
  </conditionalFormatting>
  <conditionalFormatting sqref="H10:H1048576">
    <cfRule type="cellIs" dxfId="392" priority="2369" operator="lessThan">
      <formula>0</formula>
    </cfRule>
  </conditionalFormatting>
  <conditionalFormatting sqref="H10:H1048576">
    <cfRule type="cellIs" dxfId="391" priority="2368" operator="lessThan">
      <formula>0</formula>
    </cfRule>
  </conditionalFormatting>
  <conditionalFormatting sqref="H10:H1048576">
    <cfRule type="cellIs" dxfId="390" priority="2367" operator="lessThan">
      <formula>0</formula>
    </cfRule>
  </conditionalFormatting>
  <conditionalFormatting sqref="H10:H1048576">
    <cfRule type="cellIs" dxfId="389" priority="2366" operator="lessThan">
      <formula>0</formula>
    </cfRule>
  </conditionalFormatting>
  <conditionalFormatting sqref="H10:H1048576">
    <cfRule type="cellIs" dxfId="388" priority="2365" operator="lessThan">
      <formula>0</formula>
    </cfRule>
  </conditionalFormatting>
  <conditionalFormatting sqref="H10:H1048576">
    <cfRule type="cellIs" dxfId="387" priority="2364" operator="lessThan">
      <formula>0</formula>
    </cfRule>
  </conditionalFormatting>
  <conditionalFormatting sqref="H10:H1048576">
    <cfRule type="cellIs" dxfId="386" priority="2363" operator="lessThan">
      <formula>0</formula>
    </cfRule>
  </conditionalFormatting>
  <conditionalFormatting sqref="H10:H1048576">
    <cfRule type="cellIs" dxfId="385" priority="2362" operator="lessThan">
      <formula>0</formula>
    </cfRule>
  </conditionalFormatting>
  <conditionalFormatting sqref="H10:H1048576">
    <cfRule type="cellIs" dxfId="384" priority="2361" operator="lessThan">
      <formula>0</formula>
    </cfRule>
  </conditionalFormatting>
  <conditionalFormatting sqref="H10:H1048576">
    <cfRule type="cellIs" dxfId="383" priority="2360" operator="lessThan">
      <formula>0</formula>
    </cfRule>
  </conditionalFormatting>
  <conditionalFormatting sqref="H10:H1048576">
    <cfRule type="cellIs" dxfId="382" priority="2359" operator="lessThan">
      <formula>0</formula>
    </cfRule>
  </conditionalFormatting>
  <conditionalFormatting sqref="H10:H1048576">
    <cfRule type="cellIs" dxfId="381" priority="2358" operator="lessThan">
      <formula>0</formula>
    </cfRule>
  </conditionalFormatting>
  <conditionalFormatting sqref="H10:H1048576">
    <cfRule type="cellIs" dxfId="380" priority="2357" operator="lessThan">
      <formula>0</formula>
    </cfRule>
  </conditionalFormatting>
  <conditionalFormatting sqref="H10:H1048576">
    <cfRule type="cellIs" dxfId="379" priority="2356" operator="lessThan">
      <formula>0</formula>
    </cfRule>
  </conditionalFormatting>
  <conditionalFormatting sqref="H10:H1048576">
    <cfRule type="cellIs" dxfId="378" priority="2355" operator="lessThan">
      <formula>0</formula>
    </cfRule>
  </conditionalFormatting>
  <conditionalFormatting sqref="H10:H1048576">
    <cfRule type="cellIs" dxfId="377" priority="2354" operator="lessThan">
      <formula>0</formula>
    </cfRule>
  </conditionalFormatting>
  <conditionalFormatting sqref="H10:H1048576">
    <cfRule type="cellIs" dxfId="376" priority="2353" operator="lessThan">
      <formula>0</formula>
    </cfRule>
  </conditionalFormatting>
  <conditionalFormatting sqref="H10:H1048576">
    <cfRule type="cellIs" dxfId="375" priority="2352" operator="lessThan">
      <formula>0</formula>
    </cfRule>
  </conditionalFormatting>
  <conditionalFormatting sqref="H10:H1048576">
    <cfRule type="cellIs" dxfId="374" priority="2351" operator="lessThan">
      <formula>0</formula>
    </cfRule>
  </conditionalFormatting>
  <conditionalFormatting sqref="H10:H1048576">
    <cfRule type="cellIs" dxfId="373" priority="2350" operator="lessThan">
      <formula>0</formula>
    </cfRule>
  </conditionalFormatting>
  <conditionalFormatting sqref="H10:H1048576">
    <cfRule type="cellIs" dxfId="372" priority="2349" operator="lessThan">
      <formula>0</formula>
    </cfRule>
  </conditionalFormatting>
  <conditionalFormatting sqref="H10:H1048576">
    <cfRule type="cellIs" dxfId="371" priority="2348" operator="lessThan">
      <formula>0</formula>
    </cfRule>
  </conditionalFormatting>
  <conditionalFormatting sqref="H10:H1048576">
    <cfRule type="cellIs" dxfId="370" priority="2347" operator="lessThan">
      <formula>0</formula>
    </cfRule>
  </conditionalFormatting>
  <conditionalFormatting sqref="H10:H1048576">
    <cfRule type="cellIs" dxfId="369" priority="2346" operator="lessThan">
      <formula>0</formula>
    </cfRule>
  </conditionalFormatting>
  <conditionalFormatting sqref="H10:H1048576">
    <cfRule type="cellIs" dxfId="368" priority="2345" operator="lessThan">
      <formula>0</formula>
    </cfRule>
  </conditionalFormatting>
  <conditionalFormatting sqref="H10:H1048576">
    <cfRule type="cellIs" dxfId="367" priority="2344" operator="lessThan">
      <formula>0</formula>
    </cfRule>
  </conditionalFormatting>
  <conditionalFormatting sqref="H10:H1048576">
    <cfRule type="cellIs" dxfId="366" priority="2343" operator="lessThan">
      <formula>0</formula>
    </cfRule>
  </conditionalFormatting>
  <conditionalFormatting sqref="H10:H1048576">
    <cfRule type="cellIs" dxfId="365" priority="2342" operator="lessThan">
      <formula>0</formula>
    </cfRule>
  </conditionalFormatting>
  <conditionalFormatting sqref="H10:H1048576">
    <cfRule type="cellIs" dxfId="364" priority="2341" operator="lessThan">
      <formula>0</formula>
    </cfRule>
  </conditionalFormatting>
  <conditionalFormatting sqref="H10:H1048576">
    <cfRule type="cellIs" dxfId="363" priority="2340" operator="lessThan">
      <formula>0</formula>
    </cfRule>
  </conditionalFormatting>
  <conditionalFormatting sqref="H10:H1048576">
    <cfRule type="cellIs" dxfId="362" priority="2339" operator="lessThan">
      <formula>0</formula>
    </cfRule>
  </conditionalFormatting>
  <conditionalFormatting sqref="H10:H1048576">
    <cfRule type="cellIs" dxfId="361" priority="2338" operator="lessThan">
      <formula>0</formula>
    </cfRule>
  </conditionalFormatting>
  <conditionalFormatting sqref="H10:H1048576">
    <cfRule type="cellIs" dxfId="360" priority="2337" operator="lessThan">
      <formula>0</formula>
    </cfRule>
  </conditionalFormatting>
  <conditionalFormatting sqref="H10:H1048576">
    <cfRule type="cellIs" dxfId="359" priority="2336" operator="lessThan">
      <formula>0</formula>
    </cfRule>
  </conditionalFormatting>
  <conditionalFormatting sqref="H10:H1048576">
    <cfRule type="cellIs" dxfId="358" priority="2335" operator="lessThan">
      <formula>0</formula>
    </cfRule>
  </conditionalFormatting>
  <conditionalFormatting sqref="H10:H1048576">
    <cfRule type="cellIs" dxfId="357" priority="2334" operator="lessThan">
      <formula>0</formula>
    </cfRule>
  </conditionalFormatting>
  <conditionalFormatting sqref="H10:H1048576">
    <cfRule type="cellIs" dxfId="356" priority="2333" operator="lessThan">
      <formula>0</formula>
    </cfRule>
  </conditionalFormatting>
  <conditionalFormatting sqref="H10:H1048576">
    <cfRule type="cellIs" dxfId="355" priority="2332" operator="lessThan">
      <formula>0</formula>
    </cfRule>
  </conditionalFormatting>
  <conditionalFormatting sqref="H10:H1048576">
    <cfRule type="cellIs" dxfId="354" priority="2331" operator="lessThan">
      <formula>0</formula>
    </cfRule>
  </conditionalFormatting>
  <conditionalFormatting sqref="H10:H1048576">
    <cfRule type="cellIs" dxfId="353" priority="2330" operator="lessThan">
      <formula>0</formula>
    </cfRule>
  </conditionalFormatting>
  <conditionalFormatting sqref="H10:H1048576">
    <cfRule type="cellIs" dxfId="352" priority="2329" operator="lessThan">
      <formula>0</formula>
    </cfRule>
  </conditionalFormatting>
  <conditionalFormatting sqref="H10:H1048576">
    <cfRule type="cellIs" dxfId="351" priority="2328" operator="lessThan">
      <formula>0</formula>
    </cfRule>
  </conditionalFormatting>
  <conditionalFormatting sqref="H10:H1048576">
    <cfRule type="cellIs" dxfId="350" priority="2327" operator="lessThan">
      <formula>0</formula>
    </cfRule>
  </conditionalFormatting>
  <conditionalFormatting sqref="H10:H1048576">
    <cfRule type="cellIs" dxfId="349" priority="2326" operator="lessThan">
      <formula>0</formula>
    </cfRule>
  </conditionalFormatting>
  <conditionalFormatting sqref="H10:H1048576">
    <cfRule type="cellIs" dxfId="348" priority="2325" operator="lessThan">
      <formula>0</formula>
    </cfRule>
  </conditionalFormatting>
  <conditionalFormatting sqref="H10:H1048576">
    <cfRule type="cellIs" dxfId="347" priority="2324" operator="lessThan">
      <formula>0</formula>
    </cfRule>
  </conditionalFormatting>
  <conditionalFormatting sqref="H10:H1048576">
    <cfRule type="cellIs" dxfId="346" priority="2323" operator="lessThan">
      <formula>0</formula>
    </cfRule>
  </conditionalFormatting>
  <conditionalFormatting sqref="H10:H1048576">
    <cfRule type="cellIs" dxfId="345" priority="2322" operator="lessThan">
      <formula>0</formula>
    </cfRule>
  </conditionalFormatting>
  <conditionalFormatting sqref="H10:H1048576">
    <cfRule type="cellIs" dxfId="344" priority="2321" operator="lessThan">
      <formula>0</formula>
    </cfRule>
  </conditionalFormatting>
  <conditionalFormatting sqref="H10:H1048576">
    <cfRule type="cellIs" dxfId="343" priority="2320" operator="lessThan">
      <formula>0</formula>
    </cfRule>
  </conditionalFormatting>
  <conditionalFormatting sqref="H10:H1048576">
    <cfRule type="cellIs" dxfId="342" priority="2319" operator="lessThan">
      <formula>0</formula>
    </cfRule>
  </conditionalFormatting>
  <conditionalFormatting sqref="H10:H1048576">
    <cfRule type="cellIs" dxfId="341" priority="2318" operator="lessThan">
      <formula>0</formula>
    </cfRule>
  </conditionalFormatting>
  <conditionalFormatting sqref="H10:H1048576">
    <cfRule type="cellIs" dxfId="340" priority="2317" operator="lessThan">
      <formula>0</formula>
    </cfRule>
  </conditionalFormatting>
  <conditionalFormatting sqref="H10:H1048576">
    <cfRule type="cellIs" dxfId="339" priority="2316" operator="lessThan">
      <formula>0</formula>
    </cfRule>
  </conditionalFormatting>
  <conditionalFormatting sqref="H10:H1048576">
    <cfRule type="cellIs" dxfId="338" priority="2315" operator="lessThan">
      <formula>0</formula>
    </cfRule>
  </conditionalFormatting>
  <conditionalFormatting sqref="H10:H1048576">
    <cfRule type="cellIs" dxfId="337" priority="2314" operator="lessThan">
      <formula>0</formula>
    </cfRule>
  </conditionalFormatting>
  <conditionalFormatting sqref="H10:H1048576">
    <cfRule type="cellIs" dxfId="336" priority="2313" operator="lessThan">
      <formula>0</formula>
    </cfRule>
  </conditionalFormatting>
  <conditionalFormatting sqref="H10:H1048576">
    <cfRule type="cellIs" dxfId="335" priority="2312" operator="lessThan">
      <formula>0</formula>
    </cfRule>
  </conditionalFormatting>
  <conditionalFormatting sqref="H10:H1048576">
    <cfRule type="cellIs" dxfId="334" priority="2311" operator="lessThan">
      <formula>0</formula>
    </cfRule>
  </conditionalFormatting>
  <conditionalFormatting sqref="H10:H1048576">
    <cfRule type="cellIs" dxfId="333" priority="2310" operator="lessThan">
      <formula>0</formula>
    </cfRule>
  </conditionalFormatting>
  <conditionalFormatting sqref="H10:H1048576">
    <cfRule type="cellIs" dxfId="332" priority="2309" operator="lessThan">
      <formula>0</formula>
    </cfRule>
  </conditionalFormatting>
  <conditionalFormatting sqref="H10:H1048576">
    <cfRule type="cellIs" dxfId="331" priority="2308" operator="lessThan">
      <formula>0</formula>
    </cfRule>
  </conditionalFormatting>
  <conditionalFormatting sqref="H10:H1048576">
    <cfRule type="cellIs" dxfId="330" priority="2307" operator="lessThan">
      <formula>0</formula>
    </cfRule>
  </conditionalFormatting>
  <conditionalFormatting sqref="H10:H1048576">
    <cfRule type="cellIs" dxfId="329" priority="2306" operator="lessThan">
      <formula>0</formula>
    </cfRule>
  </conditionalFormatting>
  <conditionalFormatting sqref="H10:H1048576">
    <cfRule type="cellIs" dxfId="328" priority="2305" operator="lessThan">
      <formula>0</formula>
    </cfRule>
  </conditionalFormatting>
  <conditionalFormatting sqref="H10:H1048576">
    <cfRule type="cellIs" dxfId="327" priority="2304" operator="lessThan">
      <formula>0</formula>
    </cfRule>
  </conditionalFormatting>
  <conditionalFormatting sqref="H10:H1048576">
    <cfRule type="cellIs" dxfId="326" priority="2303" operator="lessThan">
      <formula>0</formula>
    </cfRule>
  </conditionalFormatting>
  <conditionalFormatting sqref="H10:H1048576">
    <cfRule type="cellIs" dxfId="325" priority="2302" operator="lessThan">
      <formula>0</formula>
    </cfRule>
  </conditionalFormatting>
  <conditionalFormatting sqref="H10:H1048576">
    <cfRule type="cellIs" dxfId="324" priority="2301" operator="lessThan">
      <formula>0</formula>
    </cfRule>
  </conditionalFormatting>
  <conditionalFormatting sqref="H10:H1048576">
    <cfRule type="cellIs" dxfId="323" priority="2300" operator="lessThan">
      <formula>0</formula>
    </cfRule>
  </conditionalFormatting>
  <conditionalFormatting sqref="H10:H1048576">
    <cfRule type="cellIs" dxfId="322" priority="2299" operator="lessThan">
      <formula>0</formula>
    </cfRule>
  </conditionalFormatting>
  <conditionalFormatting sqref="H10:H1048576">
    <cfRule type="cellIs" dxfId="321" priority="2298" operator="lessThan">
      <formula>0</formula>
    </cfRule>
  </conditionalFormatting>
  <conditionalFormatting sqref="H10:H1048576">
    <cfRule type="cellIs" dxfId="320" priority="2297" operator="lessThan">
      <formula>0</formula>
    </cfRule>
  </conditionalFormatting>
  <conditionalFormatting sqref="H10:H1048576">
    <cfRule type="cellIs" dxfId="319" priority="2296" operator="lessThan">
      <formula>0</formula>
    </cfRule>
  </conditionalFormatting>
  <conditionalFormatting sqref="H10:H1048576">
    <cfRule type="cellIs" dxfId="318" priority="2295" operator="lessThan">
      <formula>0</formula>
    </cfRule>
  </conditionalFormatting>
  <conditionalFormatting sqref="H10:H1048576">
    <cfRule type="cellIs" dxfId="317" priority="2294" operator="lessThan">
      <formula>0</formula>
    </cfRule>
  </conditionalFormatting>
  <conditionalFormatting sqref="H10:H1048576">
    <cfRule type="cellIs" dxfId="316" priority="2293" operator="lessThan">
      <formula>0</formula>
    </cfRule>
  </conditionalFormatting>
  <conditionalFormatting sqref="H10:H1048576">
    <cfRule type="cellIs" dxfId="315" priority="2292" operator="lessThan">
      <formula>0</formula>
    </cfRule>
  </conditionalFormatting>
  <conditionalFormatting sqref="H10:H1048576">
    <cfRule type="cellIs" dxfId="314" priority="2291" operator="lessThan">
      <formula>0</formula>
    </cfRule>
  </conditionalFormatting>
  <conditionalFormatting sqref="H10:H1048576">
    <cfRule type="cellIs" dxfId="313" priority="2290" operator="lessThan">
      <formula>0</formula>
    </cfRule>
  </conditionalFormatting>
  <conditionalFormatting sqref="H10:H1048576">
    <cfRule type="cellIs" dxfId="312" priority="2289" operator="lessThan">
      <formula>0</formula>
    </cfRule>
  </conditionalFormatting>
  <conditionalFormatting sqref="H10:H1048576">
    <cfRule type="cellIs" dxfId="311" priority="2288" operator="lessThan">
      <formula>0</formula>
    </cfRule>
  </conditionalFormatting>
  <conditionalFormatting sqref="H10:H1048576">
    <cfRule type="cellIs" dxfId="310" priority="2287" operator="lessThan">
      <formula>0</formula>
    </cfRule>
  </conditionalFormatting>
  <conditionalFormatting sqref="H10:H1048576">
    <cfRule type="cellIs" dxfId="309" priority="2286" operator="lessThan">
      <formula>0</formula>
    </cfRule>
  </conditionalFormatting>
  <conditionalFormatting sqref="H10:H1048576">
    <cfRule type="cellIs" dxfId="308" priority="2285" operator="lessThan">
      <formula>0</formula>
    </cfRule>
  </conditionalFormatting>
  <conditionalFormatting sqref="H10:H1048576">
    <cfRule type="cellIs" dxfId="307" priority="2284" operator="lessThan">
      <formula>0</formula>
    </cfRule>
  </conditionalFormatting>
  <conditionalFormatting sqref="H10:H1048576">
    <cfRule type="cellIs" dxfId="306" priority="2283" operator="lessThan">
      <formula>0</formula>
    </cfRule>
  </conditionalFormatting>
  <conditionalFormatting sqref="H10:H1048576">
    <cfRule type="cellIs" dxfId="305" priority="2282" operator="lessThan">
      <formula>0</formula>
    </cfRule>
  </conditionalFormatting>
  <conditionalFormatting sqref="H10:H1048576">
    <cfRule type="cellIs" dxfId="304" priority="2281" operator="lessThan">
      <formula>0</formula>
    </cfRule>
  </conditionalFormatting>
  <conditionalFormatting sqref="H10:H1048576">
    <cfRule type="cellIs" dxfId="303" priority="2280" operator="lessThan">
      <formula>0</formula>
    </cfRule>
  </conditionalFormatting>
  <conditionalFormatting sqref="H10:H1048576">
    <cfRule type="cellIs" dxfId="302" priority="2279" operator="lessThan">
      <formula>0</formula>
    </cfRule>
  </conditionalFormatting>
  <conditionalFormatting sqref="H10:H1048576">
    <cfRule type="cellIs" dxfId="301" priority="2278" operator="lessThan">
      <formula>0</formula>
    </cfRule>
  </conditionalFormatting>
  <conditionalFormatting sqref="H10:H1048576">
    <cfRule type="cellIs" dxfId="300" priority="2277" operator="lessThan">
      <formula>0</formula>
    </cfRule>
  </conditionalFormatting>
  <conditionalFormatting sqref="H10:H1048576">
    <cfRule type="cellIs" dxfId="299" priority="2276" operator="lessThan">
      <formula>0</formula>
    </cfRule>
  </conditionalFormatting>
  <conditionalFormatting sqref="H10:H1048576">
    <cfRule type="cellIs" dxfId="298" priority="2275" operator="lessThan">
      <formula>0</formula>
    </cfRule>
  </conditionalFormatting>
  <conditionalFormatting sqref="H10:H1048576">
    <cfRule type="cellIs" dxfId="297" priority="2274" operator="lessThan">
      <formula>0</formula>
    </cfRule>
  </conditionalFormatting>
  <conditionalFormatting sqref="H10:H1048576">
    <cfRule type="cellIs" dxfId="296" priority="2273" operator="lessThan">
      <formula>0</formula>
    </cfRule>
  </conditionalFormatting>
  <conditionalFormatting sqref="H10:H1048576">
    <cfRule type="cellIs" dxfId="295" priority="2272" operator="lessThan">
      <formula>0</formula>
    </cfRule>
  </conditionalFormatting>
  <conditionalFormatting sqref="H10:H1048576">
    <cfRule type="cellIs" dxfId="294" priority="2271" operator="lessThan">
      <formula>0</formula>
    </cfRule>
  </conditionalFormatting>
  <conditionalFormatting sqref="H10:H1048576">
    <cfRule type="cellIs" dxfId="293" priority="2270" operator="lessThan">
      <formula>0</formula>
    </cfRule>
  </conditionalFormatting>
  <conditionalFormatting sqref="H10:H1048576">
    <cfRule type="cellIs" dxfId="292" priority="2269" operator="lessThan">
      <formula>0</formula>
    </cfRule>
  </conditionalFormatting>
  <conditionalFormatting sqref="H10:H1048576">
    <cfRule type="cellIs" dxfId="291" priority="2268" operator="lessThan">
      <formula>0</formula>
    </cfRule>
  </conditionalFormatting>
  <conditionalFormatting sqref="H10:H1048576">
    <cfRule type="cellIs" dxfId="290" priority="2267" operator="lessThan">
      <formula>0</formula>
    </cfRule>
  </conditionalFormatting>
  <conditionalFormatting sqref="H10:H1048576">
    <cfRule type="cellIs" dxfId="289" priority="2266" operator="lessThan">
      <formula>0</formula>
    </cfRule>
  </conditionalFormatting>
  <conditionalFormatting sqref="H10:H1048576">
    <cfRule type="cellIs" dxfId="288" priority="2265" operator="lessThan">
      <formula>0</formula>
    </cfRule>
  </conditionalFormatting>
  <conditionalFormatting sqref="H10:H1048576">
    <cfRule type="cellIs" dxfId="287" priority="2264" operator="lessThan">
      <formula>0</formula>
    </cfRule>
  </conditionalFormatting>
  <conditionalFormatting sqref="H10:H1048576">
    <cfRule type="cellIs" dxfId="286" priority="2263" operator="lessThan">
      <formula>0</formula>
    </cfRule>
  </conditionalFormatting>
  <conditionalFormatting sqref="H10:H1048576">
    <cfRule type="cellIs" dxfId="285" priority="2262" operator="lessThan">
      <formula>0</formula>
    </cfRule>
  </conditionalFormatting>
  <conditionalFormatting sqref="H10:H1048576">
    <cfRule type="cellIs" dxfId="284" priority="2261" operator="lessThan">
      <formula>0</formula>
    </cfRule>
  </conditionalFormatting>
  <conditionalFormatting sqref="H10:H1048576">
    <cfRule type="cellIs" dxfId="283" priority="2260" operator="lessThan">
      <formula>0</formula>
    </cfRule>
  </conditionalFormatting>
  <conditionalFormatting sqref="H10:H1048576">
    <cfRule type="cellIs" dxfId="282" priority="2259" operator="lessThan">
      <formula>0</formula>
    </cfRule>
  </conditionalFormatting>
  <conditionalFormatting sqref="H10:H1048576">
    <cfRule type="cellIs" dxfId="281" priority="2258" operator="lessThan">
      <formula>0</formula>
    </cfRule>
  </conditionalFormatting>
  <conditionalFormatting sqref="H10:H1048576">
    <cfRule type="cellIs" dxfId="280" priority="2257" operator="lessThan">
      <formula>0</formula>
    </cfRule>
  </conditionalFormatting>
  <conditionalFormatting sqref="H10:H1048576">
    <cfRule type="cellIs" dxfId="279" priority="2256" operator="lessThan">
      <formula>0</formula>
    </cfRule>
  </conditionalFormatting>
  <conditionalFormatting sqref="H10:H1048576">
    <cfRule type="cellIs" dxfId="278" priority="2255" operator="lessThan">
      <formula>0</formula>
    </cfRule>
  </conditionalFormatting>
  <conditionalFormatting sqref="H10:H1048576">
    <cfRule type="cellIs" dxfId="277" priority="2254" operator="lessThan">
      <formula>0</formula>
    </cfRule>
  </conditionalFormatting>
  <conditionalFormatting sqref="H10:H1048576">
    <cfRule type="cellIs" dxfId="276" priority="2253" operator="lessThan">
      <formula>0</formula>
    </cfRule>
  </conditionalFormatting>
  <conditionalFormatting sqref="H10:H1048576">
    <cfRule type="cellIs" dxfId="275" priority="2252" operator="lessThan">
      <formula>0</formula>
    </cfRule>
  </conditionalFormatting>
  <conditionalFormatting sqref="H10:H1048576">
    <cfRule type="cellIs" dxfId="274" priority="2251" operator="lessThan">
      <formula>0</formula>
    </cfRule>
  </conditionalFormatting>
  <conditionalFormatting sqref="H10:H1048576">
    <cfRule type="cellIs" dxfId="273" priority="2250" operator="lessThan">
      <formula>0</formula>
    </cfRule>
  </conditionalFormatting>
  <conditionalFormatting sqref="H10:H1048576">
    <cfRule type="cellIs" dxfId="272" priority="2249" operator="lessThan">
      <formula>0</formula>
    </cfRule>
  </conditionalFormatting>
  <conditionalFormatting sqref="H10:H1048576">
    <cfRule type="cellIs" dxfId="271" priority="2248" operator="lessThan">
      <formula>0</formula>
    </cfRule>
  </conditionalFormatting>
  <conditionalFormatting sqref="H10:H1048576">
    <cfRule type="cellIs" dxfId="270" priority="2247" operator="lessThan">
      <formula>0</formula>
    </cfRule>
  </conditionalFormatting>
  <conditionalFormatting sqref="H10:H1048576">
    <cfRule type="cellIs" dxfId="269" priority="2246" operator="lessThan">
      <formula>0</formula>
    </cfRule>
  </conditionalFormatting>
  <conditionalFormatting sqref="H10:H1048576">
    <cfRule type="cellIs" dxfId="268" priority="2245" operator="lessThan">
      <formula>0</formula>
    </cfRule>
  </conditionalFormatting>
  <conditionalFormatting sqref="H10:H1048576">
    <cfRule type="cellIs" dxfId="267" priority="2244" operator="lessThan">
      <formula>0</formula>
    </cfRule>
  </conditionalFormatting>
  <conditionalFormatting sqref="H10:H1048576">
    <cfRule type="cellIs" dxfId="266" priority="2243" operator="lessThan">
      <formula>0</formula>
    </cfRule>
  </conditionalFormatting>
  <conditionalFormatting sqref="H10:H1048576">
    <cfRule type="cellIs" dxfId="265" priority="2242" operator="lessThan">
      <formula>0</formula>
    </cfRule>
  </conditionalFormatting>
  <conditionalFormatting sqref="H10:H1048576">
    <cfRule type="cellIs" dxfId="264" priority="2241" operator="lessThan">
      <formula>0</formula>
    </cfRule>
  </conditionalFormatting>
  <conditionalFormatting sqref="H10:H1048576">
    <cfRule type="cellIs" dxfId="263" priority="2240" operator="lessThan">
      <formula>0</formula>
    </cfRule>
  </conditionalFormatting>
  <conditionalFormatting sqref="H10:H1048576">
    <cfRule type="cellIs" dxfId="262" priority="2239" operator="lessThan">
      <formula>0</formula>
    </cfRule>
  </conditionalFormatting>
  <conditionalFormatting sqref="H1:H1048576">
    <cfRule type="cellIs" dxfId="261" priority="2238" operator="lessThan">
      <formula>0</formula>
    </cfRule>
  </conditionalFormatting>
  <conditionalFormatting sqref="H1:H1048576">
    <cfRule type="cellIs" dxfId="260" priority="2237" operator="lessThan">
      <formula>0</formula>
    </cfRule>
  </conditionalFormatting>
  <conditionalFormatting sqref="H1:H1048576">
    <cfRule type="cellIs" dxfId="259" priority="2236" operator="lessThan">
      <formula>0</formula>
    </cfRule>
  </conditionalFormatting>
  <conditionalFormatting sqref="H1:H1048576">
    <cfRule type="cellIs" dxfId="258" priority="2235" operator="lessThan">
      <formula>0</formula>
    </cfRule>
  </conditionalFormatting>
  <conditionalFormatting sqref="H1:H1048576">
    <cfRule type="cellIs" dxfId="257" priority="2234" operator="lessThan">
      <formula>0</formula>
    </cfRule>
  </conditionalFormatting>
  <conditionalFormatting sqref="H1:H1048576">
    <cfRule type="cellIs" dxfId="256" priority="2233" operator="lessThan">
      <formula>0</formula>
    </cfRule>
  </conditionalFormatting>
  <conditionalFormatting sqref="H1:H1048576">
    <cfRule type="cellIs" dxfId="255" priority="2232" operator="lessThan">
      <formula>0</formula>
    </cfRule>
  </conditionalFormatting>
  <conditionalFormatting sqref="H1:H1048576">
    <cfRule type="cellIs" dxfId="254" priority="2231" operator="lessThan">
      <formula>0</formula>
    </cfRule>
  </conditionalFormatting>
  <conditionalFormatting sqref="H1:H1048576">
    <cfRule type="cellIs" dxfId="253" priority="2230" operator="lessThan">
      <formula>0</formula>
    </cfRule>
  </conditionalFormatting>
  <conditionalFormatting sqref="H1:H1048576">
    <cfRule type="cellIs" dxfId="252" priority="2229" operator="lessThan">
      <formula>0</formula>
    </cfRule>
  </conditionalFormatting>
  <conditionalFormatting sqref="H1:H1048576">
    <cfRule type="cellIs" dxfId="251" priority="2228" operator="lessThan">
      <formula>0</formula>
    </cfRule>
  </conditionalFormatting>
  <conditionalFormatting sqref="H1:H1048576">
    <cfRule type="cellIs" dxfId="250" priority="2227" operator="lessThan">
      <formula>0</formula>
    </cfRule>
  </conditionalFormatting>
  <conditionalFormatting sqref="H1:H1048576">
    <cfRule type="cellIs" dxfId="249" priority="2226" operator="lessThan">
      <formula>0</formula>
    </cfRule>
  </conditionalFormatting>
  <conditionalFormatting sqref="H1:H1048576">
    <cfRule type="cellIs" dxfId="248" priority="2225" operator="lessThan">
      <formula>0</formula>
    </cfRule>
  </conditionalFormatting>
  <conditionalFormatting sqref="H1:H1048576">
    <cfRule type="cellIs" dxfId="247" priority="2224" operator="lessThan">
      <formula>0</formula>
    </cfRule>
  </conditionalFormatting>
  <conditionalFormatting sqref="H1:H1048576">
    <cfRule type="cellIs" dxfId="246" priority="2223" operator="lessThan">
      <formula>0</formula>
    </cfRule>
  </conditionalFormatting>
  <conditionalFormatting sqref="H1:H1048576">
    <cfRule type="cellIs" dxfId="245" priority="2222" operator="lessThan">
      <formula>0</formula>
    </cfRule>
  </conditionalFormatting>
  <conditionalFormatting sqref="H1:H1048576">
    <cfRule type="cellIs" dxfId="244" priority="2221" operator="lessThan">
      <formula>0</formula>
    </cfRule>
  </conditionalFormatting>
  <conditionalFormatting sqref="H1:H1048576">
    <cfRule type="cellIs" dxfId="243" priority="2220" operator="lessThan">
      <formula>0</formula>
    </cfRule>
  </conditionalFormatting>
  <conditionalFormatting sqref="H1:H1048576">
    <cfRule type="cellIs" dxfId="242" priority="2219" operator="lessThan">
      <formula>0</formula>
    </cfRule>
  </conditionalFormatting>
  <conditionalFormatting sqref="H1:H1048576">
    <cfRule type="cellIs" dxfId="241" priority="2218" operator="lessThan">
      <formula>0</formula>
    </cfRule>
  </conditionalFormatting>
  <conditionalFormatting sqref="H1:H1048576">
    <cfRule type="cellIs" dxfId="240" priority="2217" operator="lessThan">
      <formula>0</formula>
    </cfRule>
  </conditionalFormatting>
  <conditionalFormatting sqref="H1:H1048576">
    <cfRule type="cellIs" dxfId="239" priority="2216" operator="lessThan">
      <formula>0</formula>
    </cfRule>
  </conditionalFormatting>
  <conditionalFormatting sqref="H1:H1048576">
    <cfRule type="cellIs" dxfId="238" priority="2215" operator="lessThan">
      <formula>0</formula>
    </cfRule>
  </conditionalFormatting>
  <conditionalFormatting sqref="H1:H1048576">
    <cfRule type="cellIs" dxfId="237" priority="2214" operator="lessThan">
      <formula>0</formula>
    </cfRule>
  </conditionalFormatting>
  <conditionalFormatting sqref="H1:H1048576">
    <cfRule type="cellIs" dxfId="236" priority="2213" operator="lessThan">
      <formula>0</formula>
    </cfRule>
  </conditionalFormatting>
  <conditionalFormatting sqref="H1:H1048576">
    <cfRule type="cellIs" dxfId="235" priority="2212" operator="lessThan">
      <formula>0</formula>
    </cfRule>
  </conditionalFormatting>
  <conditionalFormatting sqref="H1:H1048576">
    <cfRule type="cellIs" dxfId="234" priority="2211" operator="lessThan">
      <formula>0</formula>
    </cfRule>
  </conditionalFormatting>
  <conditionalFormatting sqref="H1:H1048576">
    <cfRule type="cellIs" dxfId="233" priority="2210" operator="lessThan">
      <formula>0</formula>
    </cfRule>
  </conditionalFormatting>
  <conditionalFormatting sqref="H1:H1048576">
    <cfRule type="cellIs" dxfId="232" priority="2209" operator="lessThan">
      <formula>0</formula>
    </cfRule>
  </conditionalFormatting>
  <conditionalFormatting sqref="H1:H1048576">
    <cfRule type="cellIs" dxfId="231" priority="2208" operator="lessThan">
      <formula>0</formula>
    </cfRule>
  </conditionalFormatting>
  <conditionalFormatting sqref="H1:H1048576">
    <cfRule type="cellIs" dxfId="230" priority="2207" operator="lessThan">
      <formula>0</formula>
    </cfRule>
  </conditionalFormatting>
  <conditionalFormatting sqref="H1:H1048576">
    <cfRule type="cellIs" dxfId="229" priority="2206" operator="lessThan">
      <formula>0</formula>
    </cfRule>
  </conditionalFormatting>
  <conditionalFormatting sqref="H1:H1048576">
    <cfRule type="cellIs" dxfId="228" priority="2205" operator="lessThan">
      <formula>0</formula>
    </cfRule>
  </conditionalFormatting>
  <conditionalFormatting sqref="H1:H1048576">
    <cfRule type="cellIs" dxfId="227" priority="2204" operator="lessThan">
      <formula>0</formula>
    </cfRule>
  </conditionalFormatting>
  <conditionalFormatting sqref="H1:H1048576">
    <cfRule type="cellIs" dxfId="226" priority="2203" operator="lessThan">
      <formula>0</formula>
    </cfRule>
  </conditionalFormatting>
  <conditionalFormatting sqref="H1:H1048576">
    <cfRule type="cellIs" dxfId="225" priority="2202" operator="lessThan">
      <formula>0</formula>
    </cfRule>
  </conditionalFormatting>
  <conditionalFormatting sqref="H1:H1048576">
    <cfRule type="cellIs" dxfId="224" priority="2201" operator="lessThan">
      <formula>0</formula>
    </cfRule>
  </conditionalFormatting>
  <conditionalFormatting sqref="H1:H1048576">
    <cfRule type="cellIs" dxfId="223" priority="2200" operator="lessThan">
      <formula>0</formula>
    </cfRule>
  </conditionalFormatting>
  <conditionalFormatting sqref="H1:H1048576">
    <cfRule type="cellIs" dxfId="222" priority="2199" operator="lessThan">
      <formula>0</formula>
    </cfRule>
  </conditionalFormatting>
  <conditionalFormatting sqref="H1:H1048576">
    <cfRule type="cellIs" dxfId="221" priority="2198" operator="lessThan">
      <formula>0</formula>
    </cfRule>
  </conditionalFormatting>
  <conditionalFormatting sqref="H1:H1048576">
    <cfRule type="cellIs" dxfId="220" priority="2197" operator="lessThan">
      <formula>0</formula>
    </cfRule>
  </conditionalFormatting>
  <conditionalFormatting sqref="H1:H1048576">
    <cfRule type="cellIs" dxfId="219" priority="2196" operator="lessThan">
      <formula>0</formula>
    </cfRule>
  </conditionalFormatting>
  <conditionalFormatting sqref="H1:H1048576">
    <cfRule type="cellIs" dxfId="218" priority="2195" operator="lessThan">
      <formula>0</formula>
    </cfRule>
  </conditionalFormatting>
  <conditionalFormatting sqref="H1:H1048576">
    <cfRule type="cellIs" dxfId="217" priority="2194" operator="lessThan">
      <formula>0</formula>
    </cfRule>
  </conditionalFormatting>
  <conditionalFormatting sqref="H1:H1048576">
    <cfRule type="cellIs" dxfId="216" priority="2193" operator="lessThan">
      <formula>0</formula>
    </cfRule>
  </conditionalFormatting>
  <conditionalFormatting sqref="H1:H1048576">
    <cfRule type="cellIs" dxfId="215" priority="2192" operator="lessThan">
      <formula>0</formula>
    </cfRule>
  </conditionalFormatting>
  <conditionalFormatting sqref="H1:H1048576">
    <cfRule type="cellIs" dxfId="214" priority="2191" operator="lessThan">
      <formula>0</formula>
    </cfRule>
  </conditionalFormatting>
  <conditionalFormatting sqref="H1:H1048576">
    <cfRule type="cellIs" dxfId="213" priority="2190" operator="lessThan">
      <formula>0</formula>
    </cfRule>
  </conditionalFormatting>
  <conditionalFormatting sqref="H1:H1048576">
    <cfRule type="cellIs" dxfId="212" priority="2189" operator="lessThan">
      <formula>0</formula>
    </cfRule>
  </conditionalFormatting>
  <conditionalFormatting sqref="H1:H1048576">
    <cfRule type="cellIs" dxfId="211" priority="2188" operator="lessThan">
      <formula>0</formula>
    </cfRule>
  </conditionalFormatting>
  <conditionalFormatting sqref="H1:H1048576">
    <cfRule type="cellIs" dxfId="210" priority="2187" operator="lessThan">
      <formula>0</formula>
    </cfRule>
  </conditionalFormatting>
  <conditionalFormatting sqref="H1:H1048576">
    <cfRule type="cellIs" dxfId="209" priority="2186" operator="lessThan">
      <formula>0</formula>
    </cfRule>
  </conditionalFormatting>
  <conditionalFormatting sqref="H1:H1048576">
    <cfRule type="cellIs" dxfId="208" priority="2185" operator="lessThan">
      <formula>0</formula>
    </cfRule>
  </conditionalFormatting>
  <conditionalFormatting sqref="H1:H1048576">
    <cfRule type="cellIs" dxfId="207" priority="2184" operator="lessThan">
      <formula>0</formula>
    </cfRule>
  </conditionalFormatting>
  <conditionalFormatting sqref="H1:H1048576">
    <cfRule type="cellIs" dxfId="206" priority="2183" operator="lessThan">
      <formula>0</formula>
    </cfRule>
  </conditionalFormatting>
  <conditionalFormatting sqref="H1:H1048576">
    <cfRule type="cellIs" dxfId="205" priority="2182" operator="lessThan">
      <formula>0</formula>
    </cfRule>
  </conditionalFormatting>
  <conditionalFormatting sqref="H1:H1048576">
    <cfRule type="cellIs" dxfId="204" priority="2181" operator="lessThan">
      <formula>0</formula>
    </cfRule>
  </conditionalFormatting>
  <conditionalFormatting sqref="H1:H1048576">
    <cfRule type="cellIs" dxfId="203" priority="2180" operator="lessThan">
      <formula>0</formula>
    </cfRule>
  </conditionalFormatting>
  <conditionalFormatting sqref="H1:H1048576">
    <cfRule type="cellIs" dxfId="202" priority="2179" operator="lessThan">
      <formula>0</formula>
    </cfRule>
  </conditionalFormatting>
  <conditionalFormatting sqref="H1:H1048576">
    <cfRule type="cellIs" dxfId="201" priority="2178" operator="lessThan">
      <formula>0</formula>
    </cfRule>
  </conditionalFormatting>
  <conditionalFormatting sqref="H1:H1048576">
    <cfRule type="cellIs" dxfId="200" priority="2177" operator="lessThan">
      <formula>0</formula>
    </cfRule>
  </conditionalFormatting>
  <conditionalFormatting sqref="H1:H1048576">
    <cfRule type="cellIs" dxfId="199" priority="2176" operator="lessThan">
      <formula>0</formula>
    </cfRule>
  </conditionalFormatting>
  <conditionalFormatting sqref="H1:H1048576">
    <cfRule type="cellIs" dxfId="198" priority="2175" operator="lessThan">
      <formula>0</formula>
    </cfRule>
  </conditionalFormatting>
  <conditionalFormatting sqref="H1:H1048576">
    <cfRule type="cellIs" dxfId="197" priority="2174" operator="lessThan">
      <formula>0</formula>
    </cfRule>
  </conditionalFormatting>
  <conditionalFormatting sqref="H1:H1048576">
    <cfRule type="cellIs" dxfId="196" priority="2173" operator="lessThan">
      <formula>0</formula>
    </cfRule>
  </conditionalFormatting>
  <conditionalFormatting sqref="H1:H1048576">
    <cfRule type="cellIs" dxfId="195" priority="2172" operator="lessThan">
      <formula>0</formula>
    </cfRule>
  </conditionalFormatting>
  <conditionalFormatting sqref="H1:H1048576">
    <cfRule type="cellIs" dxfId="194" priority="2171" operator="lessThan">
      <formula>0</formula>
    </cfRule>
  </conditionalFormatting>
  <conditionalFormatting sqref="H1:H1048576">
    <cfRule type="cellIs" dxfId="193" priority="2170" operator="lessThan">
      <formula>0</formula>
    </cfRule>
  </conditionalFormatting>
  <conditionalFormatting sqref="H1:H1048576">
    <cfRule type="cellIs" dxfId="192" priority="2169" operator="lessThan">
      <formula>0</formula>
    </cfRule>
  </conditionalFormatting>
  <conditionalFormatting sqref="H1:H1048576">
    <cfRule type="cellIs" dxfId="191" priority="2168" operator="lessThan">
      <formula>0</formula>
    </cfRule>
  </conditionalFormatting>
  <conditionalFormatting sqref="H1:H1048576">
    <cfRule type="cellIs" dxfId="190" priority="2167" operator="lessThan">
      <formula>0</formula>
    </cfRule>
  </conditionalFormatting>
  <conditionalFormatting sqref="H1:H1048576">
    <cfRule type="cellIs" dxfId="189" priority="2166" operator="lessThan">
      <formula>0</formula>
    </cfRule>
  </conditionalFormatting>
  <conditionalFormatting sqref="H1:H1048576">
    <cfRule type="cellIs" dxfId="188" priority="2165" operator="lessThan">
      <formula>0</formula>
    </cfRule>
  </conditionalFormatting>
  <conditionalFormatting sqref="H1:H1048576">
    <cfRule type="cellIs" dxfId="187" priority="2164" operator="lessThan">
      <formula>0</formula>
    </cfRule>
  </conditionalFormatting>
  <conditionalFormatting sqref="H1:H1048576">
    <cfRule type="cellIs" dxfId="186" priority="2163" operator="lessThan">
      <formula>0</formula>
    </cfRule>
  </conditionalFormatting>
  <conditionalFormatting sqref="H1:H1048576">
    <cfRule type="cellIs" dxfId="185" priority="2162" operator="lessThan">
      <formula>0</formula>
    </cfRule>
  </conditionalFormatting>
  <conditionalFormatting sqref="H1:H1048576">
    <cfRule type="cellIs" dxfId="184" priority="2161" operator="lessThan">
      <formula>0</formula>
    </cfRule>
  </conditionalFormatting>
  <conditionalFormatting sqref="H1:H1048576">
    <cfRule type="cellIs" dxfId="183" priority="2160" operator="lessThan">
      <formula>0</formula>
    </cfRule>
  </conditionalFormatting>
  <conditionalFormatting sqref="H1:H1048576">
    <cfRule type="cellIs" dxfId="182" priority="2159" operator="lessThan">
      <formula>0</formula>
    </cfRule>
  </conditionalFormatting>
  <conditionalFormatting sqref="H1:H1048576">
    <cfRule type="cellIs" dxfId="181" priority="2158" operator="lessThan">
      <formula>0</formula>
    </cfRule>
  </conditionalFormatting>
  <conditionalFormatting sqref="H1:H1048576">
    <cfRule type="cellIs" dxfId="180" priority="2157" operator="lessThan">
      <formula>0</formula>
    </cfRule>
  </conditionalFormatting>
  <conditionalFormatting sqref="H1:H1048576">
    <cfRule type="cellIs" dxfId="179" priority="2156" operator="lessThan">
      <formula>0</formula>
    </cfRule>
  </conditionalFormatting>
  <conditionalFormatting sqref="H1:H1048576">
    <cfRule type="cellIs" dxfId="178" priority="2155" operator="lessThan">
      <formula>0</formula>
    </cfRule>
  </conditionalFormatting>
  <conditionalFormatting sqref="H1:H1048576">
    <cfRule type="cellIs" dxfId="177" priority="2154" operator="lessThan">
      <formula>0</formula>
    </cfRule>
  </conditionalFormatting>
  <conditionalFormatting sqref="H1:H1048576">
    <cfRule type="cellIs" dxfId="176" priority="2153" operator="lessThan">
      <formula>0</formula>
    </cfRule>
  </conditionalFormatting>
  <conditionalFormatting sqref="H1:H1048576">
    <cfRule type="cellIs" dxfId="175" priority="2152" operator="lessThan">
      <formula>0</formula>
    </cfRule>
  </conditionalFormatting>
  <conditionalFormatting sqref="H1:H1048576">
    <cfRule type="cellIs" dxfId="174" priority="2151" operator="lessThan">
      <formula>0</formula>
    </cfRule>
  </conditionalFormatting>
  <conditionalFormatting sqref="H1:H1048576">
    <cfRule type="cellIs" dxfId="173" priority="2150" operator="lessThan">
      <formula>0</formula>
    </cfRule>
  </conditionalFormatting>
  <conditionalFormatting sqref="H1:H1048576">
    <cfRule type="cellIs" dxfId="172" priority="2149" operator="lessThan">
      <formula>0</formula>
    </cfRule>
  </conditionalFormatting>
  <conditionalFormatting sqref="H1:H1048576">
    <cfRule type="cellIs" dxfId="171" priority="2148" operator="lessThan">
      <formula>0</formula>
    </cfRule>
  </conditionalFormatting>
  <conditionalFormatting sqref="H1:H1048576">
    <cfRule type="cellIs" dxfId="170" priority="2147" operator="lessThan">
      <formula>0</formula>
    </cfRule>
  </conditionalFormatting>
  <conditionalFormatting sqref="H1:H1048576">
    <cfRule type="cellIs" dxfId="169" priority="2146" operator="lessThan">
      <formula>0</formula>
    </cfRule>
  </conditionalFormatting>
  <conditionalFormatting sqref="H1:H1048576">
    <cfRule type="cellIs" dxfId="168" priority="2145" operator="lessThan">
      <formula>0</formula>
    </cfRule>
  </conditionalFormatting>
  <conditionalFormatting sqref="H1:H1048576">
    <cfRule type="cellIs" dxfId="167" priority="2144" operator="lessThan">
      <formula>0</formula>
    </cfRule>
  </conditionalFormatting>
  <conditionalFormatting sqref="H1:H1048576">
    <cfRule type="cellIs" dxfId="166" priority="2143" operator="lessThan">
      <formula>0</formula>
    </cfRule>
  </conditionalFormatting>
  <conditionalFormatting sqref="H1:H1048576">
    <cfRule type="cellIs" dxfId="165" priority="2142" operator="lessThan">
      <formula>0</formula>
    </cfRule>
  </conditionalFormatting>
  <conditionalFormatting sqref="H1:H1048576">
    <cfRule type="cellIs" dxfId="164" priority="2141" operator="lessThan">
      <formula>0</formula>
    </cfRule>
  </conditionalFormatting>
  <conditionalFormatting sqref="H1:H1048576">
    <cfRule type="cellIs" dxfId="163" priority="2140" operator="lessThan">
      <formula>0</formula>
    </cfRule>
  </conditionalFormatting>
  <conditionalFormatting sqref="H1:H1048576">
    <cfRule type="cellIs" dxfId="162" priority="2139" operator="lessThan">
      <formula>0</formula>
    </cfRule>
  </conditionalFormatting>
  <conditionalFormatting sqref="H1:H1048576">
    <cfRule type="cellIs" dxfId="161" priority="2138" operator="lessThan">
      <formula>0</formula>
    </cfRule>
  </conditionalFormatting>
  <conditionalFormatting sqref="H1:H1048576">
    <cfRule type="cellIs" dxfId="160" priority="2137" operator="lessThan">
      <formula>0</formula>
    </cfRule>
  </conditionalFormatting>
  <conditionalFormatting sqref="H1:H1048576">
    <cfRule type="cellIs" dxfId="159" priority="2136" operator="lessThan">
      <formula>0</formula>
    </cfRule>
  </conditionalFormatting>
  <conditionalFormatting sqref="H1:H1048576">
    <cfRule type="cellIs" dxfId="158" priority="2135" operator="lessThan">
      <formula>0</formula>
    </cfRule>
  </conditionalFormatting>
  <conditionalFormatting sqref="H1:H1048576">
    <cfRule type="cellIs" dxfId="157" priority="2134" operator="lessThan">
      <formula>0</formula>
    </cfRule>
  </conditionalFormatting>
  <conditionalFormatting sqref="H1:H1048576">
    <cfRule type="cellIs" dxfId="156" priority="2133" operator="lessThan">
      <formula>0</formula>
    </cfRule>
  </conditionalFormatting>
  <conditionalFormatting sqref="H1:H1048576">
    <cfRule type="cellIs" dxfId="155" priority="2132" operator="lessThan">
      <formula>0</formula>
    </cfRule>
  </conditionalFormatting>
  <conditionalFormatting sqref="H1:H1048576">
    <cfRule type="cellIs" dxfId="154" priority="2131" operator="lessThan">
      <formula>0</formula>
    </cfRule>
  </conditionalFormatting>
  <conditionalFormatting sqref="H1:H1048576">
    <cfRule type="cellIs" dxfId="153" priority="2130" operator="lessThan">
      <formula>0</formula>
    </cfRule>
  </conditionalFormatting>
  <conditionalFormatting sqref="H1:H1048576">
    <cfRule type="cellIs" dxfId="152" priority="2129" operator="lessThan">
      <formula>0</formula>
    </cfRule>
  </conditionalFormatting>
  <conditionalFormatting sqref="H1:H1048576">
    <cfRule type="cellIs" dxfId="151" priority="2128" operator="lessThan">
      <formula>0</formula>
    </cfRule>
  </conditionalFormatting>
  <conditionalFormatting sqref="H1:H1048576">
    <cfRule type="cellIs" dxfId="150" priority="2127" operator="lessThan">
      <formula>0</formula>
    </cfRule>
  </conditionalFormatting>
  <conditionalFormatting sqref="H1:H1048576">
    <cfRule type="cellIs" dxfId="149" priority="2126" operator="lessThan">
      <formula>0</formula>
    </cfRule>
  </conditionalFormatting>
  <conditionalFormatting sqref="H1:H1048576">
    <cfRule type="cellIs" dxfId="148" priority="2125" operator="lessThan">
      <formula>0</formula>
    </cfRule>
  </conditionalFormatting>
  <conditionalFormatting sqref="H1:H1048576">
    <cfRule type="cellIs" dxfId="147" priority="2124" operator="lessThan">
      <formula>0</formula>
    </cfRule>
  </conditionalFormatting>
  <conditionalFormatting sqref="H1:H1048576">
    <cfRule type="cellIs" dxfId="146" priority="2123" operator="lessThan">
      <formula>0</formula>
    </cfRule>
  </conditionalFormatting>
  <conditionalFormatting sqref="H1:H1048576">
    <cfRule type="cellIs" dxfId="145" priority="2122" operator="lessThan">
      <formula>0</formula>
    </cfRule>
  </conditionalFormatting>
  <conditionalFormatting sqref="H1:H1048576">
    <cfRule type="cellIs" dxfId="144" priority="2121" operator="lessThan">
      <formula>0</formula>
    </cfRule>
  </conditionalFormatting>
  <conditionalFormatting sqref="H1:H1048576">
    <cfRule type="cellIs" dxfId="143" priority="2120" operator="lessThan">
      <formula>0</formula>
    </cfRule>
  </conditionalFormatting>
  <conditionalFormatting sqref="H1:H1048576">
    <cfRule type="cellIs" dxfId="142" priority="2119" operator="lessThan">
      <formula>0</formula>
    </cfRule>
  </conditionalFormatting>
  <conditionalFormatting sqref="H1:H1048576">
    <cfRule type="cellIs" dxfId="141" priority="2118" operator="lessThan">
      <formula>0</formula>
    </cfRule>
  </conditionalFormatting>
  <conditionalFormatting sqref="H1:H1048576">
    <cfRule type="cellIs" dxfId="140" priority="2117" operator="lessThan">
      <formula>0</formula>
    </cfRule>
  </conditionalFormatting>
  <conditionalFormatting sqref="H1:H1048576">
    <cfRule type="cellIs" dxfId="139" priority="2116" operator="lessThan">
      <formula>0</formula>
    </cfRule>
  </conditionalFormatting>
  <conditionalFormatting sqref="H1:H1048576">
    <cfRule type="cellIs" dxfId="138" priority="2115" operator="lessThan">
      <formula>0</formula>
    </cfRule>
  </conditionalFormatting>
  <conditionalFormatting sqref="H1:H1048576">
    <cfRule type="cellIs" dxfId="137" priority="2114" operator="lessThan">
      <formula>0</formula>
    </cfRule>
  </conditionalFormatting>
  <conditionalFormatting sqref="H1:H1048576">
    <cfRule type="cellIs" dxfId="136" priority="2113" operator="lessThan">
      <formula>0</formula>
    </cfRule>
  </conditionalFormatting>
  <conditionalFormatting sqref="H1:H1048576">
    <cfRule type="cellIs" dxfId="135" priority="2112" operator="lessThan">
      <formula>0</formula>
    </cfRule>
  </conditionalFormatting>
  <conditionalFormatting sqref="H1:H1048576">
    <cfRule type="cellIs" dxfId="134" priority="2111" operator="lessThan">
      <formula>0</formula>
    </cfRule>
  </conditionalFormatting>
  <conditionalFormatting sqref="H1:H1048576">
    <cfRule type="cellIs" dxfId="133" priority="2110" operator="lessThan">
      <formula>0</formula>
    </cfRule>
  </conditionalFormatting>
  <conditionalFormatting sqref="H1:H1048576">
    <cfRule type="cellIs" dxfId="132" priority="2109" operator="lessThan">
      <formula>0</formula>
    </cfRule>
  </conditionalFormatting>
  <conditionalFormatting sqref="H1:H1048576">
    <cfRule type="cellIs" dxfId="131" priority="2108" operator="lessThan">
      <formula>0</formula>
    </cfRule>
  </conditionalFormatting>
  <conditionalFormatting sqref="H1:H1048576">
    <cfRule type="cellIs" dxfId="130" priority="2107" operator="lessThan">
      <formula>0</formula>
    </cfRule>
  </conditionalFormatting>
  <conditionalFormatting sqref="H1:H1048576">
    <cfRule type="cellIs" dxfId="129" priority="2106" operator="lessThan">
      <formula>0</formula>
    </cfRule>
  </conditionalFormatting>
  <conditionalFormatting sqref="H1:H1048576">
    <cfRule type="cellIs" dxfId="128" priority="2105" operator="lessThan">
      <formula>0</formula>
    </cfRule>
  </conditionalFormatting>
  <conditionalFormatting sqref="H1:H1048576">
    <cfRule type="cellIs" dxfId="127" priority="2104" operator="lessThan">
      <formula>0</formula>
    </cfRule>
  </conditionalFormatting>
  <conditionalFormatting sqref="H1:H1048576">
    <cfRule type="cellIs" dxfId="126" priority="2103" operator="lessThan">
      <formula>0</formula>
    </cfRule>
  </conditionalFormatting>
  <conditionalFormatting sqref="H1:H1048576">
    <cfRule type="cellIs" dxfId="125" priority="2102" operator="lessThan">
      <formula>0</formula>
    </cfRule>
  </conditionalFormatting>
  <conditionalFormatting sqref="H1:H1048576">
    <cfRule type="cellIs" dxfId="124" priority="2101" operator="lessThan">
      <formula>0</formula>
    </cfRule>
  </conditionalFormatting>
  <conditionalFormatting sqref="H1:H1048576">
    <cfRule type="cellIs" dxfId="123" priority="2100" operator="lessThan">
      <formula>0</formula>
    </cfRule>
  </conditionalFormatting>
  <conditionalFormatting sqref="H1:H1048576">
    <cfRule type="cellIs" dxfId="122" priority="2099" operator="lessThan">
      <formula>0</formula>
    </cfRule>
  </conditionalFormatting>
  <conditionalFormatting sqref="H1:H1048576">
    <cfRule type="cellIs" dxfId="121" priority="2098" operator="lessThan">
      <formula>0</formula>
    </cfRule>
  </conditionalFormatting>
  <conditionalFormatting sqref="H1:H1048576">
    <cfRule type="cellIs" dxfId="120" priority="2097" operator="lessThan">
      <formula>0</formula>
    </cfRule>
  </conditionalFormatting>
  <conditionalFormatting sqref="H1:H1048576">
    <cfRule type="cellIs" dxfId="119" priority="2096" operator="lessThan">
      <formula>0</formula>
    </cfRule>
  </conditionalFormatting>
  <conditionalFormatting sqref="H1:H1048576">
    <cfRule type="cellIs" dxfId="118" priority="2095" operator="lessThan">
      <formula>0</formula>
    </cfRule>
  </conditionalFormatting>
  <conditionalFormatting sqref="H1:H1048576">
    <cfRule type="cellIs" dxfId="117" priority="2094" operator="lessThan">
      <formula>0</formula>
    </cfRule>
  </conditionalFormatting>
  <conditionalFormatting sqref="H1:H1048576">
    <cfRule type="cellIs" dxfId="116" priority="2093" operator="lessThan">
      <formula>0</formula>
    </cfRule>
  </conditionalFormatting>
  <conditionalFormatting sqref="H1:H1048576">
    <cfRule type="cellIs" dxfId="115" priority="2092" operator="lessThan">
      <formula>0</formula>
    </cfRule>
  </conditionalFormatting>
  <conditionalFormatting sqref="H1:H1048576">
    <cfRule type="cellIs" dxfId="114" priority="2091" operator="lessThan">
      <formula>0</formula>
    </cfRule>
  </conditionalFormatting>
  <conditionalFormatting sqref="H1:H1048576">
    <cfRule type="cellIs" dxfId="113" priority="2090" operator="lessThan">
      <formula>0</formula>
    </cfRule>
  </conditionalFormatting>
  <conditionalFormatting sqref="H1:H1048576">
    <cfRule type="cellIs" dxfId="112" priority="2089" operator="lessThan">
      <formula>0</formula>
    </cfRule>
  </conditionalFormatting>
  <conditionalFormatting sqref="H1:H1048576">
    <cfRule type="cellIs" dxfId="111" priority="2088" operator="lessThan">
      <formula>0</formula>
    </cfRule>
  </conditionalFormatting>
  <conditionalFormatting sqref="H1:H1048576">
    <cfRule type="cellIs" dxfId="110" priority="2087" operator="lessThan">
      <formula>0</formula>
    </cfRule>
  </conditionalFormatting>
  <conditionalFormatting sqref="H1:H1048576">
    <cfRule type="cellIs" dxfId="109" priority="2086" operator="lessThan">
      <formula>0</formula>
    </cfRule>
  </conditionalFormatting>
  <conditionalFormatting sqref="H1:H1048576">
    <cfRule type="cellIs" dxfId="108" priority="2085" operator="lessThan">
      <formula>0</formula>
    </cfRule>
  </conditionalFormatting>
  <conditionalFormatting sqref="H1:H1048576">
    <cfRule type="cellIs" dxfId="107" priority="2084" operator="lessThan">
      <formula>0</formula>
    </cfRule>
  </conditionalFormatting>
  <conditionalFormatting sqref="H1:H1048576">
    <cfRule type="cellIs" dxfId="106" priority="2083" operator="lessThan">
      <formula>0</formula>
    </cfRule>
  </conditionalFormatting>
  <conditionalFormatting sqref="H1:H1048576">
    <cfRule type="cellIs" dxfId="105" priority="2082" operator="lessThan">
      <formula>0</formula>
    </cfRule>
  </conditionalFormatting>
  <conditionalFormatting sqref="H1:H1048576">
    <cfRule type="cellIs" dxfId="104" priority="2081" operator="lessThan">
      <formula>0</formula>
    </cfRule>
  </conditionalFormatting>
  <conditionalFormatting sqref="H1:H1048576">
    <cfRule type="cellIs" dxfId="103" priority="2080" operator="lessThan">
      <formula>0</formula>
    </cfRule>
  </conditionalFormatting>
  <conditionalFormatting sqref="H1:H1048576">
    <cfRule type="cellIs" dxfId="102" priority="2079" operator="lessThan">
      <formula>0</formula>
    </cfRule>
  </conditionalFormatting>
  <conditionalFormatting sqref="H1:H1048576">
    <cfRule type="cellIs" dxfId="101" priority="2078" operator="lessThan">
      <formula>0</formula>
    </cfRule>
  </conditionalFormatting>
  <conditionalFormatting sqref="H1:H1048576">
    <cfRule type="cellIs" dxfId="100" priority="2077" operator="lessThan">
      <formula>0</formula>
    </cfRule>
  </conditionalFormatting>
  <conditionalFormatting sqref="H1:H1048576">
    <cfRule type="cellIs" dxfId="99" priority="2076" operator="lessThan">
      <formula>0</formula>
    </cfRule>
  </conditionalFormatting>
  <conditionalFormatting sqref="H1:H1048576">
    <cfRule type="cellIs" dxfId="98" priority="2075" operator="lessThan">
      <formula>0</formula>
    </cfRule>
  </conditionalFormatting>
  <conditionalFormatting sqref="H1:H1048576">
    <cfRule type="cellIs" dxfId="97" priority="2074" operator="lessThan">
      <formula>0</formula>
    </cfRule>
  </conditionalFormatting>
  <conditionalFormatting sqref="H1:H1048576">
    <cfRule type="cellIs" dxfId="96" priority="2073" operator="lessThan">
      <formula>0</formula>
    </cfRule>
  </conditionalFormatting>
  <conditionalFormatting sqref="H1:H1048576">
    <cfRule type="cellIs" dxfId="95" priority="2072" operator="lessThan">
      <formula>0</formula>
    </cfRule>
  </conditionalFormatting>
  <conditionalFormatting sqref="H1:H1048576">
    <cfRule type="cellIs" dxfId="94" priority="2071" operator="lessThan">
      <formula>0</formula>
    </cfRule>
  </conditionalFormatting>
  <conditionalFormatting sqref="H1:H1048576">
    <cfRule type="cellIs" dxfId="93" priority="2070" operator="lessThan">
      <formula>0</formula>
    </cfRule>
  </conditionalFormatting>
  <conditionalFormatting sqref="H1:H1048576">
    <cfRule type="cellIs" dxfId="92" priority="2069" operator="lessThan">
      <formula>0</formula>
    </cfRule>
  </conditionalFormatting>
  <conditionalFormatting sqref="H1:H1048576">
    <cfRule type="cellIs" dxfId="91" priority="2068" operator="lessThan">
      <formula>0</formula>
    </cfRule>
  </conditionalFormatting>
  <conditionalFormatting sqref="H1:H1048576">
    <cfRule type="cellIs" dxfId="90" priority="2067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2"/>
  <sheetViews>
    <sheetView tabSelected="1" zoomScale="90" zoomScaleNormal="90" zoomScaleSheetLayoutView="90" workbookViewId="0">
      <pane xSplit="6" ySplit="11" topLeftCell="G12" activePane="bottomRight" state="frozen"/>
      <selection pane="topRight" activeCell="F1" sqref="F1"/>
      <selection pane="bottomLeft" activeCell="A14" sqref="A14"/>
      <selection pane="bottomRight" activeCell="P26" sqref="P26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3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7.1406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351.71</v>
      </c>
      <c r="D1" s="172">
        <f t="shared" ref="D1:D10" si="0">C1/E1-1</f>
        <v>2.5333799778438637E-2</v>
      </c>
      <c r="E1" s="239">
        <f>_xll.BDP(B1&amp;" EQUITY","PX_YEST_CLOSE")</f>
        <v>343.02</v>
      </c>
      <c r="H1" t="s">
        <v>6</v>
      </c>
      <c r="I1" s="173" cm="1">
        <f t="array" ref="I1">_xll.BDP(H1&amp;" EQUITY","LAST_PRICE")</f>
        <v>86.14</v>
      </c>
      <c r="J1" s="172">
        <f t="shared" ref="J1:J10" si="1">I1/K1-1</f>
        <v>-4.046710602381709E-3</v>
      </c>
      <c r="K1" s="239">
        <f>_xll.BDP(H1&amp;" EQUITY","PX_YEST_CLOSE")</f>
        <v>86.49</v>
      </c>
      <c r="M1" s="5">
        <f>J33/4</f>
        <v>5.5614096709988292E-4</v>
      </c>
      <c r="P1" s="50"/>
      <c r="Q1" t="s">
        <v>1921</v>
      </c>
      <c r="R1" s="5">
        <f>SUM(U22:U34)</f>
        <v>1.9090280690804127E-2</v>
      </c>
      <c r="S1" s="5">
        <f>T1/R1/10000</f>
        <v>9.601021697531948E-6</v>
      </c>
      <c r="T1" s="276">
        <f>SUM(V22:V34)</f>
        <v>1.832861991243856E-3</v>
      </c>
      <c r="U1" s="413"/>
      <c r="V1" s="369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186.23</v>
      </c>
      <c r="D2" s="172">
        <f t="shared" si="0"/>
        <v>-4.3838545843358778E-3</v>
      </c>
      <c r="E2" s="239" cm="1">
        <f t="array" ref="E2">_xll.BDP(B2&amp;" EQUITY","PX_YEST_CLOSE")</f>
        <v>187.05</v>
      </c>
      <c r="H2" t="s">
        <v>95</v>
      </c>
      <c r="I2" s="173" cm="1">
        <f t="array" ref="I2">_xll.BDP(H2&amp;" EQUITY","LAST_PRICE")</f>
        <v>342.47</v>
      </c>
      <c r="J2" s="172">
        <f t="shared" si="1"/>
        <v>1.5568471620900359E-2</v>
      </c>
      <c r="K2" s="239">
        <f>_xll.BDP(H2&amp;" EQUITY","PX_YEST_CLOSE")</f>
        <v>337.22</v>
      </c>
      <c r="O2" s="50"/>
      <c r="P2" s="50"/>
      <c r="R2" s="5"/>
      <c r="S2" s="5"/>
      <c r="T2" s="276"/>
      <c r="U2" s="370"/>
      <c r="V2" s="369"/>
      <c r="W2" s="276">
        <f>W5/W6</f>
        <v>-0.35764809573167777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342.4</v>
      </c>
      <c r="D3" s="172">
        <f t="shared" si="0"/>
        <v>2.2245638683995317E-3</v>
      </c>
      <c r="E3" s="239">
        <f>_xll.BDP(B3&amp;" EQUITY","PX_YEST_CLOSE")</f>
        <v>341.64</v>
      </c>
      <c r="H3" t="s">
        <v>136</v>
      </c>
      <c r="I3" s="173" cm="1">
        <f t="array" ref="I3">_xll.BDP(H3&amp;" EQUITY","LAST_PRICE")</f>
        <v>400.39</v>
      </c>
      <c r="J3" s="172">
        <f t="shared" si="1"/>
        <v>1.0040109987134338E-2</v>
      </c>
      <c r="K3" s="239" cm="1">
        <f t="array" ref="K3">_xll.BDP(H3&amp;" EQUITY","PX_YEST_CLOSE")</f>
        <v>396.41</v>
      </c>
      <c r="L3" s="174"/>
      <c r="O3" s="5"/>
      <c r="R3" s="5"/>
      <c r="S3" s="5"/>
      <c r="T3" s="276"/>
      <c r="U3" s="276">
        <f>U5/-U6</f>
        <v>10.496195266057876</v>
      </c>
      <c r="W3" s="45" t="s">
        <v>154</v>
      </c>
      <c r="X3" s="5">
        <f>_xll.BDP("SPY Equity","LAST_PRICE")/_xll.BDP("SPY Equity","PX_YEST_CLOSE")-1</f>
        <v>-8.378597018375844E-4</v>
      </c>
      <c r="AC3" s="93" cm="1">
        <f t="array" ref="AC3">_xll.BDP("brl Curncy","LAST_PRICE")</f>
        <v>5.3712999999999997</v>
      </c>
      <c r="AD3" s="8">
        <f>AD5*$AC$3</f>
        <v>11322206240.4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362.75</v>
      </c>
      <c r="D4" s="172">
        <f t="shared" si="0"/>
        <v>7.7592609096040155E-2</v>
      </c>
      <c r="E4" s="239" cm="1">
        <f t="array" ref="E4">_xll.BDP(B4&amp;" EQUITY","PX_YEST_CLOSE")</f>
        <v>336.63</v>
      </c>
      <c r="F4" s="7"/>
      <c r="G4" s="7"/>
      <c r="H4" t="s">
        <v>0</v>
      </c>
      <c r="I4" s="173" cm="1">
        <f t="array" ref="I4">_xll.BDP(H4&amp;" EQUITY","LAST_PRICE")</f>
        <v>691.66</v>
      </c>
      <c r="J4" s="172">
        <f t="shared" si="1"/>
        <v>-8.378597018375844E-4</v>
      </c>
      <c r="K4" s="239" cm="1">
        <f t="array" ref="K4">_xll.BDP(H4&amp;" EQUITY","PX_YEST_CLOSE")</f>
        <v>692.24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1875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239.12</v>
      </c>
      <c r="D5" s="172">
        <f t="shared" si="0"/>
        <v>3.9465950121757576E-3</v>
      </c>
      <c r="E5" s="239" cm="1">
        <f t="array" ref="E5">_xll.BDP(B5&amp;" EQUITY","PX_YEST_CLOSE")</f>
        <v>238.18</v>
      </c>
      <c r="H5" t="s">
        <v>3</v>
      </c>
      <c r="I5" s="175" cm="1">
        <f t="array" ref="I5">_xll.BDP(H5&amp;" EQUITY","LAST_PRICE")</f>
        <v>199.05</v>
      </c>
      <c r="J5" s="172">
        <f t="shared" si="1"/>
        <v>-2.5556223692122515E-3</v>
      </c>
      <c r="K5" s="239" cm="1">
        <f t="array" ref="K5">_xll.BDP(H5&amp;" EQUITY","PX_YEST_CLOSE")</f>
        <v>199.56</v>
      </c>
      <c r="L5" s="174"/>
      <c r="O5" s="27">
        <f>SUMIF(O12:O41,"&gt;0")</f>
        <v>2.0350382560750613E-2</v>
      </c>
      <c r="P5" s="20">
        <f>SUMIF($F$12:$F$41,"Long",P12:P41)</f>
        <v>0.55351982359434282</v>
      </c>
      <c r="R5" s="27">
        <f>SUMIF(R12:R41,"&gt;0")</f>
        <v>4.7576161815514519E-3</v>
      </c>
      <c r="S5" s="170">
        <f>SUMIF($F$12:$F$41,"Long",S12:S41)</f>
        <v>-0.72826647857943461</v>
      </c>
      <c r="T5" t="s">
        <v>99</v>
      </c>
      <c r="U5" s="33">
        <f>SUMIF($F$12:$F$41,"Long",U12:U41)</f>
        <v>2.2804436478305653E-2</v>
      </c>
      <c r="V5" s="39">
        <f>SUMIF($F$12:$F$41,"Long",V12:V41)</f>
        <v>-0.1747466549850919</v>
      </c>
      <c r="W5" s="5">
        <f>V5/U5/10000</f>
        <v>-7.6628359201654514E-4</v>
      </c>
      <c r="X5" s="5">
        <f>W5-$X$3</f>
        <v>7.157610982103926E-5</v>
      </c>
      <c r="Y5" s="55">
        <f>$U5*X5*10000</f>
        <v>1.6322528497781191E-2</v>
      </c>
      <c r="Z5" s="9">
        <f>U5*$X$3*10000</f>
        <v>-0.19106918348287308</v>
      </c>
      <c r="AA5" s="33">
        <f>SUMIF($F$12:$F$41,"Long",AA12:AA41)</f>
        <v>3.0856163083492094E-2</v>
      </c>
      <c r="AB5" s="276">
        <f>AA5/U5</f>
        <v>1.3530772011334822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255.53</v>
      </c>
      <c r="D6" s="172">
        <f t="shared" si="0"/>
        <v>-1.0379148754889322E-2</v>
      </c>
      <c r="E6" s="239" cm="1">
        <f t="array" ref="E6">_xll.BDP(B6&amp;" EQUITY","PX_YEST_CLOSE")</f>
        <v>258.20999999999998</v>
      </c>
      <c r="H6" t="s">
        <v>135</v>
      </c>
      <c r="I6" s="176" cm="1">
        <f t="array" ref="I6">_xll.BDP(H6&amp;" EQUITY","LAST_PRICE")</f>
        <v>621.26</v>
      </c>
      <c r="J6" s="172">
        <f t="shared" si="1"/>
        <v>-8.3630866222772493E-4</v>
      </c>
      <c r="K6" s="239" cm="1">
        <f t="array" ref="K6">_xll.BDP(H6&amp;" EQUITY","PX_YEST_CLOSE")</f>
        <v>621.78</v>
      </c>
      <c r="L6" s="1">
        <f>$S$1/J6</f>
        <v>-1.1480237059792179E-2</v>
      </c>
      <c r="O6" s="27">
        <f>SUMIF(O12:O41,"&lt;0")</f>
        <v>-2.5674427384861954E-3</v>
      </c>
      <c r="P6" s="20">
        <f>SUMIF($F$12:$F$41,"Short",P12:P41)</f>
        <v>7.0739446149740398E-2</v>
      </c>
      <c r="R6" s="27">
        <f>SUMIF(R12:R41,"&lt;0")</f>
        <v>-1.9087578863884258E-3</v>
      </c>
      <c r="S6" s="170">
        <f>SUMIF($F$12:$F$41,"Short",S12:S41)</f>
        <v>-0.11728959270988708</v>
      </c>
      <c r="T6" t="s">
        <v>100</v>
      </c>
      <c r="U6" s="33">
        <f>SUMIF($F$12:$F$41,"Short",U12:U41)</f>
        <v>-2.1726383608782138E-3</v>
      </c>
      <c r="V6" s="39">
        <f>SUMIF($F$12:$F$41,"Short",V12:V41)</f>
        <v>-4.6550146560146666E-2</v>
      </c>
      <c r="W6" s="5">
        <f>V6/U6/10000</f>
        <v>2.1425630421682503E-3</v>
      </c>
      <c r="X6" s="5">
        <f>$X$3-W6</f>
        <v>-2.9804227440058347E-3</v>
      </c>
      <c r="Y6" s="55">
        <f>-$U6*X6*10000</f>
        <v>-6.4753807852609854E-2</v>
      </c>
      <c r="Z6" s="9">
        <f>U6*$X$3*10000</f>
        <v>1.8203661292463182E-2</v>
      </c>
      <c r="AA6" s="33">
        <f>SUMIF($F$12:$F$41,"Short",AA12:AA41)</f>
        <v>-2.2977939981607643E-3</v>
      </c>
      <c r="AB6" s="276">
        <f>AA6/U6</f>
        <v>1.0576053702890345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459.86</v>
      </c>
      <c r="D7" s="172">
        <f t="shared" si="0"/>
        <v>7.0074015679060242E-3</v>
      </c>
      <c r="E7" s="239" cm="1">
        <f t="array" ref="E7">_xll.BDP(B7&amp;" EQUITY","PX_YEST_CLOSE")</f>
        <v>456.66</v>
      </c>
      <c r="H7" t="s">
        <v>143</v>
      </c>
      <c r="I7" s="175" cm="1">
        <f t="array" ref="I7">_xll.BDP(H7&amp;" EQUITY","LAST_PRICE")</f>
        <v>104.28</v>
      </c>
      <c r="J7" s="172">
        <f t="shared" si="1"/>
        <v>-1.914241960183749E-3</v>
      </c>
      <c r="K7" s="239">
        <f>_xll.BDP(H7&amp;" EQUITY","PX_YEST_CLOSE")</f>
        <v>104.48</v>
      </c>
      <c r="L7" s="174"/>
      <c r="M7"/>
      <c r="N7" s="28"/>
      <c r="O7" s="29">
        <f>O5+O6</f>
        <v>1.7782939822264417E-2</v>
      </c>
      <c r="P7" s="169">
        <f>SUM(P12:P41)</f>
        <v>0.62425926974408308</v>
      </c>
      <c r="Q7" s="28"/>
      <c r="R7" s="29">
        <f>R5+R6</f>
        <v>2.8488582951630261E-3</v>
      </c>
      <c r="S7" s="169">
        <f>SUM(S12:S41)</f>
        <v>-0.84555607128932164</v>
      </c>
      <c r="T7" s="344" t="s">
        <v>66</v>
      </c>
      <c r="U7" s="345">
        <f>U5+U6</f>
        <v>2.0631798117427439E-2</v>
      </c>
      <c r="V7" s="346">
        <f>V5+V6</f>
        <v>-0.22129680154523856</v>
      </c>
      <c r="W7" s="44">
        <f>V7/U7/10000</f>
        <v>-1.0726006540278802E-3</v>
      </c>
      <c r="X7" s="44"/>
      <c r="Y7" s="56">
        <f>Y5+Y6</f>
        <v>-4.843127935482866E-2</v>
      </c>
      <c r="Z7" s="47">
        <f>Z5+Z6</f>
        <v>-0.1728655221904099</v>
      </c>
      <c r="AA7" s="34">
        <f>AA5+AA6</f>
        <v>2.8558369085331329E-2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330</v>
      </c>
      <c r="D8" s="172">
        <f t="shared" si="0"/>
        <v>-8.3538674199169494E-3</v>
      </c>
      <c r="E8" s="239" cm="1">
        <f t="array" ref="E8">_xll.BDP(B8&amp;" EQUITY","PX_YEST_CLOSE")</f>
        <v>332.78</v>
      </c>
      <c r="F8" s="16"/>
      <c r="G8" s="16"/>
      <c r="H8" t="s">
        <v>144</v>
      </c>
      <c r="I8" s="175" cm="1">
        <f t="array" ref="I8">_xll.BDP(H8&amp;" EQUITY","LAST_PRICE")</f>
        <v>265.76</v>
      </c>
      <c r="J8" s="172">
        <f t="shared" si="1"/>
        <v>9.415841211253273E-4</v>
      </c>
      <c r="K8" s="239" cm="1">
        <f t="array" ref="K8">_xll.BDP(H8&amp;" EQUITY","PX_YEST_CLOSE")</f>
        <v>265.51</v>
      </c>
      <c r="M8"/>
      <c r="N8" s="6"/>
      <c r="O8" s="30">
        <f>O5-O6</f>
        <v>2.2917825299236808E-2</v>
      </c>
      <c r="P8" s="31"/>
      <c r="Q8" s="6"/>
      <c r="R8" s="30">
        <f>R5-R6</f>
        <v>6.6663740679398778E-3</v>
      </c>
      <c r="S8" s="31"/>
      <c r="T8" s="6" t="s">
        <v>67</v>
      </c>
      <c r="U8" s="35">
        <f>U5-U6</f>
        <v>2.4977074839183867E-2</v>
      </c>
      <c r="V8" s="41"/>
      <c r="AA8" s="35">
        <f>AA5-AA6</f>
        <v>3.3153957081652856E-2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620.25</v>
      </c>
      <c r="D9" s="172">
        <f t="shared" si="0"/>
        <v>-8.8595360824739178E-4</v>
      </c>
      <c r="E9" s="239">
        <f>_xll.BDP(B9&amp;" EQUITY","PX_YEST_CLOSE")</f>
        <v>620.79999999999995</v>
      </c>
      <c r="F9" s="16"/>
      <c r="G9" s="16"/>
      <c r="H9" t="s">
        <v>484</v>
      </c>
      <c r="I9" s="175" cm="1">
        <f t="array" ref="I9">_xll.BDP(H9&amp;" EQUITY","LAST_PRICE")</f>
        <v>80.77</v>
      </c>
      <c r="J9" s="172">
        <f t="shared" si="1"/>
        <v>-1.5480253534861155E-2</v>
      </c>
      <c r="K9" s="239" cm="1">
        <f t="array" ref="K9">_xll.BDP(H9&amp;" EQUITY","PX_YEST_CLOSE")</f>
        <v>82.04</v>
      </c>
      <c r="N9" s="6"/>
      <c r="O9" s="30"/>
      <c r="P9" s="46"/>
      <c r="Q9" s="6"/>
      <c r="R9" s="30"/>
      <c r="S9" s="46"/>
      <c r="T9" s="339"/>
      <c r="U9" s="340"/>
      <c r="V9" s="341"/>
      <c r="W9" s="123">
        <v>3.3</v>
      </c>
      <c r="X9" s="221">
        <v>0.25</v>
      </c>
      <c r="AD9" s="18"/>
      <c r="AF9" s="3"/>
      <c r="AG9" s="276"/>
      <c r="AH9" s="32"/>
      <c r="AI9"/>
    </row>
    <row r="10" spans="1:39">
      <c r="B10" t="s">
        <v>1890</v>
      </c>
      <c r="C10" s="175" cm="1">
        <f t="array" ref="C10">_xll.BDP(B10&amp;" EQUITY","LAST_PRICE")</f>
        <v>191.09</v>
      </c>
      <c r="D10" s="172">
        <f t="shared" si="0"/>
        <v>6.5314722149065751E-3</v>
      </c>
      <c r="E10" s="239">
        <f>_xll.BDP(B10&amp;" EQUITY","PX_YEST_CLOSE")</f>
        <v>189.85</v>
      </c>
      <c r="F10" s="13"/>
      <c r="G10" s="13"/>
      <c r="H10" t="s">
        <v>131</v>
      </c>
      <c r="I10" s="175" cm="1">
        <f t="array" ref="I10">_xll.BDP(H10&amp;" EQUITY","LAST_PRICE")</f>
        <v>97.24</v>
      </c>
      <c r="J10" s="172">
        <f t="shared" si="1"/>
        <v>1.3386880856760541E-3</v>
      </c>
      <c r="K10" s="239">
        <f>_xll.BDP(H10&amp;" EQUITY","PX_YEST_CLOSE")</f>
        <v>97.11</v>
      </c>
      <c r="N10" s="6"/>
      <c r="P10" s="50">
        <f>SUM(Tabelad[D1 P&amp;L bps])</f>
        <v>0.62425926974408308</v>
      </c>
      <c r="Q10" s="6"/>
      <c r="S10" s="50">
        <f>SUM(Tabelad[Options P&amp;L bps])</f>
        <v>-0.84555607128932164</v>
      </c>
      <c r="T10" s="342" t="s">
        <v>1845</v>
      </c>
      <c r="U10" s="342">
        <f>U7+U9</f>
        <v>2.0631798117427439E-2</v>
      </c>
      <c r="V10" s="343">
        <f>V7+V9</f>
        <v>-0.22129680154523856</v>
      </c>
      <c r="W10" s="17">
        <f>AE7*W9/10000</f>
        <v>744068.59065000003</v>
      </c>
      <c r="X10" s="348"/>
      <c r="Y10" s="54">
        <v>0.35</v>
      </c>
      <c r="Z10" s="38">
        <f>SUM(Tabelad[Beta Adj])</f>
        <v>4.1365073331159872</v>
      </c>
      <c r="AA10" s="71" t="e">
        <f>AA7-SUM(#REF!)</f>
        <v>#REF!</v>
      </c>
      <c r="AD10" s="15">
        <f>SUM(Tabelad[Daily P&amp;L])</f>
        <v>131588.11087677107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SUM(AH12:AH41)+#REF!+#REF!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1876</v>
      </c>
      <c r="D11" s="57" t="s">
        <v>1877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9" t="s">
        <v>178</v>
      </c>
      <c r="J11" s="420" t="s">
        <v>103</v>
      </c>
      <c r="K11" s="441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1916</v>
      </c>
      <c r="E12" t="s">
        <v>194</v>
      </c>
      <c r="F12" s="22" t="str">
        <f>IF(T12&gt;0,"Long","Short")</f>
        <v>Long</v>
      </c>
      <c r="G12" s="15"/>
      <c r="H12" s="498">
        <v>3378</v>
      </c>
      <c r="I12" s="36" cm="1">
        <f t="array" ref="I12">_xll.BDP(B12&amp;" Equity","LAST_PRICE")</f>
        <v>165.4</v>
      </c>
      <c r="J12" s="51">
        <f t="shared" ref="J12:J35" si="2">I12/K12-1</f>
        <v>-3.2352424969285698E-2</v>
      </c>
      <c r="K12" s="440" cm="1">
        <f t="array" ref="K12">_xll.BDP(B12&amp;" EQUITY","PX_YEST_CLOSE")</f>
        <v>170.93</v>
      </c>
      <c r="L12" s="53" cm="1">
        <f t="array" ref="L12">_xll.BDP(E12&amp;" Curncy","PX_LAST")</f>
        <v>1</v>
      </c>
      <c r="M12" s="52">
        <v>1</v>
      </c>
      <c r="N12" s="15">
        <f t="shared" ref="N12:N35" si="3">IFERROR(IF(((I12/L12)*H12*M12)&lt;&gt;0,((I12/L12)*H12*M12),0),"-")</f>
        <v>558721.20000000007</v>
      </c>
      <c r="O12" s="358">
        <f>IFERROR(IF(Tabelad[[#This Row],[D1 Exp USD]]&lt;&gt;0,N12/$AE$7,0),"-")</f>
        <v>2.4779704225780035E-4</v>
      </c>
      <c r="P12" s="20">
        <f>IFERROR(IF(Tabelad[[#This Row],[D1 Exp USD]]&lt;&gt;0,((I12-K12)/L12*M12*H12)/$AD$7*10000,0),"-")</f>
        <v>-8.2848708808079582E-2</v>
      </c>
      <c r="Q12" s="15">
        <f>IF(SUM(SUMIFS(Options!$AL$4:$AL$33, Options!$D$4:$D$33, B12), SUMIFS(Options!$AL$4:$AL$33, Options!$D$4:$D$33, B12 &amp; " US"))=0,0,SUM(SUMIFS(Options!$AL$4:$AL$33, Options!$D$4:$D$33, B12), SUMIFS(Options!$AL$4:$AL$33, Options!$D$4:$D$33, B12 &amp; " US")))</f>
        <v>0</v>
      </c>
      <c r="R12" s="19">
        <f t="shared" ref="R12:R35" si="4">Q12/$AE$7</f>
        <v>0</v>
      </c>
      <c r="S12" s="20">
        <f>IF(SUM(SUMIFS(Options!$AK$4:$AK$33, Options!$D$4:$D$33, B12), SUMIFS(Options!$AK$4:$AK$33, Options!$D$4:$D$33, B12 &amp; " US"))=0,0,SUM(SUMIFS(Options!$AK$4:$AK$33, Options!$D$4:$D$33, B12), SUMIFS(Options!AK$4:$AK$33, Options!$D$4:$D$33, B12 &amp; " US")))</f>
        <v>0</v>
      </c>
      <c r="T12" s="13">
        <f t="shared" ref="T12:T35" si="5">N12+Q12</f>
        <v>558721.20000000007</v>
      </c>
      <c r="U12" s="48">
        <f t="shared" ref="U12:U35" si="6">T12/$AE$7</f>
        <v>2.4779704225780035E-4</v>
      </c>
      <c r="V12" s="20">
        <f t="shared" ref="V12:V35" si="7">P12+S12</f>
        <v>-8.2848708808079582E-2</v>
      </c>
      <c r="W12" s="15">
        <f t="shared" ref="W12:W35" si="8">$W$10/(I12/L12*M12)</f>
        <v>4498.6009108222488</v>
      </c>
      <c r="X12" s="19"/>
      <c r="Y12" s="376">
        <f>Tabelad[[#This Row],[Exp %]]*$Y$10*$AD$7/Tabelad[[#This Row],[Price Today]]</f>
        <v>1182.3</v>
      </c>
      <c r="Z12" s="266">
        <f>Tabelad[[#This Row],[Vol 10d]]/16*Tabelad[[#This Row],[Exp %]]*100</f>
        <v>0.10951772537874137</v>
      </c>
      <c r="AA12" s="19">
        <f>Tabelad[[#This Row],[Exp %]]*Tabelad[[#This Row],[Beta Adj2]]</f>
        <v>2.1543091442644726E-4</v>
      </c>
      <c r="AB12" s="36">
        <f>_xll.BDP($B12&amp;" Equity","volatility_10d")</f>
        <v>70.714468183072199</v>
      </c>
      <c r="AC12" s="36">
        <f>_xll.BDP(B12&amp;" EQUITY","eqy_beta")</f>
        <v>0.8693845272064209</v>
      </c>
      <c r="AD12" s="15">
        <f>Tabelad[[#This Row],[D1 P&amp;L bps]]*$AD$5/10000</f>
        <v>-17463.745608622143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35" si="9">(T12*AG12)/$AD$7*10000</f>
        <v>#VALUE!</v>
      </c>
      <c r="AI12" s="479" t="str">
        <f>_xll.BDP(B12&amp;" Equity","DVD_EX_DT")</f>
        <v>12/06/2025</v>
      </c>
    </row>
    <row r="13" spans="1:39">
      <c r="B13" s="40" t="s">
        <v>2209</v>
      </c>
      <c r="C13" t="s">
        <v>1916</v>
      </c>
      <c r="E13" t="s">
        <v>194</v>
      </c>
      <c r="F13" s="22" t="str">
        <f>IF(T13&gt;0,"Long","Short")</f>
        <v>Long</v>
      </c>
      <c r="G13" s="15"/>
      <c r="H13" s="498">
        <v>3510</v>
      </c>
      <c r="I13" s="36" cm="1">
        <f t="array" ref="I13">_xll.BDP(B13&amp;" Equity","LAST_PRICE")</f>
        <v>149.53</v>
      </c>
      <c r="J13" s="51">
        <f t="shared" si="2"/>
        <v>8.7014725568934637E-4</v>
      </c>
      <c r="K13" s="440" cm="1">
        <f t="array" ref="K13">_xll.BDP(B13&amp;" EQUITY","PX_YEST_CLOSE")</f>
        <v>149.4</v>
      </c>
      <c r="L13" s="53" cm="1">
        <f t="array" ref="L13">_xll.BDP(E13&amp;" Curncy","PX_LAST")</f>
        <v>1</v>
      </c>
      <c r="M13" s="52">
        <v>1</v>
      </c>
      <c r="N13" s="15">
        <f t="shared" si="3"/>
        <v>524850.30000000005</v>
      </c>
      <c r="O13" s="358">
        <f>IFERROR(IF(Tabelad[[#This Row],[D1 Exp USD]]&lt;&gt;0,N13/$AE$7,0),"-")</f>
        <v>2.3277504409734086E-4</v>
      </c>
      <c r="P13" s="20">
        <f>IFERROR(IF(Tabelad[[#This Row],[D1 Exp USD]]&lt;&gt;0,((I13-K13)/L13*M13*H13)/$AD$7*10000,0),"-")</f>
        <v>2.0237247196317294E-3</v>
      </c>
      <c r="Q13" s="15">
        <f>IF(SUM(SUMIFS(Options!$AL$4:$AL$33, Options!$D$4:$D$33, B13), SUMIFS(Options!$AL$4:$AL$33, Options!$D$4:$D$33, B13 &amp; " US"))=0,0,SUM(SUMIFS(Options!$AL$4:$AL$33, Options!$D$4:$D$33, B13), SUMIFS(Options!$AL$4:$AL$33, Options!$D$4:$D$33, B13 &amp; " US")))</f>
        <v>0</v>
      </c>
      <c r="R13" s="19">
        <f t="shared" si="4"/>
        <v>0</v>
      </c>
      <c r="S13" s="20">
        <f>IF(SUM(SUMIFS(Options!$AK$4:$AK$33, Options!$D$4:$D$33, B13), SUMIFS(Options!$AK$4:$AK$33, Options!$D$4:$D$33, B13 &amp; " US"))=0,0,SUM(SUMIFS(Options!$AK$4:$AK$33, Options!$D$4:$D$33, B13), SUMIFS(Options!AK$4:$AK$33, Options!$D$4:$D$33, B13 &amp; " US")))</f>
        <v>0</v>
      </c>
      <c r="T13" s="13">
        <f t="shared" si="5"/>
        <v>524850.30000000005</v>
      </c>
      <c r="U13" s="48">
        <f t="shared" si="6"/>
        <v>2.3277504409734086E-4</v>
      </c>
      <c r="V13" s="20">
        <f t="shared" si="7"/>
        <v>2.0237247196317294E-3</v>
      </c>
      <c r="W13" s="15">
        <f t="shared" si="8"/>
        <v>4976.0488908580219</v>
      </c>
      <c r="X13" s="19"/>
      <c r="Y13" s="376">
        <f>Tabelad[[#This Row],[Exp %]]*$Y$10*$AD$7/Tabelad[[#This Row],[Price Today]]</f>
        <v>1228.4999999999998</v>
      </c>
      <c r="Z13" s="266">
        <f>Tabelad[[#This Row],[Vol 10d]]/16*Tabelad[[#This Row],[Exp %]]*100</f>
        <v>6.540623417449902E-2</v>
      </c>
      <c r="AA13" s="19">
        <f>Tabelad[[#This Row],[Exp %]]*Tabelad[[#This Row],[Beta Adj2]]</f>
        <v>2.4305042390757362E-4</v>
      </c>
      <c r="AB13" s="36">
        <f>_xll.BDP($B13&amp;" Equity","volatility_10d")</f>
        <v>44.957557664745352</v>
      </c>
      <c r="AC13" s="36">
        <f>_xll.BDP(B13&amp;" EQUITY","eqy_beta")</f>
        <v>1.0441429615020752</v>
      </c>
      <c r="AD13" s="15">
        <f>Tabelad[[#This Row],[D1 P&amp;L bps]]*$AD$5/10000</f>
        <v>426.58255263094793</v>
      </c>
      <c r="AE13" s="277"/>
      <c r="AF13" s="231" t="str">
        <f>_xll.BDP(B13&amp;" Equity","EXPECTED_REPORT_DT")</f>
        <v>17/02/2026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79" t="str">
        <f>_xll.BDP(B13&amp;" Equity","DVD_EX_DT")</f>
        <v>#N/A Field Not Applicable</v>
      </c>
    </row>
    <row r="14" spans="1:39">
      <c r="B14" s="40" t="s">
        <v>38</v>
      </c>
      <c r="C14" t="s">
        <v>1916</v>
      </c>
      <c r="E14" t="s">
        <v>194</v>
      </c>
      <c r="F14" s="22" t="str">
        <f>IF(T14&gt;0,"Long","Short")</f>
        <v>Long</v>
      </c>
      <c r="G14" s="15"/>
      <c r="H14" s="498"/>
      <c r="I14" s="36" cm="1">
        <f t="array" ref="I14">_xll.BDP(B14&amp;" Equity","LAST_PRICE")</f>
        <v>33.56</v>
      </c>
      <c r="J14" s="51">
        <f t="shared" si="2"/>
        <v>-1.1778563015312105E-2</v>
      </c>
      <c r="K14" s="440" cm="1">
        <f t="array" ref="K14">_xll.BDP(B14&amp;" EQUITY","PX_YEST_CLOSE")</f>
        <v>33.96</v>
      </c>
      <c r="L14" s="53" cm="1">
        <f t="array" ref="L14">_xll.BDP(E14&amp;" Curncy","PX_LAST")</f>
        <v>1</v>
      </c>
      <c r="M14" s="52">
        <v>1</v>
      </c>
      <c r="N14" s="15">
        <f t="shared" si="3"/>
        <v>0</v>
      </c>
      <c r="O14" s="358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IF(SUM(SUMIFS(Options!$AL$4:$AL$33, Options!$D$4:$D$33, B14), SUMIFS(Options!$AL$4:$AL$33, Options!$D$4:$D$33, B14 &amp; " US"))=0,0,SUM(SUMIFS(Options!$AL$4:$AL$33, Options!$D$4:$D$33, B14), SUMIFS(Options!$AL$4:$AL$33, Options!$D$4:$D$33, B14 &amp; " US")))</f>
        <v>1254703.8451731207</v>
      </c>
      <c r="R14" s="19">
        <f t="shared" si="4"/>
        <v>5.5647056482443905E-4</v>
      </c>
      <c r="S14" s="20">
        <f>IF(SUM(SUMIFS(Options!$AK$4:$AK$33, Options!$D$4:$D$33, B14), SUMIFS(Options!$AK$4:$AK$33, Options!$D$4:$D$33, B14 &amp; " US"))=0,0,SUM(SUMIFS(Options!$AK$4:$AK$33, Options!$D$4:$D$33, B14), SUMIFS(Options!AK$4:$AK$33, Options!$D$4:$D$33, B14 &amp; " US")))</f>
        <v>-0.11359912026123871</v>
      </c>
      <c r="T14" s="13">
        <f t="shared" si="5"/>
        <v>1254703.8451731207</v>
      </c>
      <c r="U14" s="48">
        <f t="shared" si="6"/>
        <v>5.5647056482443905E-4</v>
      </c>
      <c r="V14" s="20">
        <f t="shared" si="7"/>
        <v>-0.11359912026123871</v>
      </c>
      <c r="W14" s="15">
        <f t="shared" si="8"/>
        <v>22171.292927592371</v>
      </c>
      <c r="X14" s="19"/>
      <c r="Y14" s="376">
        <f>Tabelad[[#This Row],[Exp %]]*$Y$10*$AD$7/Tabelad[[#This Row],[Price Today]]</f>
        <v>13085.409589111805</v>
      </c>
      <c r="Z14" s="266">
        <f>Tabelad[[#This Row],[Vol 10d]]/16*Tabelad[[#This Row],[Exp %]]*100</f>
        <v>5.6486078938343724E-2</v>
      </c>
      <c r="AA14" s="19">
        <f>Tabelad[[#This Row],[Exp %]]*Tabelad[[#This Row],[Beta Adj2]]</f>
        <v>6.3648162351943936E-4</v>
      </c>
      <c r="AB14" s="36">
        <f>_xll.BDP($B14&amp;" Equity","volatility_10d")</f>
        <v>16.241241139118156</v>
      </c>
      <c r="AC14" s="36">
        <f>_xll.BDP(B14&amp;" EQUITY","eqy_beta")</f>
        <v>1.1437830924987793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-7.0670750000000008E-3</v>
      </c>
      <c r="AH14" s="20">
        <f t="shared" si="9"/>
        <v>-3.9326192169066729E-2</v>
      </c>
      <c r="AI14" s="479" t="str">
        <f>_xll.BDP(B14&amp;" Equity","DVD_EX_DT")</f>
        <v>19/12/2025</v>
      </c>
    </row>
    <row r="15" spans="1:39">
      <c r="B15" s="40" t="s">
        <v>143</v>
      </c>
      <c r="C15" t="s">
        <v>78</v>
      </c>
      <c r="E15" t="s">
        <v>194</v>
      </c>
      <c r="F15" s="22" t="s">
        <v>100</v>
      </c>
      <c r="G15" s="15"/>
      <c r="H15" s="498">
        <v>-10000</v>
      </c>
      <c r="I15" s="36" cm="1">
        <f t="array" ref="I15">_xll.BDP(B15&amp;" Equity","LAST_PRICE")</f>
        <v>104.28</v>
      </c>
      <c r="J15" s="51">
        <f t="shared" si="2"/>
        <v>-1.914241960183749E-3</v>
      </c>
      <c r="K15" s="440" cm="1">
        <f t="array" ref="K15">_xll.BDP(B15&amp;" EQUITY","PX_YEST_CLOSE")</f>
        <v>104.48</v>
      </c>
      <c r="L15" s="53" cm="1">
        <f t="array" ref="L15">_xll.BDP(E15&amp;" Curncy","PX_LAST")</f>
        <v>1</v>
      </c>
      <c r="M15" s="52">
        <v>1</v>
      </c>
      <c r="N15" s="15">
        <f t="shared" si="3"/>
        <v>-1042800</v>
      </c>
      <c r="O15" s="358">
        <f>IFERROR(IF(Tabelad[[#This Row],[D1 Exp USD]]&lt;&gt;0,N15/$AE$7,0),"-")</f>
        <v>-4.6248962034451925E-4</v>
      </c>
      <c r="P15" s="20">
        <f>IFERROR(IF(Tabelad[[#This Row],[D1 Exp USD]]&lt;&gt;0,((I15-K15)/L15*M15*H15)/$AD$7*10000,0),"-")</f>
        <v>8.8701499874285737E-3</v>
      </c>
      <c r="Q15" s="15">
        <f>IF(SUM(SUMIFS(Options!$AL$4:$AL$33, Options!$D$4:$D$33, B15), SUMIFS(Options!$AL$4:$AL$33, Options!$D$4:$D$33, B15 &amp; " US"))=0,0,SUM(SUMIFS(Options!$AL$4:$AL$33, Options!$D$4:$D$33, B15), SUMIFS(Options!$AL$4:$AL$33, Options!$D$4:$D$33, B15 &amp; " US")))</f>
        <v>0</v>
      </c>
      <c r="R15" s="19">
        <f t="shared" si="4"/>
        <v>0</v>
      </c>
      <c r="S15" s="20">
        <f>IF(SUM(SUMIFS(Options!$AK$4:$AK$33, Options!$D$4:$D$33, B15), SUMIFS(Options!$AK$4:$AK$33, Options!$D$4:$D$33, B15 &amp; " US"))=0,0,SUM(SUMIFS(Options!$AK$4:$AK$33, Options!$D$4:$D$33, B15), SUMIFS(Options!AK$4:$AK$33, Options!$D$4:$D$33, B15 &amp; " US")))</f>
        <v>0</v>
      </c>
      <c r="T15" s="13">
        <f t="shared" si="5"/>
        <v>-1042800</v>
      </c>
      <c r="U15" s="48">
        <f t="shared" si="6"/>
        <v>-4.6248962034451925E-4</v>
      </c>
      <c r="V15" s="20">
        <f t="shared" si="7"/>
        <v>8.8701499874285737E-3</v>
      </c>
      <c r="W15" s="15">
        <f t="shared" si="8"/>
        <v>7135.2952689873418</v>
      </c>
      <c r="X15" s="19"/>
      <c r="Y15" s="376">
        <f>Tabelad[[#This Row],[Exp %]]*$Y$10*$AD$7/Tabelad[[#This Row],[Price Today]]</f>
        <v>-3499.9999999999995</v>
      </c>
      <c r="Z15" s="266">
        <f>Tabelad[[#This Row],[Vol 10d]]/16*Tabelad[[#This Row],[Exp %]]*100</f>
        <v>-3.484698869613282E-2</v>
      </c>
      <c r="AA15" s="19">
        <f>Tabelad[[#This Row],[Exp %]]*Tabelad[[#This Row],[Beta Adj2]]</f>
        <v>-4.6157956650504827E-4</v>
      </c>
      <c r="AB15" s="36">
        <f>_xll.BDP($B15&amp;" Equity","volatility_10d")</f>
        <v>12.055445022156213</v>
      </c>
      <c r="AC15" s="36" cm="1">
        <f t="array" ref="AC15">_xll.BDP(B15&amp;" EQUITY","eqy_beta")</f>
        <v>0.99803227186203003</v>
      </c>
      <c r="AD15" s="15">
        <f>Tabelad[[#This Row],[D1 P&amp;L bps]]*$AD$5/10000</f>
        <v>1869.7460119700588</v>
      </c>
      <c r="AE15" s="277"/>
      <c r="AF15" s="231" t="str">
        <f>_xll.BDP(B15&amp;" Equity","EXPECTED_REPORT_DT")</f>
        <v>#N/A N/A</v>
      </c>
      <c r="AG15" s="172">
        <f>_xll.BDP(B15&amp;" Index","CHG_PCT_1D_PRE_FROM_REGULAR")/100</f>
        <v>6.9018520000000009E-3</v>
      </c>
      <c r="AH15" s="20">
        <f t="shared" si="9"/>
        <v>-3.1920349111540611E-2</v>
      </c>
      <c r="AI15" s="479" t="str">
        <f>_xll.BDP(B15&amp;" Equity","DVD_EX_DT")</f>
        <v>23/12/2025</v>
      </c>
    </row>
    <row r="16" spans="1:39" s="59" customFormat="1">
      <c r="A16" s="519"/>
      <c r="B16" s="425" t="s">
        <v>135</v>
      </c>
      <c r="C16" s="59" t="s">
        <v>78</v>
      </c>
      <c r="E16" s="59" t="s">
        <v>194</v>
      </c>
      <c r="F16" s="163" t="s">
        <v>100</v>
      </c>
      <c r="G16" s="405"/>
      <c r="H16" s="520">
        <v>0</v>
      </c>
      <c r="I16" s="14" cm="1">
        <f t="array" ref="I16">_xll.BDP(B16&amp;" Equity","LAST_PRICE")</f>
        <v>621.26</v>
      </c>
      <c r="J16" s="521">
        <f t="shared" ref="J16" si="10">I16/K16-1</f>
        <v>-8.3630866222772493E-4</v>
      </c>
      <c r="K16" s="522" cm="1">
        <f t="array" ref="K16">_xll.BDP(B16&amp;" EQUITY","PX_YEST_CLOSE")</f>
        <v>621.78</v>
      </c>
      <c r="L16" s="8" cm="1">
        <f t="array" ref="L16">_xll.BDP(E16&amp;" Curncy","PX_LAST")</f>
        <v>1</v>
      </c>
      <c r="M16" s="523">
        <v>1</v>
      </c>
      <c r="N16" s="405">
        <f t="shared" ref="N16" si="11">IFERROR(IF(((I16/L16)*H16*M16)&lt;&gt;0,((I16/L16)*H16*M16),0),"-")</f>
        <v>0</v>
      </c>
      <c r="O16" s="524">
        <f>IFERROR(IF(Tabelad[[#This Row],[D1 Exp USD]]&lt;&gt;0,N16/$AE$7,0),"-")</f>
        <v>0</v>
      </c>
      <c r="P16" s="525">
        <f>IFERROR(IF(Tabelad[[#This Row],[D1 Exp USD]]&lt;&gt;0,((I16-K16)/L16*M16*H16)/$AD$7*10000,0),"-")</f>
        <v>0</v>
      </c>
      <c r="Q16" s="405">
        <f>IF(SUM(SUMIFS(Options!$AL$4:$AL$33, Options!$D$4:$D$33, B16), SUMIFS(Options!$AL$4:$AL$33, Options!$D$4:$D$33, B16 &amp; " US"))=0,0,SUM(SUMIFS(Options!$AL$4:$AL$33, Options!$D$4:$D$33, B16), SUMIFS(Options!$AL$4:$AL$33, Options!$D$4:$D$33, B16 &amp; " US")))</f>
        <v>-3609244.6008276204</v>
      </c>
      <c r="R16" s="128">
        <f t="shared" ref="R16" si="12">Q16/$AE$7</f>
        <v>-1.6007270475328654E-3</v>
      </c>
      <c r="S16" s="525">
        <f>IF(SUM(SUMIFS(Options!$AK$4:$AK$33, Options!$D$4:$D$33, B16), SUMIFS(Options!$AK$4:$AK$33, Options!$D$4:$D$33, B16 &amp; " US"))=0,0,SUM(SUMIFS(Options!$AK$4:$AK$33, Options!$D$4:$D$33, B16), SUMIFS(Options!AK$4:$AK$33, Options!$D$4:$D$33, B16 &amp; " US")))</f>
        <v>-0.12761222975775682</v>
      </c>
      <c r="T16" s="526">
        <f t="shared" ref="T16" si="13">N16+Q16</f>
        <v>-3609244.6008276204</v>
      </c>
      <c r="U16" s="527">
        <f t="shared" ref="U16" si="14">T16/$AE$7</f>
        <v>-1.6007270475328654E-3</v>
      </c>
      <c r="V16" s="525">
        <f t="shared" ref="V16" si="15">P16+S16</f>
        <v>-0.12761222975775682</v>
      </c>
      <c r="W16" s="405">
        <f t="shared" ref="W16" si="16">$W$10/(I16/L16*M16)</f>
        <v>1197.6766420661238</v>
      </c>
      <c r="X16" s="128"/>
      <c r="Y16" s="528">
        <f>Tabelad[[#This Row],[Exp %]]*$Y$10*$AD$7/Tabelad[[#This Row],[Price Today]]</f>
        <v>-2033.3445100113754</v>
      </c>
      <c r="Z16" s="529">
        <f>Tabelad[[#This Row],[Vol 10d]]/16*Tabelad[[#This Row],[Exp %]]*100</f>
        <v>-0.11119854348324103</v>
      </c>
      <c r="AA16" s="128">
        <f>Tabelad[[#This Row],[Exp %]]*Tabelad[[#This Row],[Beta Adj2]]</f>
        <v>-1.6023933011686364E-3</v>
      </c>
      <c r="AB16" s="14">
        <f>_xll.BDP($B16&amp;" Equity","volatility_10d")</f>
        <v>11.114803729180613</v>
      </c>
      <c r="AC16" s="14" cm="1">
        <f t="array" ref="AC16">_xll.BDP(B16&amp;" EQUITY","eqy_beta")</f>
        <v>1.0010409355163574</v>
      </c>
      <c r="AD16" s="405">
        <f>Tabelad[[#This Row],[D1 P&amp;L bps]]*$AD$5/10000</f>
        <v>0</v>
      </c>
      <c r="AE16" s="337"/>
      <c r="AF16" s="530" t="str">
        <f>_xll.BDP(B16&amp;" Equity","EXPECTED_REPORT_DT")</f>
        <v>#N/A N/A</v>
      </c>
      <c r="AG16" s="531">
        <f>_xll.BDP(B16&amp;" Index","CHG_PCT_1D_PRE_FROM_REGULAR")/100</f>
        <v>5.6932959999999996E-3</v>
      </c>
      <c r="AH16" s="525">
        <f t="shared" ref="AH16" si="17">(T16*AG16)/$AD$7*10000</f>
        <v>-9.1134128968106701E-2</v>
      </c>
      <c r="AI16" s="532" t="str">
        <f>_xll.BDP(B16&amp;" Equity","DVD_EX_DT")</f>
        <v>22/12/2025</v>
      </c>
    </row>
    <row r="17" spans="1:35" s="59" customFormat="1">
      <c r="A17" s="519"/>
      <c r="B17" s="425" t="s">
        <v>135</v>
      </c>
      <c r="C17" s="59" t="s">
        <v>78</v>
      </c>
      <c r="E17" s="59" t="s">
        <v>194</v>
      </c>
      <c r="F17" s="163" t="s">
        <v>100</v>
      </c>
      <c r="G17" s="405"/>
      <c r="H17" s="520">
        <v>7500</v>
      </c>
      <c r="I17" s="14" cm="1">
        <f t="array" ref="I17">_xll.BDP(B17&amp;" Equity","LAST_PRICE")</f>
        <v>621.26</v>
      </c>
      <c r="J17" s="521">
        <f t="shared" ref="J17" si="18">I17/K17-1</f>
        <v>9.6587250482782494E-5</v>
      </c>
      <c r="K17" s="522">
        <v>621.20000000000005</v>
      </c>
      <c r="L17" s="8" cm="1">
        <f t="array" ref="L17">_xll.BDP(E17&amp;" Curncy","PX_LAST")</f>
        <v>1</v>
      </c>
      <c r="M17" s="523">
        <v>1</v>
      </c>
      <c r="N17" s="405">
        <f t="shared" ref="N17" si="19">IFERROR(IF(((I17/L17)*H17*M17)&lt;&gt;0,((I17/L17)*H17*M17),0),"-")</f>
        <v>4659450</v>
      </c>
      <c r="O17" s="524">
        <f>IFERROR(IF(Tabelad[[#This Row],[D1 Exp USD]]&lt;&gt;0,N17/$AE$7,0),"-")</f>
        <v>2.0665010179461737E-3</v>
      </c>
      <c r="P17" s="525">
        <f>IFERROR(IF(Tabelad[[#This Row],[D1 Exp USD]]&lt;&gt;0,((I17-K17)/L17*M17*H17)/$AD$7*10000,0),"-")</f>
        <v>1.9957837471695854E-3</v>
      </c>
      <c r="Q17" s="405"/>
      <c r="R17" s="128"/>
      <c r="S17" s="525"/>
      <c r="T17" s="526">
        <f t="shared" ref="T17" si="20">N17+Q17</f>
        <v>4659450</v>
      </c>
      <c r="U17" s="527">
        <f t="shared" ref="U17" si="21">T17/$AE$7</f>
        <v>2.0665010179461737E-3</v>
      </c>
      <c r="V17" s="525">
        <f t="shared" ref="V17" si="22">P17+S17</f>
        <v>1.9957837471695854E-3</v>
      </c>
      <c r="W17" s="405">
        <f t="shared" ref="W17" si="23">$W$10/(I17/L17*M17)</f>
        <v>1197.6766420661238</v>
      </c>
      <c r="X17" s="128"/>
      <c r="Y17" s="528">
        <f>Tabelad[[#This Row],[Exp %]]*$Y$10*$AD$7/Tabelad[[#This Row],[Price Today]]</f>
        <v>2624.9999999999991</v>
      </c>
      <c r="Z17" s="529">
        <f>Tabelad[[#This Row],[Vol 10d]]/16*Tabelad[[#This Row],[Exp %]]*100</f>
        <v>0.14355470762889788</v>
      </c>
      <c r="AA17" s="128">
        <f>Tabelad[[#This Row],[Exp %]]*Tabelad[[#This Row],[Beta Adj2]]</f>
        <v>2.0686521122503425E-3</v>
      </c>
      <c r="AB17" s="14">
        <f>_xll.BDP($B17&amp;" Equity","volatility_10d")</f>
        <v>11.114803729180613</v>
      </c>
      <c r="AC17" s="14" cm="1">
        <f t="array" ref="AC17">_xll.BDP(B17&amp;" EQUITY","eqy_beta")</f>
        <v>1.0010409355163574</v>
      </c>
      <c r="AD17" s="405">
        <f>Tabelad[[#This Row],[D1 P&amp;L bps]]*$AD$5/10000</f>
        <v>420.69285269287462</v>
      </c>
      <c r="AE17" s="337"/>
      <c r="AF17" s="530" t="str">
        <f>_xll.BDP(B17&amp;" Equity","EXPECTED_REPORT_DT")</f>
        <v>#N/A N/A</v>
      </c>
      <c r="AG17" s="531">
        <f>_xll.BDP(B17&amp;" Index","CHG_PCT_1D_PRE_FROM_REGULAR")/100</f>
        <v>5.6932959999999996E-3</v>
      </c>
      <c r="AH17" s="525">
        <f t="shared" ref="AH17" si="24">(T17*AG17)/$AD$7*10000</f>
        <v>0.1176520197946888</v>
      </c>
      <c r="AI17" s="532" t="str">
        <f>_xll.BDP(B17&amp;" Equity","DVD_EX_DT")</f>
        <v>22/12/2025</v>
      </c>
    </row>
    <row r="18" spans="1:35">
      <c r="B18" s="40" t="s">
        <v>3</v>
      </c>
      <c r="C18" t="s">
        <v>78</v>
      </c>
      <c r="E18" t="s">
        <v>194</v>
      </c>
      <c r="F18" s="22" t="s">
        <v>100</v>
      </c>
      <c r="G18" s="15"/>
      <c r="H18" s="498">
        <v>-12500</v>
      </c>
      <c r="I18" s="36" cm="1">
        <f t="array" ref="I18">_xll.BDP(B18&amp;" Equity","LAST_PRICE")</f>
        <v>199.05</v>
      </c>
      <c r="J18" s="51">
        <f t="shared" si="2"/>
        <v>-2.5556223692122515E-3</v>
      </c>
      <c r="K18" s="440" cm="1">
        <f t="array" ref="K18">_xll.BDP(B18&amp;" EQUITY","PX_YEST_CLOSE")</f>
        <v>199.56</v>
      </c>
      <c r="L18" s="53" cm="1">
        <f t="array" ref="L18">_xll.BDP(E18&amp;" Curncy","PX_LAST")</f>
        <v>1</v>
      </c>
      <c r="M18" s="52">
        <v>1</v>
      </c>
      <c r="N18" s="15">
        <f t="shared" si="3"/>
        <v>-2488125</v>
      </c>
      <c r="O18" s="358">
        <f>IFERROR(IF(Tabelad[[#This Row],[D1 Exp USD]]&lt;&gt;0,N18/$AE$7,0),"-")</f>
        <v>-1.1035020968735202E-3</v>
      </c>
      <c r="P18" s="20">
        <f>IFERROR(IF(Tabelad[[#This Row],[D1 Exp USD]]&lt;&gt;0,((I18-K18)/L18*M18*H18)/$AD$7*10000,0),"-")</f>
        <v>2.827360308492767E-2</v>
      </c>
      <c r="Q18" s="15">
        <f>IF(SUM(SUMIFS(Options!$AL$4:$AL$33, Options!$D$4:$D$33, B18), SUMIFS(Options!$AL$4:$AL$33, Options!$D$4:$D$33, B18 &amp; " US"))=0,0,SUM(SUMIFS(Options!$AL$4:$AL$33, Options!$D$4:$D$33, B18), SUMIFS(Options!$AL$4:$AL$33, Options!$D$4:$D$33, B18 &amp; " US")))</f>
        <v>0</v>
      </c>
      <c r="R18" s="19">
        <f t="shared" si="4"/>
        <v>0</v>
      </c>
      <c r="S18" s="20">
        <f>IF(SUM(SUMIFS(Options!$AK$4:$AK$33, Options!$D$4:$D$33, B18), SUMIFS(Options!$AK$4:$AK$33, Options!$D$4:$D$33, B18 &amp; " US"))=0,0,SUM(SUMIFS(Options!$AK$4:$AK$33, Options!$D$4:$D$33, B18), SUMIFS(Options!AK$4:$AK$33, Options!$D$4:$D$33, B18 &amp; " US")))</f>
        <v>0</v>
      </c>
      <c r="T18" s="13">
        <f t="shared" si="5"/>
        <v>-2488125</v>
      </c>
      <c r="U18" s="48">
        <f t="shared" si="6"/>
        <v>-1.1035020968735202E-3</v>
      </c>
      <c r="V18" s="20">
        <f t="shared" si="7"/>
        <v>2.827360308492767E-2</v>
      </c>
      <c r="W18" s="15">
        <f t="shared" si="8"/>
        <v>3738.0989231348908</v>
      </c>
      <c r="X18" s="19"/>
      <c r="Y18" s="376">
        <f>Tabelad[[#This Row],[Exp %]]*$Y$10*$AD$7/Tabelad[[#This Row],[Price Today]]</f>
        <v>-4374.9999999999991</v>
      </c>
      <c r="Z18" s="266">
        <f>Tabelad[[#This Row],[Vol 10d]]/16*Tabelad[[#This Row],[Exp %]]*100</f>
        <v>-7.6077315568227541E-2</v>
      </c>
      <c r="AA18" s="19">
        <f>Tabelad[[#This Row],[Exp %]]*Tabelad[[#This Row],[Beta Adj2]]</f>
        <v>-1.0995413929183804E-3</v>
      </c>
      <c r="AB18" s="36">
        <f>_xll.BDP($B18&amp;" Equity","volatility_10d")</f>
        <v>11.030672733113587</v>
      </c>
      <c r="AC18" s="36" cm="1">
        <f t="array" ref="AC18">_xll.BDP(B18&amp;" EQUITY","eqy_beta")</f>
        <v>0.9964107871055603</v>
      </c>
      <c r="AD18" s="15">
        <f>Tabelad[[#This Row],[D1 P&amp;L bps]]*$AD$5/10000</f>
        <v>5959.8154131543715</v>
      </c>
      <c r="AE18" s="277"/>
      <c r="AF18" s="231" t="str">
        <f>_xll.BDP(B18&amp;" Equity","EXPECTED_REPORT_DT")</f>
        <v>#N/A N/A</v>
      </c>
      <c r="AG18" s="172" t="e">
        <f>_xll.BDP(B18&amp;" Index","CHG_PCT_1D_PRE_FROM_REGULAR")/100</f>
        <v>#VALUE!</v>
      </c>
      <c r="AH18" s="20" t="e">
        <f t="shared" si="9"/>
        <v>#VALUE!</v>
      </c>
      <c r="AI18" s="479" t="str">
        <f>_xll.BDP(B18&amp;" Equity","DVD_EX_DT")</f>
        <v>22/12/2025</v>
      </c>
    </row>
    <row r="19" spans="1:35" s="59" customFormat="1">
      <c r="A19" s="519"/>
      <c r="B19" s="425" t="s">
        <v>3</v>
      </c>
      <c r="C19" s="59" t="s">
        <v>78</v>
      </c>
      <c r="E19" s="59" t="s">
        <v>194</v>
      </c>
      <c r="F19" s="163" t="s">
        <v>100</v>
      </c>
      <c r="G19" s="405"/>
      <c r="H19" s="520">
        <v>2500</v>
      </c>
      <c r="I19" s="14" cm="1">
        <f t="array" ref="I19">_xll.BDP(B19&amp;" Equity","LAST_PRICE")</f>
        <v>199.05</v>
      </c>
      <c r="J19" s="521">
        <f t="shared" ref="J19" si="25">I19/K19-1</f>
        <v>-5.023610971566228E-5</v>
      </c>
      <c r="K19" s="522">
        <v>199.06</v>
      </c>
      <c r="L19" s="8" cm="1">
        <f t="array" ref="L19">_xll.BDP(E19&amp;" Curncy","PX_LAST")</f>
        <v>1</v>
      </c>
      <c r="M19" s="523">
        <v>1</v>
      </c>
      <c r="N19" s="405">
        <f t="shared" ref="N19" si="26">IFERROR(IF(((I19/L19)*H19*M19)&lt;&gt;0,((I19/L19)*H19*M19),0),"-")</f>
        <v>497625</v>
      </c>
      <c r="O19" s="524">
        <f>IFERROR(IF(Tabelad[[#This Row],[D1 Exp USD]]&lt;&gt;0,N19/$AE$7,0),"-")</f>
        <v>2.2070041937470404E-4</v>
      </c>
      <c r="P19" s="525">
        <f>IFERROR(IF(Tabelad[[#This Row],[D1 Exp USD]]&lt;&gt;0,((I19-K19)/L19*M19*H19)/$AD$7*10000,0),"-")</f>
        <v>-1.1087687484275474E-4</v>
      </c>
      <c r="Q19" s="405"/>
      <c r="R19" s="128"/>
      <c r="S19" s="525"/>
      <c r="T19" s="526">
        <f t="shared" ref="T19" si="27">N19+Q19</f>
        <v>497625</v>
      </c>
      <c r="U19" s="527">
        <f t="shared" ref="U19" si="28">T19/$AE$7</f>
        <v>2.2070041937470404E-4</v>
      </c>
      <c r="V19" s="525">
        <f t="shared" ref="V19" si="29">P19+S19</f>
        <v>-1.1087687484275474E-4</v>
      </c>
      <c r="W19" s="405">
        <f t="shared" ref="W19" si="30">$W$10/(I19/L19*M19)</f>
        <v>3738.0989231348908</v>
      </c>
      <c r="X19" s="128"/>
      <c r="Y19" s="528">
        <f>Tabelad[[#This Row],[Exp %]]*$Y$10*$AD$7/Tabelad[[#This Row],[Price Today]]</f>
        <v>874.99999999999977</v>
      </c>
      <c r="Z19" s="529">
        <f>Tabelad[[#This Row],[Vol 10d]]/16*Tabelad[[#This Row],[Exp %]]*100</f>
        <v>1.5215463113645508E-2</v>
      </c>
      <c r="AA19" s="128">
        <f>Tabelad[[#This Row],[Exp %]]*Tabelad[[#This Row],[Beta Adj2]]</f>
        <v>2.1990827858367612E-4</v>
      </c>
      <c r="AB19" s="14">
        <f>_xll.BDP($B19&amp;" Equity","volatility_10d")</f>
        <v>11.030672733113587</v>
      </c>
      <c r="AC19" s="14" cm="1">
        <f t="array" ref="AC19">_xll.BDP(B19&amp;" EQUITY","eqy_beta")</f>
        <v>0.9964107871055603</v>
      </c>
      <c r="AD19" s="405">
        <f>Tabelad[[#This Row],[D1 P&amp;L bps]]*$AD$5/10000</f>
        <v>-23.371825149604145</v>
      </c>
      <c r="AE19" s="337"/>
      <c r="AF19" s="530" t="str">
        <f>_xll.BDP(B19&amp;" Equity","EXPECTED_REPORT_DT")</f>
        <v>#N/A N/A</v>
      </c>
      <c r="AG19" s="531" t="e">
        <f>_xll.BDP(B19&amp;" Index","CHG_PCT_1D_PRE_FROM_REGULAR")/100</f>
        <v>#VALUE!</v>
      </c>
      <c r="AH19" s="525" t="e">
        <f t="shared" ref="AH19" si="31">(T19*AG19)/$AD$7*10000</f>
        <v>#VALUE!</v>
      </c>
      <c r="AI19" s="532" t="str">
        <f>_xll.BDP(B19&amp;" Equity","DVD_EX_DT")</f>
        <v>22/12/2025</v>
      </c>
    </row>
    <row r="20" spans="1:35">
      <c r="B20" s="40" t="s">
        <v>2194</v>
      </c>
      <c r="C20" t="s">
        <v>2193</v>
      </c>
      <c r="E20" t="s">
        <v>194</v>
      </c>
      <c r="F20" s="22" t="s">
        <v>99</v>
      </c>
      <c r="G20" s="15"/>
      <c r="H20" s="498">
        <v>27918</v>
      </c>
      <c r="I20" s="36" cm="1">
        <f t="array" ref="I20">_xll.BDP(B20&amp;" Equity","LAST_PRICE")</f>
        <v>97.24</v>
      </c>
      <c r="J20" s="51">
        <f t="shared" si="2"/>
        <v>1.3386880856760541E-3</v>
      </c>
      <c r="K20" s="440" cm="1">
        <f t="array" ref="K20">_xll.BDP(B20&amp;" EQUITY","PX_YEST_CLOSE")</f>
        <v>97.11</v>
      </c>
      <c r="L20" s="53" cm="1">
        <f t="array" ref="L20">_xll.BDP(E20&amp;" Curncy","PX_LAST")</f>
        <v>1</v>
      </c>
      <c r="M20" s="52">
        <v>1</v>
      </c>
      <c r="N20" s="15">
        <f t="shared" si="3"/>
        <v>2714746.32</v>
      </c>
      <c r="O20" s="358">
        <f>IFERROR(IF(Tabelad[[#This Row],[D1 Exp USD]]&lt;&gt;0,N20/$AE$7,0),"-")</f>
        <v>1.2040103518109711E-3</v>
      </c>
      <c r="P20" s="20">
        <f>IFERROR(IF(Tabelad[[#This Row],[D1 Exp USD]]&lt;&gt;0,((I20-K20)/L20*M20*H20)/$AD$7*10000,0),"-")</f>
        <v>1.6096395077686218E-2</v>
      </c>
      <c r="Q20" s="15">
        <f>IF(SUM(SUMIFS(Options!$AL$4:$AL$33, Options!$D$4:$D$33, B20), SUMIFS(Options!$AL$4:$AL$33, Options!$D$4:$D$33, B20 &amp; " US"))=0,0,SUM(SUMIFS(Options!$AL$4:$AL$33, Options!$D$4:$D$33, B20), SUMIFS(Options!$AL$4:$AL$33, Options!$D$4:$D$33, B20 &amp; " US")))</f>
        <v>0</v>
      </c>
      <c r="R20" s="19">
        <f t="shared" si="4"/>
        <v>0</v>
      </c>
      <c r="S20" s="20">
        <f>IF(SUM(SUMIFS(Options!$AK$4:$AK$33, Options!$D$4:$D$33, B20), SUMIFS(Options!$AK$4:$AK$33, Options!$D$4:$D$33, B20 &amp; " US"))=0,0,SUM(SUMIFS(Options!$AK$4:$AK$33, Options!$D$4:$D$33, B20), SUMIFS(Options!AK$4:$AK$33, Options!$D$4:$D$33, B20 &amp; " US")))</f>
        <v>0</v>
      </c>
      <c r="T20" s="13">
        <f t="shared" si="5"/>
        <v>2714746.32</v>
      </c>
      <c r="U20" s="48">
        <f t="shared" si="6"/>
        <v>1.2040103518109711E-3</v>
      </c>
      <c r="V20" s="20">
        <f t="shared" si="7"/>
        <v>1.6096395077686218E-2</v>
      </c>
      <c r="W20" s="15">
        <f t="shared" si="8"/>
        <v>7651.877731900453</v>
      </c>
      <c r="X20" s="19"/>
      <c r="Y20" s="376">
        <f>Tabelad[[#This Row],[Exp %]]*$Y$10*$AD$7/Tabelad[[#This Row],[Price Today]]</f>
        <v>9771.2999999999993</v>
      </c>
      <c r="Z20" s="266">
        <f>Tabelad[[#This Row],[Vol 10d]]/16*Tabelad[[#This Row],[Exp %]]*100</f>
        <v>0.20570442631794492</v>
      </c>
      <c r="AA20" s="19">
        <f>Tabelad[[#This Row],[Exp %]]*Tabelad[[#This Row],[Beta Adj2]]</f>
        <v>1.1921901465381725E-3</v>
      </c>
      <c r="AB20" s="36">
        <f>_xll.BDP($B20&amp;" Equity","volatility_10d")</f>
        <v>27.335901357797017</v>
      </c>
      <c r="AC20" s="36">
        <f>_xll.BDP(B20&amp;" EQUITY","eqy_beta")</f>
        <v>0.99018263816833496</v>
      </c>
      <c r="AD20" s="15">
        <f>Tabelad[[#This Row],[D1 P&amp;L bps]]*$AD$5/10000</f>
        <v>3392.9719955415399</v>
      </c>
      <c r="AE20" s="277"/>
      <c r="AF20" s="231" t="str">
        <f>_xll.BDP(B20&amp;" Equity","EXPECTED_REPORT_DT")</f>
        <v>#N/A N/A</v>
      </c>
      <c r="AG20" s="172">
        <f>_xll.BDP(B20&amp;" Index","CHG_PCT_1D_PRE_FROM_REGULAR")/100</f>
        <v>-8.9589409999999998E-3</v>
      </c>
      <c r="AH20" s="20">
        <f t="shared" si="9"/>
        <v>-0.10786657705263733</v>
      </c>
      <c r="AI20" s="479" t="str">
        <f>_xll.BDP(B20&amp;" Equity","DVD_EX_DT")</f>
        <v>22/12/2025</v>
      </c>
    </row>
    <row r="21" spans="1:35">
      <c r="B21" s="40" t="s">
        <v>2103</v>
      </c>
      <c r="C21" t="s">
        <v>2362</v>
      </c>
      <c r="E21" t="s">
        <v>194</v>
      </c>
      <c r="F21" s="22" t="s">
        <v>100</v>
      </c>
      <c r="G21" s="15"/>
      <c r="H21" s="498">
        <v>0</v>
      </c>
      <c r="I21" s="36" cm="1">
        <f t="array" ref="I21">_xll.BDP(B21&amp;" Equity","LAST_PRICE")</f>
        <v>88</v>
      </c>
      <c r="J21" s="51">
        <f>I21/K21-1</f>
        <v>-5.6785917092561089E-4</v>
      </c>
      <c r="K21" s="440" cm="1">
        <f t="array" ref="K21">_xll.BDP(B21&amp;" EQUITY","PX_YEST_CLOSE")</f>
        <v>88.05</v>
      </c>
      <c r="L21" s="53" cm="1">
        <f t="array" ref="L21">_xll.BDP(E21&amp;" Curncy","PX_LAST")</f>
        <v>1</v>
      </c>
      <c r="M21" s="52">
        <v>1</v>
      </c>
      <c r="N21" s="15">
        <f>IFERROR(IF(((I21/L21)*H21*M21)&lt;&gt;0,((I21/L21)*H21*M21),0),"-")</f>
        <v>0</v>
      </c>
      <c r="O21" s="358">
        <f>IFERROR(IF(Tabelad[[#This Row],[D1 Exp USD]]&lt;&gt;0,N21/$AE$7,0),"-")</f>
        <v>0</v>
      </c>
      <c r="P21" s="20">
        <f>IFERROR(IF(Tabelad[[#This Row],[D1 Exp USD]]&lt;&gt;0,((I21-K21)/L21*M21*H21)/$AD$7*10000,0),"-")</f>
        <v>0</v>
      </c>
      <c r="Q21" s="15">
        <f>IF(SUM(SUMIFS(Options!$AL$4:$AL$33, Options!$D$4:$D$33, B21), SUMIFS(Options!$AL$4:$AL$33, Options!$D$4:$D$33, B21 &amp; " US"))=0,0,SUM(SUMIFS(Options!$AL$4:$AL$33, Options!$D$4:$D$33, B21), SUMIFS(Options!$AL$4:$AL$33, Options!$D$4:$D$33, B21 &amp; " US")))</f>
        <v>-409275.65741539001</v>
      </c>
      <c r="R21" s="19">
        <f>Q21/$AE$7</f>
        <v>-1.8151682337389457E-4</v>
      </c>
      <c r="S21" s="20">
        <f>IF(SUM(SUMIFS(Options!$AK$4:$AK$33, Options!$D$4:$D$33, B21), SUMIFS(Options!$AK$4:$AK$33, Options!$D$4:$D$33, B21 &amp; " US"))=0,0,SUM(SUMIFS(Options!$AK$4:$AK$33, Options!$D$4:$D$33, B21), SUMIFS(Options!AK$4:$AK$33, Options!$D$4:$D$33, B21 &amp; " US")))</f>
        <v>1.1874913295669814E-2</v>
      </c>
      <c r="T21" s="13">
        <f>N21+Q21</f>
        <v>-409275.65741539001</v>
      </c>
      <c r="U21" s="48">
        <f>T21/$AE$7</f>
        <v>-1.8151682337389457E-4</v>
      </c>
      <c r="V21" s="20">
        <f>P21+S21</f>
        <v>1.1874913295669814E-2</v>
      </c>
      <c r="W21" s="15">
        <f>$W$10/(I21/L21*M21)</f>
        <v>8455.3248937500011</v>
      </c>
      <c r="X21" s="19"/>
      <c r="Y21" s="376">
        <f>Tabelad[[#This Row],[Exp %]]*$Y$10*$AD$7/Tabelad[[#This Row],[Price Today]]</f>
        <v>-1627.8009101748466</v>
      </c>
      <c r="Z21" s="266">
        <f>Tabelad[[#This Row],[Vol 10d]]/16*Tabelad[[#This Row],[Exp %]]*100</f>
        <v>-1.5664315475637552E-2</v>
      </c>
      <c r="AA21" s="19">
        <f>Tabelad[[#This Row],[Exp %]]*Tabelad[[#This Row],[Beta Adj2]]</f>
        <v>-2.0152325334269773E-4</v>
      </c>
      <c r="AB21" s="36">
        <f>_xll.BDP($B21&amp;" Equity","volatility_10d")</f>
        <v>13.807483127552675</v>
      </c>
      <c r="AC21" s="36">
        <f>_xll.BDP(B21&amp;" EQUITY","eqy_beta")</f>
        <v>1.1102180480957031</v>
      </c>
      <c r="AD21" s="15">
        <f>Tabelad[[#This Row],[D1 P&amp;L bps]]*$AD$5/10000</f>
        <v>0</v>
      </c>
      <c r="AE21" s="277"/>
      <c r="AF21" s="231" t="str">
        <f>_xll.BDP(B21&amp;" Equity","EXPECTED_REPORT_DT")</f>
        <v>20/01/2026</v>
      </c>
      <c r="AG21" s="172">
        <f>_xll.BDP(B21&amp;" Index","CHG_PCT_1D_PRE_FROM_REGULAR")/100</f>
        <v>2.7256999999999997E-3</v>
      </c>
      <c r="AH21" s="20">
        <f>(T21*AG21)/$AD$7*10000</f>
        <v>-4.947604054702244E-3</v>
      </c>
      <c r="AI21" s="479" t="str">
        <f>_xll.BDP(B21&amp;" Equity","DVD_EX_DT")</f>
        <v>#N/A Field Not Applicable</v>
      </c>
    </row>
    <row r="22" spans="1:35">
      <c r="B22" s="40" t="s">
        <v>2218</v>
      </c>
      <c r="C22" t="s">
        <v>2362</v>
      </c>
      <c r="E22" t="s">
        <v>194</v>
      </c>
      <c r="F22" s="22" t="s">
        <v>99</v>
      </c>
      <c r="G22" s="15"/>
      <c r="H22" s="498">
        <v>1780</v>
      </c>
      <c r="I22" s="36" cm="1">
        <f t="array" ref="I22">_xll.BDP(B22&amp;" Equity","LAST_PRICE")</f>
        <v>330.34</v>
      </c>
      <c r="J22" s="51">
        <f t="shared" si="2"/>
        <v>-8.4644014887743646E-3</v>
      </c>
      <c r="K22" s="440" cm="1">
        <f t="array" ref="K22">_xll.BDP(B22&amp;" EQUITY","PX_YEST_CLOSE")</f>
        <v>333.16</v>
      </c>
      <c r="L22" s="53" cm="1">
        <f t="array" ref="L22">_xll.BDP(E22&amp;" Curncy","PX_LAST")</f>
        <v>1</v>
      </c>
      <c r="M22" s="52">
        <v>1</v>
      </c>
      <c r="N22" s="15">
        <f t="shared" si="3"/>
        <v>588005.19999999995</v>
      </c>
      <c r="O22" s="358">
        <f>IFERROR(IF(Tabelad[[#This Row],[D1 Exp USD]]&lt;&gt;0,N22/$AE$7,0),"-")</f>
        <v>2.6078471586939308E-4</v>
      </c>
      <c r="P22" s="20">
        <f>IFERROR(IF(Tabelad[[#This Row],[D1 Exp USD]]&lt;&gt;0,((I22-K22)/L22*M22*H22)/$AD$7*10000,0),"-")</f>
        <v>-2.2262302438448317E-2</v>
      </c>
      <c r="Q22" s="15">
        <f>IF(SUM(SUMIFS(Options!$AL$4:$AL$33, Options!$D$4:$D$33, B22), SUMIFS(Options!$AL$4:$AL$33, Options!$D$4:$D$33, B22 &amp; " US"))=0,0,SUM(SUMIFS(Options!$AL$4:$AL$33, Options!$D$4:$D$33, B22), SUMIFS(Options!$AL$4:$AL$33, Options!$D$4:$D$33, B22 &amp; " US")))</f>
        <v>0</v>
      </c>
      <c r="R22" s="19">
        <f t="shared" si="4"/>
        <v>0</v>
      </c>
      <c r="S22" s="20">
        <f>IF(SUM(SUMIFS(Options!$AK$4:$AK$33, Options!$D$4:$D$33, B22), SUMIFS(Options!$AK$4:$AK$33, Options!$D$4:$D$33, B22 &amp; " US"))=0,0,SUM(SUMIFS(Options!$AK$4:$AK$33, Options!$D$4:$D$33, B22), SUMIFS(Options!AK$4:$AK$33, Options!$D$4:$D$33, B22 &amp; " US")))</f>
        <v>0</v>
      </c>
      <c r="T22" s="13">
        <f t="shared" si="5"/>
        <v>588005.19999999995</v>
      </c>
      <c r="U22" s="48">
        <f t="shared" si="6"/>
        <v>2.6078471586939308E-4</v>
      </c>
      <c r="V22" s="20">
        <f t="shared" si="7"/>
        <v>-2.2262302438448317E-2</v>
      </c>
      <c r="W22" s="15">
        <f t="shared" si="8"/>
        <v>2252.4326168493071</v>
      </c>
      <c r="X22" s="19"/>
      <c r="Y22" s="376">
        <f>Tabelad[[#This Row],[Exp %]]*$Y$10*$AD$7/Tabelad[[#This Row],[Price Today]]</f>
        <v>623</v>
      </c>
      <c r="Z22" s="266">
        <f>Tabelad[[#This Row],[Vol 10d]]/16*Tabelad[[#This Row],[Exp %]]*100</f>
        <v>3.1345093273940257E-2</v>
      </c>
      <c r="AA22" s="19">
        <f>Tabelad[[#This Row],[Exp %]]*Tabelad[[#This Row],[Beta Adj2]]</f>
        <v>2.6645593710091013E-4</v>
      </c>
      <c r="AB22" s="36">
        <f>_xll.BDP($B22&amp;" Equity","volatility_10d")</f>
        <v>19.231245616181642</v>
      </c>
      <c r="AC22" s="36" cm="1">
        <f t="array" ref="AC22">_xll.BDP(B22&amp;" EQUITY","eqy_beta")</f>
        <v>1.0217467546463013</v>
      </c>
      <c r="AD22" s="15">
        <f>Tabelad[[#This Row],[D1 P&amp;L bps]]*$AD$5/10000</f>
        <v>-4692.6885408424714</v>
      </c>
      <c r="AE22" s="277"/>
      <c r="AF22" s="231" t="str">
        <f>_xll.BDP(B22&amp;" Equity","EXPECTED_REPORT_DT")</f>
        <v>04/02/2026</v>
      </c>
      <c r="AG22" s="172">
        <f>_xll.BDP(B22&amp;" Index","CHG_PCT_1D_PRE_FROM_REGULAR")/100</f>
        <v>5.0426000000000004E-3</v>
      </c>
      <c r="AH22" s="20">
        <f t="shared" si="9"/>
        <v>1.3150330082430016E-2</v>
      </c>
      <c r="AI22" s="479" t="str">
        <f>_xll.BDP(B22&amp;" Equity","DVD_EX_DT")</f>
        <v>08/12/2025</v>
      </c>
    </row>
    <row r="23" spans="1:35">
      <c r="B23" s="40" t="s">
        <v>399</v>
      </c>
      <c r="C23" t="s">
        <v>2362</v>
      </c>
      <c r="E23" t="s">
        <v>194</v>
      </c>
      <c r="F23" s="22" t="s">
        <v>99</v>
      </c>
      <c r="G23" s="15"/>
      <c r="H23" s="498">
        <v>16435</v>
      </c>
      <c r="I23" s="36" cm="1">
        <f t="array" ref="I23">_xll.BDP(B23&amp;" Equity","LAST_PRICE")</f>
        <v>239.12</v>
      </c>
      <c r="J23" s="51">
        <f t="shared" si="2"/>
        <v>3.9465950121757576E-3</v>
      </c>
      <c r="K23" s="440" cm="1">
        <f t="array" ref="K23">_xll.BDP(B23&amp;" EQUITY","PX_YEST_CLOSE")</f>
        <v>238.18</v>
      </c>
      <c r="L23" s="53" cm="1">
        <f t="array" ref="L23">_xll.BDP(E23&amp;" Curncy","PX_LAST")</f>
        <v>1</v>
      </c>
      <c r="M23" s="52">
        <v>1</v>
      </c>
      <c r="N23" s="15">
        <f t="shared" si="3"/>
        <v>3929937.2</v>
      </c>
      <c r="O23" s="358">
        <f>IFERROR(IF(Tabelad[[#This Row],[D1 Exp USD]]&lt;&gt;0,N23/$AE$7,0),"-")</f>
        <v>1.7429566202587295E-3</v>
      </c>
      <c r="P23" s="20">
        <f>IFERROR(IF(Tabelad[[#This Row],[D1 Exp USD]]&lt;&gt;0,((I23-K23)/L23*M23*H23)/$AD$7*10000,0),"-")</f>
        <v>6.8517030070391505E-2</v>
      </c>
      <c r="Q23" s="15">
        <f>IF(SUM(SUMIFS(Options!$AL$4:$AL$33, Options!$D$4:$D$33, B23), SUMIFS(Options!$AL$4:$AL$33, Options!$D$4:$D$33, B23 &amp; " US"))=0,0,SUM(SUMIFS(Options!$AL$4:$AL$33, Options!$D$4:$D$33, B23), SUMIFS(Options!$AL$4:$AL$33, Options!$D$4:$D$33, B23 &amp; " US")))</f>
        <v>0</v>
      </c>
      <c r="R23" s="19">
        <f t="shared" si="4"/>
        <v>0</v>
      </c>
      <c r="S23" s="20">
        <f>IF(SUM(SUMIFS(Options!$AK$4:$AK$33, Options!$D$4:$D$33, B23), SUMIFS(Options!$AK$4:$AK$33, Options!$D$4:$D$33, B23 &amp; " US"))=0,0,SUM(SUMIFS(Options!$AK$4:$AK$33, Options!$D$4:$D$33, B23), SUMIFS(Options!AK$4:$AK$33, Options!$D$4:$D$33, B23 &amp; " US")))</f>
        <v>0</v>
      </c>
      <c r="T23" s="13">
        <f t="shared" si="5"/>
        <v>3929937.2</v>
      </c>
      <c r="U23" s="48">
        <f t="shared" si="6"/>
        <v>1.7429566202587295E-3</v>
      </c>
      <c r="V23" s="20">
        <f t="shared" si="7"/>
        <v>6.8517030070391505E-2</v>
      </c>
      <c r="W23" s="15">
        <f t="shared" si="8"/>
        <v>3111.6953439695549</v>
      </c>
      <c r="X23" s="19"/>
      <c r="Y23" s="376">
        <f>Tabelad[[#This Row],[Exp %]]*$Y$10*$AD$7/Tabelad[[#This Row],[Price Today]]</f>
        <v>5752.2500000000009</v>
      </c>
      <c r="Z23" s="266">
        <f>Tabelad[[#This Row],[Vol 10d]]/16*Tabelad[[#This Row],[Exp %]]*100</f>
        <v>0.30269789514059109</v>
      </c>
      <c r="AA23" s="19">
        <f>Tabelad[[#This Row],[Exp %]]*Tabelad[[#This Row],[Beta Adj2]]</f>
        <v>2.2258616914883574E-3</v>
      </c>
      <c r="AB23" s="36">
        <f>_xll.BDP($B23&amp;" Equity","volatility_10d")</f>
        <v>27.787073217751818</v>
      </c>
      <c r="AC23" s="36" cm="1">
        <f t="array" ref="AC23">_xll.BDP(B23&amp;" EQUITY","eqy_beta")</f>
        <v>1.277060866355896</v>
      </c>
      <c r="AD23" s="15">
        <f>Tabelad[[#This Row],[D1 P&amp;L bps]]*$AD$5/10000</f>
        <v>14442.759582161883</v>
      </c>
      <c r="AE23" s="277"/>
      <c r="AF23" s="231" t="str">
        <f>_xll.BDP(B23&amp;" Equity","EXPECTED_REPORT_DT")</f>
        <v>06/02/2026</v>
      </c>
      <c r="AG23" s="172">
        <f>_xll.BDP(B23&amp;" Index","CHG_PCT_1D_PRE_FROM_REGULAR")/100</f>
        <v>3.6107169999999998E-3</v>
      </c>
      <c r="AH23" s="20">
        <f t="shared" si="9"/>
        <v>6.2933230990307384E-2</v>
      </c>
      <c r="AI23" s="479" t="str">
        <f>_xll.BDP(B23&amp;" Equity","DVD_EX_DT")</f>
        <v>#N/A Field Not Applicable</v>
      </c>
    </row>
    <row r="24" spans="1:35">
      <c r="B24" s="40" t="s">
        <v>81</v>
      </c>
      <c r="C24" t="s">
        <v>2362</v>
      </c>
      <c r="E24" t="s">
        <v>194</v>
      </c>
      <c r="F24" s="22" t="s">
        <v>99</v>
      </c>
      <c r="G24" s="15"/>
      <c r="H24" s="498">
        <v>6000</v>
      </c>
      <c r="I24" s="36" cm="1">
        <f t="array" ref="I24">_xll.BDP(B24&amp;" Equity","LAST_PRICE")</f>
        <v>620.25</v>
      </c>
      <c r="J24" s="51">
        <f t="shared" si="2"/>
        <v>-8.8595360824739178E-4</v>
      </c>
      <c r="K24" s="440" cm="1">
        <f t="array" ref="K24">_xll.BDP(B24&amp;" EQUITY","PX_YEST_CLOSE")</f>
        <v>620.79999999999995</v>
      </c>
      <c r="L24" s="53" cm="1">
        <f t="array" ref="L24">_xll.BDP(E24&amp;" Curncy","PX_LAST")</f>
        <v>1</v>
      </c>
      <c r="M24" s="52">
        <v>1</v>
      </c>
      <c r="N24" s="15">
        <f t="shared" si="3"/>
        <v>3721500</v>
      </c>
      <c r="O24" s="358">
        <f>IFERROR(IF(Tabelad[[#This Row],[D1 Exp USD]]&lt;&gt;0,N24/$AE$7,0),"-")</f>
        <v>1.6505131589107484E-3</v>
      </c>
      <c r="P24" s="20">
        <f>IFERROR(IF(Tabelad[[#This Row],[D1 Exp USD]]&lt;&gt;0,((I24-K24)/L24*M24*H24)/$AD$7*10000,0),"-")</f>
        <v>-1.4635747479255728E-2</v>
      </c>
      <c r="Q24" s="15">
        <f>IF(SUM(SUMIFS(Options!$AL$4:$AL$33, Options!$D$4:$D$33, B24), SUMIFS(Options!$AL$4:$AL$33, Options!$D$4:$D$33, B24 &amp; " US"))=0,0,SUM(SUMIFS(Options!$AL$4:$AL$33, Options!$D$4:$D$33, B24), SUMIFS(Options!$AL$4:$AL$33, Options!$D$4:$D$33, B24 &amp; " US")))</f>
        <v>1264810.6624782085</v>
      </c>
      <c r="R24" s="19">
        <f t="shared" si="4"/>
        <v>5.6095301409402238E-4</v>
      </c>
      <c r="S24" s="20">
        <f>IF(SUM(SUMIFS(Options!$AK$4:$AK$33, Options!$D$4:$D$33, B24), SUMIFS(Options!$AK$4:$AK$33, Options!$D$4:$D$33, B24 &amp; " US"))=0,0,SUM(SUMIFS(Options!$AK$4:$AK$33, Options!$D$4:$D$33, B24), SUMIFS(Options!AK$4:$AK$33, Options!$D$4:$D$33, B24 &amp; " US")))</f>
        <v>-2.1155307720016895E-2</v>
      </c>
      <c r="T24" s="13">
        <f t="shared" si="5"/>
        <v>4986310.6624782085</v>
      </c>
      <c r="U24" s="48">
        <f t="shared" si="6"/>
        <v>2.2114661730047707E-3</v>
      </c>
      <c r="V24" s="20">
        <f t="shared" si="7"/>
        <v>-3.5791055199272621E-2</v>
      </c>
      <c r="W24" s="15">
        <f t="shared" si="8"/>
        <v>1199.6269095525997</v>
      </c>
      <c r="X24" s="19"/>
      <c r="Y24" s="376">
        <f>Tabelad[[#This Row],[Exp %]]*$Y$10*$AD$7/Tabelad[[#This Row],[Price Today]]</f>
        <v>2813.7182295322414</v>
      </c>
      <c r="Z24" s="266">
        <f>Tabelad[[#This Row],[Vol 10d]]/16*Tabelad[[#This Row],[Exp %]]*100</f>
        <v>0.32273923797565657</v>
      </c>
      <c r="AA24" s="19">
        <f>Tabelad[[#This Row],[Exp %]]*Tabelad[[#This Row],[Beta Adj2]]</f>
        <v>2.6773262129274251E-3</v>
      </c>
      <c r="AB24" s="36">
        <f>_xll.BDP($B24&amp;" Equity","volatility_10d")</f>
        <v>23.350245509721233</v>
      </c>
      <c r="AC24" s="36" cm="1">
        <f t="array" ref="AC24">_xll.BDP(B24&amp;" EQUITY","eqy_beta")</f>
        <v>1.2106566429138184</v>
      </c>
      <c r="AD24" s="15">
        <f>Tabelad[[#This Row],[D1 P&amp;L bps]]*$AD$5/10000</f>
        <v>-3085.0809197502981</v>
      </c>
      <c r="AE24" s="277"/>
      <c r="AF24" s="231" t="str">
        <f>_xll.BDP(B24&amp;" Equity","EXPECTED_REPORT_DT")</f>
        <v>28/01/2026</v>
      </c>
      <c r="AG24" s="172" t="e">
        <f>_xll.BDP(B24&amp;" Index","CHG_PCT_1D_PRE_FROM_REGULAR")/100</f>
        <v>#VALUE!</v>
      </c>
      <c r="AH24" s="20" t="e">
        <f t="shared" si="9"/>
        <v>#VALUE!</v>
      </c>
      <c r="AI24" s="479" t="str">
        <f>_xll.BDP(B24&amp;" Equity","DVD_EX_DT")</f>
        <v>15/12/2025</v>
      </c>
    </row>
    <row r="25" spans="1:35">
      <c r="B25" s="40" t="s">
        <v>90</v>
      </c>
      <c r="C25" t="s">
        <v>2362</v>
      </c>
      <c r="E25" t="s">
        <v>194</v>
      </c>
      <c r="F25" s="22" t="s">
        <v>99</v>
      </c>
      <c r="G25" s="15"/>
      <c r="H25" s="498">
        <v>8510</v>
      </c>
      <c r="I25" s="36" cm="1">
        <f t="array" ref="I25">_xll.BDP(B25&amp;" Equity","LAST_PRICE")</f>
        <v>459.86</v>
      </c>
      <c r="J25" s="51">
        <f t="shared" si="2"/>
        <v>7.0074015679060242E-3</v>
      </c>
      <c r="K25" s="440" cm="1">
        <f t="array" ref="K25">_xll.BDP(B25&amp;" EQUITY","PX_YEST_CLOSE")</f>
        <v>456.66</v>
      </c>
      <c r="L25" s="53" cm="1">
        <f t="array" ref="L25">_xll.BDP(E25&amp;" Curncy","PX_LAST")</f>
        <v>1</v>
      </c>
      <c r="M25" s="52">
        <v>1</v>
      </c>
      <c r="N25" s="15">
        <f t="shared" si="3"/>
        <v>3913408.6</v>
      </c>
      <c r="O25" s="358">
        <f>IFERROR(IF(Tabelad[[#This Row],[D1 Exp USD]]&lt;&gt;0,N25/$AE$7,0),"-")</f>
        <v>1.7356260622046189E-3</v>
      </c>
      <c r="P25" s="20">
        <f>IFERROR(IF(Tabelad[[#This Row],[D1 Exp USD]]&lt;&gt;0,((I25-K25)/L25*M25*H25)/$AD$7*10000,0),"-")</f>
        <v>0.12077596222882531</v>
      </c>
      <c r="Q25" s="15">
        <f>IF(SUM(SUMIFS(Options!$AL$4:$AL$33, Options!$D$4:$D$33, B25), SUMIFS(Options!$AL$4:$AL$33, Options!$D$4:$D$33, B25 &amp; " US"))=0,0,SUM(SUMIFS(Options!$AL$4:$AL$33, Options!$D$4:$D$33, B25), SUMIFS(Options!$AL$4:$AL$33, Options!$D$4:$D$33, B25 &amp; " US")))</f>
        <v>2968705.3308770065</v>
      </c>
      <c r="R25" s="19">
        <f t="shared" si="4"/>
        <v>1.3166430776678723E-3</v>
      </c>
      <c r="S25" s="20">
        <f>IF(SUM(SUMIFS(Options!$AK$4:$AK$33, Options!$D$4:$D$33, B25), SUMIFS(Options!$AK$4:$AK$33, Options!$D$4:$D$33, B25 &amp; " US"))=0,0,SUM(SUMIFS(Options!$AK$4:$AK$33, Options!$D$4:$D$33, B25), SUMIFS(Options!AK$4:$AK$33, Options!$D$4:$D$33, B25 &amp; " US")))</f>
        <v>3.986023650600657E-2</v>
      </c>
      <c r="T25" s="13">
        <f t="shared" si="5"/>
        <v>6882113.9308770066</v>
      </c>
      <c r="U25" s="48">
        <f t="shared" si="6"/>
        <v>3.052269139872491E-3</v>
      </c>
      <c r="V25" s="20">
        <f t="shared" si="7"/>
        <v>0.16063619873483187</v>
      </c>
      <c r="W25" s="15">
        <f t="shared" si="8"/>
        <v>1618.0328592397686</v>
      </c>
      <c r="X25" s="19"/>
      <c r="Y25" s="376">
        <f>Tabelad[[#This Row],[Exp %]]*$Y$10*$AD$7/Tabelad[[#This Row],[Price Today]]</f>
        <v>5237.9852037727824</v>
      </c>
      <c r="Z25" s="266">
        <f>Tabelad[[#This Row],[Vol 10d]]/16*Tabelad[[#This Row],[Exp %]]*100</f>
        <v>0.35650976308670002</v>
      </c>
      <c r="AA25" s="19">
        <f>Tabelad[[#This Row],[Exp %]]*Tabelad[[#This Row],[Beta Adj2]]</f>
        <v>3.1105531397485368E-3</v>
      </c>
      <c r="AB25" s="36">
        <f>_xll.BDP($B25&amp;" Equity","volatility_10d")</f>
        <v>18.688247818229726</v>
      </c>
      <c r="AC25" s="36" cm="1">
        <f t="array" ref="AC25">_xll.BDP(B25&amp;" EQUITY","eqy_beta")</f>
        <v>1.0190953016281128</v>
      </c>
      <c r="AD25" s="15">
        <f>Tabelad[[#This Row],[D1 P&amp;L bps]]*$AD$5/10000</f>
        <v>25458.461698983869</v>
      </c>
      <c r="AE25" s="277"/>
      <c r="AF25" s="231" t="str">
        <f>_xll.BDP(B25&amp;" Equity","EXPECTED_REPORT_DT")</f>
        <v>28/01/2026</v>
      </c>
      <c r="AG25" s="172" t="e">
        <f>_xll.BDP(B25&amp;" Index","CHG_PCT_1D_PRE_FROM_REGULAR")/100</f>
        <v>#VALUE!</v>
      </c>
      <c r="AH25" s="20" t="e">
        <f t="shared" si="9"/>
        <v>#VALUE!</v>
      </c>
      <c r="AI25" s="479" t="str">
        <f>_xll.BDP(B25&amp;" Equity","DVD_EX_DT")</f>
        <v>19/02/2026</v>
      </c>
    </row>
    <row r="26" spans="1:35">
      <c r="B26" s="476" t="s">
        <v>1761</v>
      </c>
      <c r="C26" t="s">
        <v>2191</v>
      </c>
      <c r="E26" t="s">
        <v>2158</v>
      </c>
      <c r="F26" s="22" t="s">
        <v>99</v>
      </c>
      <c r="G26" s="15"/>
      <c r="H26" s="498">
        <v>1500</v>
      </c>
      <c r="I26" s="36" cm="1">
        <f t="array" ref="I26">_xll.BDP(B26&amp;" Equity","LAST_PRICE")</f>
        <v>758000</v>
      </c>
      <c r="J26" s="51">
        <f t="shared" si="2"/>
        <v>2.6455026455025621E-3</v>
      </c>
      <c r="K26" s="440" cm="1">
        <f t="array" ref="K26">_xll.BDP(B26&amp;" EQUITY","PX_YEST_CLOSE")</f>
        <v>756000</v>
      </c>
      <c r="L26" s="53" cm="1">
        <f t="array" ref="L26">_xll.BDP(E26&amp;" Curncy","PX_LAST")</f>
        <v>1474.85</v>
      </c>
      <c r="M26" s="52">
        <v>1</v>
      </c>
      <c r="N26" s="15">
        <f t="shared" si="3"/>
        <v>770925.85686680011</v>
      </c>
      <c r="O26" s="358">
        <f>IFERROR(IF(Tabelad[[#This Row],[D1 Exp USD]]&lt;&gt;0,N26/$AE$7,0),"-")</f>
        <v>3.4191139897976559E-4</v>
      </c>
      <c r="P26" s="20">
        <f>IFERROR(IF(Tabelad[[#This Row],[D1 Exp USD]]&lt;&gt;0,((I26-K26)/L26*M26*H26)/$AD$7*10000,0),"-")</f>
        <v>9.0214089440571379E-3</v>
      </c>
      <c r="Q26" s="15">
        <f>IF(SUM(SUMIFS(Options!$AL$4:$AL$33, Options!$D$4:$D$33, B26), SUMIFS(Options!$AL$4:$AL$33, Options!$D$4:$D$33, B26 &amp; " US"))=0,0,SUM(SUMIFS(Options!$AL$4:$AL$33, Options!$D$4:$D$33, B26), SUMIFS(Options!$AL$4:$AL$33, Options!$D$4:$D$33, B26 &amp; " US")))</f>
        <v>0</v>
      </c>
      <c r="R26" s="19">
        <f t="shared" si="4"/>
        <v>0</v>
      </c>
      <c r="S26" s="20">
        <f>IF(SUM(SUMIFS(Options!$AK$4:$AK$33, Options!$D$4:$D$33, B26), SUMIFS(Options!$AK$4:$AK$33, Options!$D$4:$D$33, B26 &amp; " US"))=0,0,SUM(SUMIFS(Options!$AK$4:$AK$33, Options!$D$4:$D$33, B26), SUMIFS(Options!AK$4:$AK$33, Options!$D$4:$D$33, B26 &amp; " US")))</f>
        <v>0</v>
      </c>
      <c r="T26" s="13">
        <f t="shared" si="5"/>
        <v>770925.85686680011</v>
      </c>
      <c r="U26" s="48">
        <f t="shared" si="6"/>
        <v>3.4191139897976559E-4</v>
      </c>
      <c r="V26" s="20">
        <f t="shared" si="7"/>
        <v>9.0214089440571379E-3</v>
      </c>
      <c r="W26" s="15">
        <f t="shared" si="8"/>
        <v>1447.7434840635256</v>
      </c>
      <c r="X26" s="19"/>
      <c r="Y26" s="376">
        <f>Tabelad[[#This Row],[Exp %]]*$Y$10*$AD$7/Tabelad[[#This Row],[Price Today]]</f>
        <v>0.35596840356646442</v>
      </c>
      <c r="Z26" s="266">
        <f>Tabelad[[#This Row],[Vol 10d]]/16*Tabelad[[#This Row],[Exp %]]*100</f>
        <v>6.9333733741464051E-2</v>
      </c>
      <c r="AA26" s="19">
        <f>Tabelad[[#This Row],[Exp %]]*Tabelad[[#This Row],[Beta Adj2]]</f>
        <v>5.666265115540349E-4</v>
      </c>
      <c r="AB26" s="36">
        <f>_xll.BDP($B26&amp;" Equity","volatility_10d")</f>
        <v>32.445239999999998</v>
      </c>
      <c r="AC26" s="36" cm="1">
        <f t="array" ref="AC26">_xll.BDP(B26&amp;" EQUITY","eqy_beta")</f>
        <v>1.657232</v>
      </c>
      <c r="AD26" s="15">
        <f>Tabelad[[#This Row],[D1 P&amp;L bps]]*$AD$5/10000</f>
        <v>1901.6300084449592</v>
      </c>
      <c r="AE26" s="277"/>
      <c r="AF26" s="231" t="str">
        <f>_xll.BDP(B26&amp;" Equity","EXPECTED_REPORT_DT")</f>
        <v>29/01/2026</v>
      </c>
      <c r="AG26" s="172" t="e">
        <f>_xll.BDP(B26&amp;" Index","CHG_PCT_1D_PRE_FROM_REGULAR")/100</f>
        <v>#VALUE!</v>
      </c>
      <c r="AH26" s="20" t="e">
        <f t="shared" si="9"/>
        <v>#VALUE!</v>
      </c>
      <c r="AI26" s="479" t="str">
        <f>_xll.BDP(B26&amp;" Equity","DVD_EX_DT")</f>
        <v>27/11/2025</v>
      </c>
    </row>
    <row r="27" spans="1:35">
      <c r="B27" s="40" t="s">
        <v>1754</v>
      </c>
      <c r="C27" t="s">
        <v>2191</v>
      </c>
      <c r="E27" t="s">
        <v>194</v>
      </c>
      <c r="F27" s="22" t="s">
        <v>99</v>
      </c>
      <c r="G27" s="15"/>
      <c r="H27" s="498">
        <v>44500</v>
      </c>
      <c r="I27" s="36" cm="1">
        <f t="array" ref="I27">_xll.BDP(B27&amp;" Equity","LAST_PRICE")</f>
        <v>112.22</v>
      </c>
      <c r="J27" s="51">
        <f t="shared" si="2"/>
        <v>1.0535794687077882E-2</v>
      </c>
      <c r="K27" s="440" cm="1">
        <f t="array" ref="K27">_xll.BDP(B27&amp;" EQUITY","PX_YEST_CLOSE")</f>
        <v>111.05</v>
      </c>
      <c r="L27" s="53" cm="1">
        <f t="array" ref="L27">_xll.BDP(E27&amp;" Curncy","PX_LAST")</f>
        <v>1</v>
      </c>
      <c r="M27" s="52">
        <v>1</v>
      </c>
      <c r="N27" s="15">
        <f t="shared" si="3"/>
        <v>4993790</v>
      </c>
      <c r="O27" s="358">
        <f>IFERROR(IF(Tabelad[[#This Row],[D1 Exp USD]]&lt;&gt;0,N27/$AE$7,0),"-")</f>
        <v>2.2147833152860153E-3</v>
      </c>
      <c r="P27" s="20">
        <f>IFERROR(IF(Tabelad[[#This Row],[D1 Exp USD]]&lt;&gt;0,((I27-K27)/L27*M27*H27)/$AD$7*10000,0),"-")</f>
        <v>0.23091217954773138</v>
      </c>
      <c r="Q27" s="15">
        <f>IF(SUM(SUMIFS(Options!$AL$4:$AL$33, Options!$D$4:$D$33, B27), SUMIFS(Options!$AL$4:$AL$33, Options!$D$4:$D$33, B27 &amp; " US"))=0,0,SUM(SUMIFS(Options!$AL$4:$AL$33, Options!$D$4:$D$33, B27), SUMIFS(Options!$AL$4:$AL$33, Options!$D$4:$D$33, B27 &amp; " US")))</f>
        <v>0</v>
      </c>
      <c r="R27" s="19">
        <f t="shared" si="4"/>
        <v>0</v>
      </c>
      <c r="S27" s="20">
        <f>IF(SUM(SUMIFS(Options!$AK$4:$AK$33, Options!$D$4:$D$33, B27), SUMIFS(Options!$AK$4:$AK$33, Options!$D$4:$D$33, B27 &amp; " US"))=0,0,SUM(SUMIFS(Options!$AK$4:$AK$33, Options!$D$4:$D$33, B27), SUMIFS(Options!AK$4:$AK$33, Options!$D$4:$D$33, B27 &amp; " US")))</f>
        <v>0</v>
      </c>
      <c r="T27" s="13">
        <f t="shared" si="5"/>
        <v>4993790</v>
      </c>
      <c r="U27" s="48">
        <f t="shared" si="6"/>
        <v>2.2147833152860153E-3</v>
      </c>
      <c r="V27" s="20">
        <f t="shared" si="7"/>
        <v>0.23091217954773138</v>
      </c>
      <c r="W27" s="15">
        <f t="shared" si="8"/>
        <v>6630.445470058813</v>
      </c>
      <c r="X27" s="19"/>
      <c r="Y27" s="376">
        <f>Tabelad[[#This Row],[Exp %]]*$Y$10*$AD$7/Tabelad[[#This Row],[Price Today]]</f>
        <v>15574.999999999998</v>
      </c>
      <c r="Z27" s="266">
        <f>Tabelad[[#This Row],[Vol 10d]]/16*Tabelad[[#This Row],[Exp %]]*100</f>
        <v>0.30297692766935347</v>
      </c>
      <c r="AA27" s="19">
        <f>Tabelad[[#This Row],[Exp %]]*Tabelad[[#This Row],[Beta Adj2]]</f>
        <v>2.0621442414502453E-3</v>
      </c>
      <c r="AB27" s="36">
        <f>_xll.BDP($B27&amp;" Equity","volatility_10d")</f>
        <v>21.887607736848228</v>
      </c>
      <c r="AC27" s="36" cm="1">
        <f t="array" ref="AC27">_xll.BDP(B27&amp;" EQUITY","eqy_beta")</f>
        <v>0.93108171224594116</v>
      </c>
      <c r="AD27" s="15">
        <f>Tabelad[[#This Row],[D1 P&amp;L bps]]*$AD$5/10000</f>
        <v>48674.163056609934</v>
      </c>
      <c r="AE27" s="277"/>
      <c r="AF27" s="231" t="str">
        <f>_xll.BDP(B27&amp;" Equity","EXPECTED_REPORT_DT")</f>
        <v>#N/A N/A</v>
      </c>
      <c r="AG27" s="172">
        <f>_xll.BDP(B27&amp;" Index","CHG_PCT_1D_PRE_FROM_REGULAR")/100</f>
        <v>6.1233709999999998E-3</v>
      </c>
      <c r="AH27" s="20">
        <f t="shared" si="9"/>
        <v>0.13561939924106242</v>
      </c>
      <c r="AI27" s="479" t="str">
        <f>_xll.BDP(B27&amp;" Equity","DVD_EX_DT")</f>
        <v>16/12/2025</v>
      </c>
    </row>
    <row r="28" spans="1:35" s="59" customFormat="1">
      <c r="A28" s="519"/>
      <c r="B28" s="425" t="s">
        <v>1754</v>
      </c>
      <c r="C28" s="59" t="s">
        <v>2191</v>
      </c>
      <c r="E28" s="59" t="s">
        <v>194</v>
      </c>
      <c r="F28" s="163" t="s">
        <v>99</v>
      </c>
      <c r="G28" s="405"/>
      <c r="H28" s="520">
        <v>8180</v>
      </c>
      <c r="I28" s="14" cm="1">
        <f t="array" ref="I28">_xll.BDP(B28&amp;" Equity","LAST_PRICE")</f>
        <v>112.22</v>
      </c>
      <c r="J28" s="521">
        <f t="shared" ref="J28" si="32">I28/K28-1</f>
        <v>3.1286314472154242E-3</v>
      </c>
      <c r="K28" s="522">
        <v>111.87</v>
      </c>
      <c r="L28" s="8" cm="1">
        <f t="array" ref="L28">_xll.BDP(E28&amp;" Curncy","PX_LAST")</f>
        <v>1</v>
      </c>
      <c r="M28" s="523">
        <v>1</v>
      </c>
      <c r="N28" s="405">
        <f t="shared" ref="N28" si="33">IFERROR(IF(((I28/L28)*H28*M28)&lt;&gt;0,((I28/L28)*H28*M28),0),"-")</f>
        <v>917959.6</v>
      </c>
      <c r="O28" s="524">
        <f>IFERROR(IF(Tabelad[[#This Row],[D1 Exp USD]]&lt;&gt;0,N28/$AE$7,0),"-")</f>
        <v>4.0712196671999109E-4</v>
      </c>
      <c r="P28" s="525">
        <f>IFERROR(IF(Tabelad[[#This Row],[D1 Exp USD]]&lt;&gt;0,((I28-K28)/L28*M28*H28)/$AD$7*10000,0),"-")</f>
        <v>1.2697619707003616E-2</v>
      </c>
      <c r="Q28" s="405"/>
      <c r="R28" s="128"/>
      <c r="S28" s="525"/>
      <c r="T28" s="526">
        <f t="shared" ref="T28" si="34">N28+Q28</f>
        <v>917959.6</v>
      </c>
      <c r="U28" s="527">
        <f t="shared" ref="U28" si="35">T28/$AE$7</f>
        <v>4.0712196671999109E-4</v>
      </c>
      <c r="V28" s="525">
        <f t="shared" ref="V28" si="36">P28+S28</f>
        <v>1.2697619707003616E-2</v>
      </c>
      <c r="W28" s="405">
        <f t="shared" ref="W28" si="37">$W$10/(I28/L28*M28)</f>
        <v>6630.445470058813</v>
      </c>
      <c r="X28" s="128"/>
      <c r="Y28" s="528">
        <f>Tabelad[[#This Row],[Exp %]]*$Y$10*$AD$7/Tabelad[[#This Row],[Price Today]]</f>
        <v>2863</v>
      </c>
      <c r="Z28" s="529">
        <f>Tabelad[[#This Row],[Vol 10d]]/16*Tabelad[[#This Row],[Exp %]]*100</f>
        <v>5.5693286928883395E-2</v>
      </c>
      <c r="AA28" s="128">
        <f>Tabelad[[#This Row],[Exp %]]*Tabelad[[#This Row],[Beta Adj2]]</f>
        <v>3.7906381786658437E-4</v>
      </c>
      <c r="AB28" s="14">
        <f>_xll.BDP($B28&amp;" Equity","volatility_10d")</f>
        <v>21.887607736848228</v>
      </c>
      <c r="AC28" s="14" cm="1">
        <f t="array" ref="AC28">_xll.BDP(B28&amp;" EQUITY","eqy_beta")</f>
        <v>0.93108171224594116</v>
      </c>
      <c r="AD28" s="405">
        <f>Tabelad[[#This Row],[D1 P&amp;L bps]]*$AD$5/10000</f>
        <v>2676.5414161350577</v>
      </c>
      <c r="AE28" s="337"/>
      <c r="AF28" s="530" t="str">
        <f>_xll.BDP(B28&amp;" Equity","EXPECTED_REPORT_DT")</f>
        <v>#N/A N/A</v>
      </c>
      <c r="AG28" s="531">
        <f>_xll.BDP(B28&amp;" Index","CHG_PCT_1D_PRE_FROM_REGULAR")/100</f>
        <v>6.1233709999999998E-3</v>
      </c>
      <c r="AH28" s="525">
        <f t="shared" ref="AH28" si="38">(T28*AG28)/$AD$7*10000</f>
        <v>2.4929588444761588E-2</v>
      </c>
      <c r="AI28" s="532" t="str">
        <f>_xll.BDP(B28&amp;" Equity","DVD_EX_DT")</f>
        <v>16/12/2025</v>
      </c>
    </row>
    <row r="29" spans="1:35">
      <c r="B29" s="40" t="s">
        <v>2210</v>
      </c>
      <c r="C29" t="s">
        <v>2102</v>
      </c>
      <c r="E29" t="s">
        <v>194</v>
      </c>
      <c r="F29" s="22" t="s">
        <v>99</v>
      </c>
      <c r="G29" s="15"/>
      <c r="H29" s="498">
        <v>2010</v>
      </c>
      <c r="I29" s="36" cm="1">
        <f t="array" ref="I29">_xll.BDP(B29&amp;" Equity","LAST_PRICE")</f>
        <v>191.04</v>
      </c>
      <c r="J29" s="51">
        <f t="shared" si="2"/>
        <v>-2.5107164727495523E-2</v>
      </c>
      <c r="K29" s="440" cm="1">
        <f t="array" ref="K29">_xll.BDP(B29&amp;" EQUITY","PX_YEST_CLOSE")</f>
        <v>195.96</v>
      </c>
      <c r="L29" s="53" cm="1">
        <f t="array" ref="L29">_xll.BDP(E29&amp;" Curncy","PX_LAST")</f>
        <v>1</v>
      </c>
      <c r="M29" s="52">
        <v>1</v>
      </c>
      <c r="N29" s="15">
        <f t="shared" si="3"/>
        <v>383990.39999999997</v>
      </c>
      <c r="O29" s="358">
        <f>IFERROR(IF(Tabelad[[#This Row],[D1 Exp USD]]&lt;&gt;0,N29/$AE$7,0),"-")</f>
        <v>1.703026220866322E-4</v>
      </c>
      <c r="P29" s="20">
        <f>IFERROR(IF(Tabelad[[#This Row],[D1 Exp USD]]&lt;&gt;0,((I29-K29)/L29*M29*H29)/$AD$7*10000,0),"-")</f>
        <v>-4.3859343627838838E-2</v>
      </c>
      <c r="Q29" s="15">
        <f>IF(SUM(SUMIFS(Options!$AL$4:$AL$33, Options!$D$4:$D$33, B29), SUMIFS(Options!$AL$4:$AL$33, Options!$D$4:$D$33, B29 &amp; " US"))=0,0,SUM(SUMIFS(Options!$AL$4:$AL$33, Options!$D$4:$D$33, B29), SUMIFS(Options!$AL$4:$AL$33, Options!$D$4:$D$33, B29 &amp; " US")))</f>
        <v>0</v>
      </c>
      <c r="R29" s="19">
        <f t="shared" si="4"/>
        <v>0</v>
      </c>
      <c r="S29" s="20">
        <f>IF(SUM(SUMIFS(Options!$AK$4:$AK$33, Options!$D$4:$D$33, B29), SUMIFS(Options!$AK$4:$AK$33, Options!$D$4:$D$33, B29 &amp; " US"))=0,0,SUM(SUMIFS(Options!$AK$4:$AK$33, Options!$D$4:$D$33, B29), SUMIFS(Options!AK$4:$AK$33, Options!$D$4:$D$33, B29 &amp; " US")))</f>
        <v>0</v>
      </c>
      <c r="T29" s="13">
        <f t="shared" si="5"/>
        <v>383990.39999999997</v>
      </c>
      <c r="U29" s="48">
        <f t="shared" si="6"/>
        <v>1.703026220866322E-4</v>
      </c>
      <c r="V29" s="20">
        <f t="shared" si="7"/>
        <v>-4.3859343627838838E-2</v>
      </c>
      <c r="W29" s="15">
        <f t="shared" si="8"/>
        <v>3894.8313999685934</v>
      </c>
      <c r="X29" s="19"/>
      <c r="Y29" s="376">
        <f>Tabelad[[#This Row],[Exp %]]*$Y$10*$AD$7/Tabelad[[#This Row],[Price Today]]</f>
        <v>703.49999999999977</v>
      </c>
      <c r="Z29" s="266">
        <f>Tabelad[[#This Row],[Vol 10d]]/16*Tabelad[[#This Row],[Exp %]]*100</f>
        <v>8.7056619252491516E-2</v>
      </c>
      <c r="AA29" s="19">
        <f>Tabelad[[#This Row],[Exp %]]*Tabelad[[#This Row],[Beta Adj2]]</f>
        <v>3.7941981516602689E-4</v>
      </c>
      <c r="AB29" s="36">
        <f>_xll.BDP($B29&amp;" Equity","volatility_10d")</f>
        <v>81.79004474348605</v>
      </c>
      <c r="AC29" s="36" cm="1">
        <f t="array" ref="AC29">_xll.BDP(B29&amp;" EQUITY","eqy_beta")</f>
        <v>2.2279152870178223</v>
      </c>
      <c r="AD29" s="15">
        <f>Tabelad[[#This Row],[D1 P&amp;L bps]]*$AD$5/10000</f>
        <v>-9245.1461307870504</v>
      </c>
      <c r="AE29" s="277"/>
      <c r="AF29" s="231" t="str">
        <f>_xll.BDP(B29&amp;" Equity","EXPECTED_REPORT_DT")</f>
        <v>05/02/2026</v>
      </c>
      <c r="AG29" s="172">
        <f>_xll.BDP(B29&amp;" Index","CHG_PCT_1D_PRE_FROM_REGULAR")/100</f>
        <v>2.0408900000000002E-4</v>
      </c>
      <c r="AH29" s="20">
        <f t="shared" si="9"/>
        <v>3.4756891839038683E-4</v>
      </c>
      <c r="AI29" s="479" t="str">
        <f>_xll.BDP(B29&amp;" Equity","DVD_EX_DT")</f>
        <v>27/02/2004</v>
      </c>
    </row>
    <row r="30" spans="1:35">
      <c r="B30" s="40" t="s">
        <v>2101</v>
      </c>
      <c r="C30" t="s">
        <v>2102</v>
      </c>
      <c r="E30" t="s">
        <v>194</v>
      </c>
      <c r="F30" s="22" t="s">
        <v>99</v>
      </c>
      <c r="G30" s="15"/>
      <c r="H30" s="498">
        <v>1350</v>
      </c>
      <c r="I30" s="36" cm="1">
        <f t="array" ref="I30">_xll.BDP(B30&amp;" Equity","LAST_PRICE")</f>
        <v>324.25</v>
      </c>
      <c r="J30" s="51">
        <f t="shared" si="2"/>
        <v>-5.5408279197133425E-2</v>
      </c>
      <c r="K30" s="440" cm="1">
        <f t="array" ref="K30">_xll.BDP(B30&amp;" EQUITY","PX_YEST_CLOSE")</f>
        <v>343.27</v>
      </c>
      <c r="L30" s="53" cm="1">
        <f t="array" ref="L30">_xll.BDP(E30&amp;" Curncy","PX_LAST")</f>
        <v>1</v>
      </c>
      <c r="M30" s="52">
        <v>1</v>
      </c>
      <c r="N30" s="15">
        <f t="shared" si="3"/>
        <v>437737.5</v>
      </c>
      <c r="O30" s="358">
        <f>IFERROR(IF(Tabelad[[#This Row],[D1 Exp USD]]&lt;&gt;0,N30/$AE$7,0),"-")</f>
        <v>1.94139864006098E-4</v>
      </c>
      <c r="P30" s="20">
        <f>IFERROR(IF(Tabelad[[#This Row],[D1 Exp USD]]&lt;&gt;0,((I30-K30)/L30*M30*H30)/$AD$7*10000,0),"-")</f>
        <v>-0.11387942061360001</v>
      </c>
      <c r="Q30" s="15">
        <f>IF(SUM(SUMIFS(Options!$AL$4:$AL$33, Options!$D$4:$D$33, B30), SUMIFS(Options!$AL$4:$AL$33, Options!$D$4:$D$33, B30 &amp; " US"))=0,0,SUM(SUMIFS(Options!$AL$4:$AL$33, Options!$D$4:$D$33, B30), SUMIFS(Options!$AL$4:$AL$33, Options!$D$4:$D$33, B30 &amp; " US")))</f>
        <v>934852.230258286</v>
      </c>
      <c r="R30" s="19">
        <f t="shared" si="4"/>
        <v>4.1461397492364955E-4</v>
      </c>
      <c r="S30" s="20">
        <f>IF(SUM(SUMIFS(Options!$AK$4:$AK$33, Options!$D$4:$D$33, B30), SUMIFS(Options!$AK$4:$AK$33, Options!$D$4:$D$33, B30 &amp; " US"))=0,0,SUM(SUMIFS(Options!$AK$4:$AK$33, Options!$D$4:$D$33, B30), SUMIFS(Options!AK$4:$AK$33, Options!$D$4:$D$33, B30 &amp; " US")))</f>
        <v>-0.28340129209833892</v>
      </c>
      <c r="T30" s="13">
        <f t="shared" si="5"/>
        <v>1372589.730258286</v>
      </c>
      <c r="U30" s="48">
        <f t="shared" si="6"/>
        <v>6.0875383892974757E-4</v>
      </c>
      <c r="V30" s="20">
        <f t="shared" si="7"/>
        <v>-0.39728071271193893</v>
      </c>
      <c r="W30" s="15">
        <f t="shared" si="8"/>
        <v>2294.7373651503472</v>
      </c>
      <c r="X30" s="19"/>
      <c r="Y30" s="376">
        <f>Tabelad[[#This Row],[Exp %]]*$Y$10*$AD$7/Tabelad[[#This Row],[Price Today]]</f>
        <v>1481.592615544796</v>
      </c>
      <c r="Z30" s="266">
        <f>Tabelad[[#This Row],[Vol 10d]]/16*Tabelad[[#This Row],[Exp %]]*100</f>
        <v>0.44432698648578067</v>
      </c>
      <c r="AA30" s="19">
        <f>Tabelad[[#This Row],[Exp %]]*Tabelad[[#This Row],[Beta Adj2]]</f>
        <v>1.223771843663454E-3</v>
      </c>
      <c r="AB30" s="36">
        <f>_xll.BDP($B30&amp;" Equity","volatility_10d")</f>
        <v>116.78335854557005</v>
      </c>
      <c r="AC30" s="36" cm="1">
        <f t="array" ref="AC30">_xll.BDP(B30&amp;" EQUITY","eqy_beta")</f>
        <v>2.0102901458740234</v>
      </c>
      <c r="AD30" s="15">
        <f>Tabelad[[#This Row],[D1 P&amp;L bps]]*$AD$5/10000</f>
        <v>-24004.734174677236</v>
      </c>
      <c r="AE30" s="277"/>
      <c r="AF30" s="231" t="str">
        <f>_xll.BDP(B30&amp;" Equity","EXPECTED_REPORT_DT")</f>
        <v>03/02/2026</v>
      </c>
      <c r="AG30" s="172" t="e">
        <f>_xll.BDP(B30&amp;" Index","CHG_PCT_1D_PRE_FROM_REGULAR")/100</f>
        <v>#VALUE!</v>
      </c>
      <c r="AH30" s="20" t="e">
        <f t="shared" si="9"/>
        <v>#VALUE!</v>
      </c>
      <c r="AI30" s="479" t="str">
        <f>_xll.BDP(B30&amp;" Equity","DVD_EX_DT")</f>
        <v>#N/A N/A</v>
      </c>
    </row>
    <row r="31" spans="1:35">
      <c r="B31" s="40" t="s">
        <v>137</v>
      </c>
      <c r="C31" t="s">
        <v>1883</v>
      </c>
      <c r="E31" t="s">
        <v>194</v>
      </c>
      <c r="F31" s="22" t="s">
        <v>99</v>
      </c>
      <c r="G31" s="15"/>
      <c r="H31" s="498">
        <v>8500</v>
      </c>
      <c r="I31" s="36" cm="1">
        <f t="array" ref="I31">_xll.BDP(B31&amp;" Equity","LAST_PRICE")</f>
        <v>351.71</v>
      </c>
      <c r="J31" s="51">
        <f t="shared" si="2"/>
        <v>2.5333799778438637E-2</v>
      </c>
      <c r="K31" s="440" cm="1">
        <f t="array" ref="K31">_xll.BDP(B31&amp;" EQUITY","PX_YEST_CLOSE")</f>
        <v>343.02</v>
      </c>
      <c r="L31" s="53" cm="1">
        <f t="array" ref="L31">_xll.BDP(E31&amp;" Curncy","PX_LAST")</f>
        <v>1</v>
      </c>
      <c r="M31" s="52">
        <v>1</v>
      </c>
      <c r="N31" s="15">
        <f t="shared" si="3"/>
        <v>2989535</v>
      </c>
      <c r="O31" s="358">
        <f>IFERROR(IF(Tabelad[[#This Row],[D1 Exp USD]]&lt;&gt;0,N31/$AE$7,0),"-")</f>
        <v>1.3258811921333451E-3</v>
      </c>
      <c r="P31" s="20">
        <f>IFERROR(IF(Tabelad[[#This Row],[D1 Exp USD]]&lt;&gt;0,((I31-K31)/L31*M31*H31)/$AD$7*10000,0),"-")</f>
        <v>0.32759681441070104</v>
      </c>
      <c r="Q31" s="15">
        <f>IF(SUM(SUMIFS(Options!$AL$4:$AL$33, Options!$D$4:$D$33, B31), SUMIFS(Options!$AL$4:$AL$33, Options!$D$4:$D$33, B31 &amp; " US"))=0,0,SUM(SUMIFS(Options!$AL$4:$AL$33, Options!$D$4:$D$33, B31), SUMIFS(Options!$AL$4:$AL$33, Options!$D$4:$D$33, B31 &amp; " US")))</f>
        <v>352096.4944824574</v>
      </c>
      <c r="R31" s="19">
        <f t="shared" si="4"/>
        <v>1.5615743580535849E-4</v>
      </c>
      <c r="S31" s="20">
        <f>IF(SUM(SUMIFS(Options!$AK$4:$AK$33, Options!$D$4:$D$33, B31), SUMIFS(Options!$AK$4:$AK$33, Options!$D$4:$D$33, B31 &amp; " US"))=0,0,SUM(SUMIFS(Options!$AK$4:$AK$33, Options!$D$4:$D$33, B31), SUMIFS(Options!AK$4:$AK$33, Options!$D$4:$D$33, B31 &amp; " US")))</f>
        <v>3.4926215575499561E-2</v>
      </c>
      <c r="T31" s="13">
        <f t="shared" si="5"/>
        <v>3341631.4944824576</v>
      </c>
      <c r="U31" s="48">
        <f t="shared" si="6"/>
        <v>1.4820386279387038E-3</v>
      </c>
      <c r="V31" s="20">
        <f t="shared" si="7"/>
        <v>0.36252302998620062</v>
      </c>
      <c r="W31" s="15">
        <f t="shared" si="8"/>
        <v>2115.5741680645988</v>
      </c>
      <c r="X31" s="19"/>
      <c r="Y31" s="376">
        <f>Tabelad[[#This Row],[Exp %]]*$Y$10*$AD$7/Tabelad[[#This Row],[Price Today]]</f>
        <v>3325.3846153616905</v>
      </c>
      <c r="Z31" s="266">
        <f>Tabelad[[#This Row],[Vol 10d]]/16*Tabelad[[#This Row],[Exp %]]*100</f>
        <v>0.37057853714781619</v>
      </c>
      <c r="AA31" s="19">
        <f>Tabelad[[#This Row],[Exp %]]*Tabelad[[#This Row],[Beta Adj2]]</f>
        <v>2.9907580245477337E-3</v>
      </c>
      <c r="AB31" s="36">
        <f>_xll.BDP($B31&amp;" Equity","volatility_10d")</f>
        <v>40.007436261035764</v>
      </c>
      <c r="AC31" s="36" cm="1">
        <f t="array" ref="AC31">_xll.BDP(B31&amp;" EQUITY","eqy_beta")</f>
        <v>2.0180027484893799</v>
      </c>
      <c r="AD31" s="15">
        <f>Tabelad[[#This Row],[D1 P&amp;L bps]]*$AD$5/10000</f>
        <v>69054.394587083196</v>
      </c>
      <c r="AE31" s="277"/>
      <c r="AF31" s="231" t="str">
        <f>_xll.BDP(B31&amp;" Equity","EXPECTED_REPORT_DT")</f>
        <v>06/03/2026</v>
      </c>
      <c r="AG31" s="172">
        <f>_xll.BDP(B31&amp;" Index","CHG_PCT_1D_PRE_FROM_REGULAR")/100</f>
        <v>9.5913030000000007E-3</v>
      </c>
      <c r="AH31" s="20">
        <f t="shared" si="9"/>
        <v>0.14214681538264376</v>
      </c>
      <c r="AI31" s="479" t="str">
        <f>_xll.BDP(B31&amp;" Equity","DVD_EX_DT")</f>
        <v>22/12/2025</v>
      </c>
    </row>
    <row r="32" spans="1:35" s="59" customFormat="1">
      <c r="A32" s="519"/>
      <c r="B32" s="425" t="s">
        <v>137</v>
      </c>
      <c r="C32" s="59" t="s">
        <v>1883</v>
      </c>
      <c r="E32" s="59" t="s">
        <v>194</v>
      </c>
      <c r="F32" s="163" t="s">
        <v>99</v>
      </c>
      <c r="G32" s="405"/>
      <c r="H32" s="520">
        <v>3500</v>
      </c>
      <c r="I32" s="14" cm="1">
        <f t="array" ref="I32">_xll.BDP(B32&amp;" Equity","LAST_PRICE")</f>
        <v>351.71</v>
      </c>
      <c r="J32" s="521">
        <f t="shared" ref="J32" si="39">I32/K32-1</f>
        <v>1.2377306352724382E-2</v>
      </c>
      <c r="K32" s="522">
        <v>347.41</v>
      </c>
      <c r="L32" s="8" cm="1">
        <f t="array" ref="L32">_xll.BDP(E32&amp;" Curncy","PX_LAST")</f>
        <v>1</v>
      </c>
      <c r="M32" s="523">
        <v>1</v>
      </c>
      <c r="N32" s="405">
        <f t="shared" ref="N32" si="40">IFERROR(IF(((I32/L32)*H32*M32)&lt;&gt;0,((I32/L32)*H32*M32),0),"-")</f>
        <v>1230985</v>
      </c>
      <c r="O32" s="524">
        <f>IFERROR(IF(Tabelad[[#This Row],[D1 Exp USD]]&lt;&gt;0,N32/$AE$7,0),"-")</f>
        <v>5.4595107911373036E-4</v>
      </c>
      <c r="P32" s="525">
        <f>IFERROR(IF(Tabelad[[#This Row],[D1 Exp USD]]&lt;&gt;0,((I32-K32)/L32*M32*H32)/$AD$7*10000,0),"-")</f>
        <v>6.6747878655398357E-2</v>
      </c>
      <c r="Q32" s="405"/>
      <c r="R32" s="128"/>
      <c r="S32" s="525"/>
      <c r="T32" s="526">
        <f t="shared" ref="T32" si="41">N32+Q32</f>
        <v>1230985</v>
      </c>
      <c r="U32" s="527">
        <f t="shared" ref="U32" si="42">T32/$AE$7</f>
        <v>5.4595107911373036E-4</v>
      </c>
      <c r="V32" s="525">
        <f t="shared" ref="V32" si="43">P32+S32</f>
        <v>6.6747878655398357E-2</v>
      </c>
      <c r="W32" s="405">
        <f t="shared" ref="W32" si="44">$W$10/(I32/L32*M32)</f>
        <v>2115.5741680645988</v>
      </c>
      <c r="X32" s="128"/>
      <c r="Y32" s="528">
        <f>Tabelad[[#This Row],[Exp %]]*$Y$10*$AD$7/Tabelad[[#This Row],[Price Today]]</f>
        <v>1225</v>
      </c>
      <c r="Z32" s="529">
        <f>Tabelad[[#This Row],[Vol 10d]]/16*Tabelad[[#This Row],[Exp %]]*100</f>
        <v>0.13651314374553913</v>
      </c>
      <c r="AA32" s="128">
        <f>Tabelad[[#This Row],[Exp %]]*Tabelad[[#This Row],[Beta Adj2]]</f>
        <v>1.1017307781922506E-3</v>
      </c>
      <c r="AB32" s="14">
        <f>_xll.BDP($B32&amp;" Equity","volatility_10d")</f>
        <v>40.007436261035764</v>
      </c>
      <c r="AC32" s="14" cm="1">
        <f t="array" ref="AC32">_xll.BDP(B32&amp;" EQUITY","eqy_beta")</f>
        <v>2.0180027484893799</v>
      </c>
      <c r="AD32" s="405">
        <f>Tabelad[[#This Row],[D1 P&amp;L bps]]*$AD$5/10000</f>
        <v>14069.838740074345</v>
      </c>
      <c r="AE32" s="337"/>
      <c r="AF32" s="530" t="str">
        <f>_xll.BDP(B32&amp;" Equity","EXPECTED_REPORT_DT")</f>
        <v>06/03/2026</v>
      </c>
      <c r="AG32" s="531">
        <f>_xll.BDP(B32&amp;" Index","CHG_PCT_1D_PRE_FROM_REGULAR")/100</f>
        <v>9.5913030000000007E-3</v>
      </c>
      <c r="AH32" s="525">
        <f t="shared" ref="AH32" si="45">(T32*AG32)/$AD$7*10000</f>
        <v>5.2363822229567591E-2</v>
      </c>
      <c r="AI32" s="532" t="str">
        <f>_xll.BDP(B32&amp;" Equity","DVD_EX_DT")</f>
        <v>22/12/2025</v>
      </c>
    </row>
    <row r="33" spans="1:35">
      <c r="B33" s="40" t="s">
        <v>96</v>
      </c>
      <c r="C33" t="s">
        <v>1883</v>
      </c>
      <c r="E33" t="s">
        <v>194</v>
      </c>
      <c r="F33" s="22" t="s">
        <v>99</v>
      </c>
      <c r="G33" s="15"/>
      <c r="H33" s="498">
        <v>14500</v>
      </c>
      <c r="I33" s="36" cm="1">
        <f t="array" ref="I33">_xll.BDP(B33&amp;" Equity","LAST_PRICE")</f>
        <v>342.4</v>
      </c>
      <c r="J33" s="51">
        <f t="shared" si="2"/>
        <v>2.2245638683995317E-3</v>
      </c>
      <c r="K33" s="440" cm="1">
        <f t="array" ref="K33">_xll.BDP(B33&amp;" EQUITY","PX_YEST_CLOSE")</f>
        <v>341.64</v>
      </c>
      <c r="L33" s="53" cm="1">
        <f t="array" ref="L33">_xll.BDP(E33&amp;" Curncy","PX_LAST")</f>
        <v>1</v>
      </c>
      <c r="M33" s="52">
        <v>1</v>
      </c>
      <c r="N33" s="15">
        <f t="shared" si="3"/>
        <v>4964800</v>
      </c>
      <c r="O33" s="358">
        <f>IFERROR(IF(Tabelad[[#This Row],[D1 Exp USD]]&lt;&gt;0,N33/$AE$7,0),"-")</f>
        <v>2.2019260328792378E-3</v>
      </c>
      <c r="P33" s="20">
        <f>IFERROR(IF(Tabelad[[#This Row],[D1 Exp USD]]&lt;&gt;0,((I33-K33)/L33*M33*H33)/$AD$7*10000,0),"-")</f>
        <v>4.8874526430730161E-2</v>
      </c>
      <c r="Q33" s="15">
        <f>IF(SUM(SUMIFS(Options!$AL$4:$AL$33, Options!$D$4:$D$33, B33), SUMIFS(Options!$AL$4:$AL$33, Options!$D$4:$D$33, B33 &amp; " US"))=0,0,SUM(SUMIFS(Options!$AL$4:$AL$33, Options!$D$4:$D$33, B33), SUMIFS(Options!$AL$4:$AL$33, Options!$D$4:$D$33, B33 &amp; " US")))</f>
        <v>3952082.2460055361</v>
      </c>
      <c r="R33" s="19">
        <f t="shared" si="4"/>
        <v>1.7527781142361097E-3</v>
      </c>
      <c r="S33" s="20">
        <f>IF(SUM(SUMIFS(Options!$AK$4:$AK$33, Options!$D$4:$D$33, B33), SUMIFS(Options!$AK$4:$AK$33, Options!$D$4:$D$33, B33 &amp; " US"))=0,0,SUM(SUMIFS(Options!$AK$4:$AK$33, Options!$D$4:$D$33, B33), SUMIFS(Options!AK$4:$AK$33, Options!$D$4:$D$33, B33 &amp; " US")))</f>
        <v>-0.36655894823047858</v>
      </c>
      <c r="T33" s="13">
        <f t="shared" si="5"/>
        <v>8916882.2460055351</v>
      </c>
      <c r="U33" s="48">
        <f t="shared" si="6"/>
        <v>3.9547041471153475E-3</v>
      </c>
      <c r="V33" s="20">
        <f t="shared" si="7"/>
        <v>-0.31768442179974843</v>
      </c>
      <c r="W33" s="15">
        <f t="shared" si="8"/>
        <v>2173.097519421729</v>
      </c>
      <c r="X33" s="19"/>
      <c r="Y33" s="376">
        <f>Tabelad[[#This Row],[Exp %]]*$Y$10*$AD$7/Tabelad[[#This Row],[Price Today]]</f>
        <v>9114.8036977276206</v>
      </c>
      <c r="Z33" s="266">
        <f>Tabelad[[#This Row],[Vol 10d]]/16*Tabelad[[#This Row],[Exp %]]*100</f>
        <v>0.83804773870575033</v>
      </c>
      <c r="AA33" s="19">
        <f>Tabelad[[#This Row],[Exp %]]*Tabelad[[#This Row],[Beta Adj2]]</f>
        <v>5.8479682760223441E-3</v>
      </c>
      <c r="AB33" s="36">
        <f>_xll.BDP($B33&amp;" Equity","volatility_10d")</f>
        <v>33.905858239920846</v>
      </c>
      <c r="AC33" s="36" cm="1">
        <f t="array" ref="AC33">_xll.BDP(B33&amp;" EQUITY","eqy_beta")</f>
        <v>1.4787372350692749</v>
      </c>
      <c r="AD33" s="15">
        <f>Tabelad[[#This Row],[D1 P&amp;L bps]]*$AD$5/10000</f>
        <v>10302.300525954755</v>
      </c>
      <c r="AE33" s="277"/>
      <c r="AF33" s="231" t="str">
        <f>_xll.BDP(B33&amp;" Equity","EXPECTED_REPORT_DT")</f>
        <v>17/04/2026</v>
      </c>
      <c r="AG33" s="172" t="e">
        <f>_xll.BDP(B33&amp;" Index","CHG_PCT_1D_PRE_FROM_REGULAR")/100</f>
        <v>#VALUE!</v>
      </c>
      <c r="AH33" s="20" t="e">
        <f t="shared" si="9"/>
        <v>#VALUE!</v>
      </c>
      <c r="AI33" s="479" t="str">
        <f>_xll.BDP(B33&amp;" Equity","DVD_EX_DT")</f>
        <v>17/03/2026</v>
      </c>
    </row>
    <row r="34" spans="1:35">
      <c r="B34" s="40" t="s">
        <v>94</v>
      </c>
      <c r="C34" t="s">
        <v>1883</v>
      </c>
      <c r="E34" t="s">
        <v>194</v>
      </c>
      <c r="F34" s="22" t="s">
        <v>99</v>
      </c>
      <c r="G34" s="15"/>
      <c r="H34" s="498">
        <v>25392</v>
      </c>
      <c r="I34" s="36" cm="1">
        <f t="array" ref="I34">_xll.BDP(B34&amp;" Equity","LAST_PRICE")</f>
        <v>186.23</v>
      </c>
      <c r="J34" s="51">
        <f t="shared" si="2"/>
        <v>-4.3838545843358778E-3</v>
      </c>
      <c r="K34" s="440" cm="1">
        <f t="array" ref="K34">_xll.BDP(B34&amp;" EQUITY","PX_YEST_CLOSE")</f>
        <v>187.05</v>
      </c>
      <c r="L34" s="53" cm="1">
        <f t="array" ref="L34">_xll.BDP(E34&amp;" Curncy","PX_LAST")</f>
        <v>1</v>
      </c>
      <c r="M34" s="52">
        <v>1</v>
      </c>
      <c r="N34" s="15">
        <f t="shared" si="3"/>
        <v>4728752.16</v>
      </c>
      <c r="O34" s="358">
        <f>IFERROR(IF(Tabelad[[#This Row],[D1 Exp USD]]&lt;&gt;0,N34/$AE$7,0),"-")</f>
        <v>2.0972370456288124E-3</v>
      </c>
      <c r="P34" s="20">
        <f>IFERROR(IF(Tabelad[[#This Row],[D1 Exp USD]]&lt;&gt;0,((I34-K34)/L34*M34*H34)/$AD$7*10000,0),"-")</f>
        <v>-9.2344647877123515E-2</v>
      </c>
      <c r="Q34" s="15">
        <f>IF(SUM(SUMIFS(Options!$AL$4:$AL$33, Options!$D$4:$D$33, B34), SUMIFS(Options!$AL$4:$AL$33, Options!$D$4:$D$33, B34 &amp; " US"))=0,0,SUM(SUMIFS(Options!$AL$4:$AL$33, Options!$D$4:$D$33, B34), SUMIFS(Options!$AL$4:$AL$33, Options!$D$4:$D$33, B34 &amp; " US")))</f>
        <v>0</v>
      </c>
      <c r="R34" s="19">
        <f t="shared" si="4"/>
        <v>0</v>
      </c>
      <c r="S34" s="20">
        <f>IF(SUM(SUMIFS(Options!$AK$4:$AK$33, Options!$D$4:$D$33, B34), SUMIFS(Options!$AK$4:$AK$33, Options!$D$4:$D$33, B34 &amp; " US"))=0,0,SUM(SUMIFS(Options!$AK$4:$AK$33, Options!$D$4:$D$33, B34), SUMIFS(Options!AK$4:$AK$33, Options!$D$4:$D$33, B34 &amp; " US")))</f>
        <v>0</v>
      </c>
      <c r="T34" s="13">
        <f t="shared" si="5"/>
        <v>4728752.16</v>
      </c>
      <c r="U34" s="48">
        <f t="shared" si="6"/>
        <v>2.0972370456288124E-3</v>
      </c>
      <c r="V34" s="20">
        <f t="shared" si="7"/>
        <v>-9.2344647877123515E-2</v>
      </c>
      <c r="W34" s="15">
        <f t="shared" si="8"/>
        <v>3995.4281836975788</v>
      </c>
      <c r="X34" s="19"/>
      <c r="Y34" s="376">
        <f>Tabelad[[#This Row],[Exp %]]*$Y$10*$AD$7/Tabelad[[#This Row],[Price Today]]</f>
        <v>8887.2000000000007</v>
      </c>
      <c r="Z34" s="266">
        <f>Tabelad[[#This Row],[Vol 10d]]/16*Tabelad[[#This Row],[Exp %]]*100</f>
        <v>0.26711957201888487</v>
      </c>
      <c r="AA34" s="19">
        <f>Tabelad[[#This Row],[Exp %]]*Tabelad[[#This Row],[Beta Adj2]]</f>
        <v>3.8998661445307945E-3</v>
      </c>
      <c r="AB34" s="36">
        <f>_xll.BDP($B34&amp;" Equity","volatility_10d")</f>
        <v>20.378779600570688</v>
      </c>
      <c r="AC34" s="36" cm="1">
        <f t="array" ref="AC34">_xll.BDP(B34&amp;" EQUITY","eqy_beta")</f>
        <v>1.8595256805419922</v>
      </c>
      <c r="AD34" s="15">
        <f>Tabelad[[#This Row],[D1 P&amp;L bps]]*$AD$5/10000</f>
        <v>-19465.402201737168</v>
      </c>
      <c r="AE34" s="277"/>
      <c r="AF34" s="231" t="str">
        <f>_xll.BDP(B34&amp;" Equity","EXPECTED_REPORT_DT")</f>
        <v>25/02/2026</v>
      </c>
      <c r="AG34" s="172">
        <f>_xll.BDP(B34&amp;" Index","CHG_PCT_1D_PRE_FROM_REGULAR")/100</f>
        <v>1.0692330000000002E-2</v>
      </c>
      <c r="AH34" s="20">
        <f t="shared" si="9"/>
        <v>0.22424350580088323</v>
      </c>
      <c r="AI34" s="479" t="str">
        <f>_xll.BDP(B34&amp;" Equity","DVD_EX_DT")</f>
        <v>04/12/2025</v>
      </c>
    </row>
    <row r="35" spans="1:35">
      <c r="B35" s="40" t="s">
        <v>138</v>
      </c>
      <c r="C35" t="s">
        <v>1883</v>
      </c>
      <c r="E35" t="s">
        <v>194</v>
      </c>
      <c r="F35" s="22" t="s">
        <v>100</v>
      </c>
      <c r="G35" s="15"/>
      <c r="H35" s="498">
        <v>0</v>
      </c>
      <c r="I35" s="36" cm="1">
        <f t="array" ref="I35">_xll.BDP(B35&amp;" Equity","LAST_PRICE")</f>
        <v>80.459999999999994</v>
      </c>
      <c r="J35" s="51">
        <f t="shared" si="2"/>
        <v>9.9527245583486135E-4</v>
      </c>
      <c r="K35" s="440" cm="1">
        <f t="array" ref="K35">_xll.BDP(B35&amp;" EQUITY","PX_YEST_CLOSE")</f>
        <v>80.38</v>
      </c>
      <c r="L35" s="53" cm="1">
        <f t="array" ref="L35">_xll.BDP(E35&amp;" Curncy","PX_LAST")</f>
        <v>1</v>
      </c>
      <c r="M35" s="52">
        <v>1</v>
      </c>
      <c r="N35" s="15">
        <f t="shared" si="3"/>
        <v>0</v>
      </c>
      <c r="O35" s="358">
        <f>IFERROR(IF(Tabelad[[#This Row],[D1 Exp USD]]&lt;&gt;0,N35/$AE$7,0),"-")</f>
        <v>0</v>
      </c>
      <c r="P35" s="20">
        <f>IFERROR(IF(Tabelad[[#This Row],[D1 Exp USD]]&lt;&gt;0,((I35-K35)/L35*M35*H35)/$AD$7*10000,0),"-")</f>
        <v>0</v>
      </c>
      <c r="Q35" s="15">
        <f>IF(SUM(SUMIFS(Options!$AL$4:$AL$33, Options!$D$4:$D$33, B35), SUMIFS(Options!$AL$4:$AL$33, Options!$D$4:$D$33, B35 &amp; " US"))=0,0,SUM(SUMIFS(Options!$AL$4:$AL$33, Options!$D$4:$D$33, B35), SUMIFS(Options!$AL$4:$AL$33, Options!$D$4:$D$33, B35 &amp; " US")))</f>
        <v>-248368.26651692373</v>
      </c>
      <c r="R35" s="19">
        <f t="shared" si="4"/>
        <v>-1.1015318880613582E-4</v>
      </c>
      <c r="S35" s="20">
        <f>IF(SUM(SUMIFS(Options!$AK$4:$AK$33, Options!$D$4:$D$33, B35), SUMIFS(Options!$AK$4:$AK$33, Options!$D$4:$D$33, B35 &amp; " US"))=0,0,SUM(SUMIFS(Options!$AK$4:$AK$33, Options!$D$4:$D$33, B35), SUMIFS(Options!AK$4:$AK$33, Options!$D$4:$D$33, B35 &amp; " US")))</f>
        <v>-1.5522762478000635E-3</v>
      </c>
      <c r="T35" s="13">
        <f t="shared" si="5"/>
        <v>-248368.26651692373</v>
      </c>
      <c r="U35" s="48">
        <f t="shared" si="6"/>
        <v>-1.1015318880613582E-4</v>
      </c>
      <c r="V35" s="20">
        <f t="shared" si="7"/>
        <v>-1.5522762478000635E-3</v>
      </c>
      <c r="W35" s="15">
        <f t="shared" si="8"/>
        <v>9247.6832046979871</v>
      </c>
      <c r="X35" s="19"/>
      <c r="Y35" s="376">
        <f>Tabelad[[#This Row],[Exp %]]*$Y$10*$AD$7/Tabelad[[#This Row],[Price Today]]</f>
        <v>-1080.3988724946967</v>
      </c>
      <c r="Z35" s="266">
        <f>Tabelad[[#This Row],[Vol 10d]]/16*Tabelad[[#This Row],[Exp %]]*100</f>
        <v>-1.579061967170162E-2</v>
      </c>
      <c r="AA35" s="19">
        <f>Tabelad[[#This Row],[Exp %]]*Tabelad[[#This Row],[Beta Adj2]]</f>
        <v>-2.1694349533267471E-4</v>
      </c>
      <c r="AB35" s="36">
        <f>_xll.BDP($B35&amp;" Equity","volatility_10d")</f>
        <v>22.93623248545962</v>
      </c>
      <c r="AC35" s="36" cm="1">
        <f t="array" ref="AC35">_xll.BDP(B35&amp;" EQUITY","eqy_beta")</f>
        <v>1.9694708585739136</v>
      </c>
      <c r="AD35" s="15">
        <f>Tabelad[[#This Row],[D1 P&amp;L bps]]*$AD$5/10000</f>
        <v>0</v>
      </c>
      <c r="AE35" s="277"/>
      <c r="AF35" s="231" t="str">
        <f>_xll.BDP(B35&amp;" Equity","EXPECTED_REPORT_DT")</f>
        <v>05/03/2026</v>
      </c>
      <c r="AG35" s="172">
        <f>_xll.BDP(B35&amp;" Index","CHG_PCT_1D_PRE_FROM_REGULAR")/100</f>
        <v>1.2689779999999999E-2</v>
      </c>
      <c r="AH35" s="20">
        <f t="shared" si="9"/>
        <v>-1.3978197322483262E-2</v>
      </c>
      <c r="AI35" s="479" t="str">
        <f>_xll.BDP(B35&amp;" Equity","DVD_EX_DT")</f>
        <v>09/01/2026</v>
      </c>
    </row>
    <row r="36" spans="1:35">
      <c r="B36" s="40" t="s">
        <v>2361</v>
      </c>
      <c r="C36" t="s">
        <v>1883</v>
      </c>
      <c r="E36" t="s">
        <v>194</v>
      </c>
      <c r="F36" s="22" t="s">
        <v>99</v>
      </c>
      <c r="G36" s="15"/>
      <c r="H36" s="498">
        <v>2100</v>
      </c>
      <c r="I36" s="36" cm="1">
        <f t="array" ref="I36">_xll.BDP(B36&amp;" Equity","LAST_PRICE")</f>
        <v>327.01</v>
      </c>
      <c r="J36" s="51">
        <f t="shared" ref="J36" si="46">I36/K36-1</f>
        <v>2.485270151686092E-2</v>
      </c>
      <c r="K36" s="440" cm="1">
        <f t="array" ref="K36">_xll.BDP(B36&amp;" EQUITY","PX_YEST_CLOSE")</f>
        <v>319.08</v>
      </c>
      <c r="L36" s="53" cm="1">
        <f t="array" ref="L36">_xll.BDP(E36&amp;" Curncy","PX_LAST")</f>
        <v>1</v>
      </c>
      <c r="M36" s="52">
        <v>1</v>
      </c>
      <c r="N36" s="15">
        <f t="shared" ref="N36" si="47">IFERROR(IF(((I36/L36)*H36*M36)&lt;&gt;0,((I36/L36)*H36*M36),0),"-")</f>
        <v>686721</v>
      </c>
      <c r="O36" s="358">
        <f>IFERROR(IF(Tabelad[[#This Row],[D1 Exp USD]]&lt;&gt;0,N36/$AE$7,0),"-")</f>
        <v>3.0456591347584252E-4</v>
      </c>
      <c r="P36" s="20">
        <f>IFERROR(IF(Tabelad[[#This Row],[D1 Exp USD]]&lt;&gt;0,((I36-K36)/L36*M36*H36)/$AD$7*10000,0),"-")</f>
        <v>7.3857303870323035E-2</v>
      </c>
      <c r="Q36" s="15">
        <f>IF(SUM(SUMIFS(Options!$AL$4:$AL$33, Options!$D$4:$D$33, B36), SUMIFS(Options!$AL$4:$AL$33, Options!$D$4:$D$33, B36 &amp; " US"))=0,0,SUM(SUMIFS(Options!$AL$4:$AL$33, Options!$D$4:$D$33, B36), SUMIFS(Options!$AL$4:$AL$33, Options!$D$4:$D$33, B36 &amp; " US")))</f>
        <v>-36889.628019183889</v>
      </c>
      <c r="R36" s="19">
        <f t="shared" ref="R36" si="48">Q36/$AE$7</f>
        <v>-1.6360826675530204E-5</v>
      </c>
      <c r="S36" s="20">
        <f>IF(SUM(SUMIFS(Options!$AK$4:$AK$33, Options!$D$4:$D$33, B36), SUMIFS(Options!$AK$4:$AK$33, Options!$D$4:$D$33, B36 &amp; " US"))=0,0,SUM(SUMIFS(Options!$AK$4:$AK$33, Options!$D$4:$D$33, B36), SUMIFS(Options!AK$4:$AK$33, Options!$D$4:$D$33, B36 &amp; " US")))</f>
        <v>-1.8338262350867614E-2</v>
      </c>
      <c r="T36" s="13">
        <f t="shared" ref="T36" si="49">N36+Q36</f>
        <v>649831.37198081613</v>
      </c>
      <c r="U36" s="48">
        <f t="shared" ref="U36" si="50">T36/$AE$7</f>
        <v>2.8820508680031236E-4</v>
      </c>
      <c r="V36" s="20">
        <f t="shared" ref="V36" si="51">P36+S36</f>
        <v>5.5519041519455421E-2</v>
      </c>
      <c r="W36" s="15">
        <f t="shared" ref="W36" si="52">$W$10/(I36/L36*M36)</f>
        <v>2275.3695319714993</v>
      </c>
      <c r="X36" s="19"/>
      <c r="Y36" s="376">
        <f>Tabelad[[#This Row],[Exp %]]*$Y$10*$AD$7/Tabelad[[#This Row],[Price Today]]</f>
        <v>695.51689609885216</v>
      </c>
      <c r="Z36" s="266">
        <f>Tabelad[[#This Row],[Vol 10d]]/16*Tabelad[[#This Row],[Exp %]]*100</f>
        <v>0.10096017152138714</v>
      </c>
      <c r="AA36" s="19">
        <f>Tabelad[[#This Row],[Exp %]]*Tabelad[[#This Row],[Beta Adj2]]</f>
        <v>4.4752597529458727E-4</v>
      </c>
      <c r="AB36" s="36">
        <f>_xll.BDP($B36&amp;" Equity","volatility_10d")</f>
        <v>56.049071245623949</v>
      </c>
      <c r="AC36" s="36" cm="1">
        <f t="array" ref="AC36">_xll.BDP(B36&amp;" EQUITY","eqy_beta")</f>
        <v>1.5528038740158081</v>
      </c>
      <c r="AD36" s="15">
        <f>Tabelad[[#This Row],[D1 P&amp;L bps]]*$AD$5/10000</f>
        <v>15568.440168668487</v>
      </c>
      <c r="AE36" s="277"/>
      <c r="AF36" s="231" t="str">
        <f>_xll.BDP(B36&amp;" Equity","EXPECTED_REPORT_DT")</f>
        <v>12/02/2026</v>
      </c>
      <c r="AG36" s="172">
        <f>_xll.BDP(B36&amp;" Index","CHG_PCT_1D_PRE_FROM_REGULAR")/100</f>
        <v>2.294098E-2</v>
      </c>
      <c r="AH36" s="20">
        <f t="shared" ref="AH36" si="53">(T36*AG36)/$AD$7*10000</f>
        <v>6.6117071321842288E-2</v>
      </c>
      <c r="AI36" s="479" t="str">
        <f>_xll.BDP(B36&amp;" Equity","DVD_EX_DT")</f>
        <v>19/02/2026</v>
      </c>
    </row>
    <row r="37" spans="1:35">
      <c r="B37" s="40" t="s">
        <v>2183</v>
      </c>
      <c r="C37" t="s">
        <v>2184</v>
      </c>
      <c r="E37" t="s">
        <v>194</v>
      </c>
      <c r="F37" s="22" t="s">
        <v>99</v>
      </c>
      <c r="G37" s="15"/>
      <c r="H37" s="498">
        <v>22000</v>
      </c>
      <c r="I37" s="36" cm="1">
        <f t="array" ref="I37">_xll.BDP(B37&amp;" Equity","LAST_PRICE")</f>
        <v>19.239999999999998</v>
      </c>
      <c r="J37" s="51">
        <f>I37/K37-1</f>
        <v>0.16113458056729013</v>
      </c>
      <c r="K37" s="440" cm="1">
        <f t="array" ref="K37">_xll.BDP(B37&amp;" EQUITY","PX_YEST_CLOSE")</f>
        <v>16.57</v>
      </c>
      <c r="L37" s="53" cm="1">
        <f t="array" ref="L37">_xll.BDP(E37&amp;" Curncy","PX_LAST")</f>
        <v>1</v>
      </c>
      <c r="M37" s="52">
        <v>1</v>
      </c>
      <c r="N37" s="15">
        <f>IFERROR(IF(((I37/L37)*H37*M37)&lt;&gt;0,((I37/L37)*H37*M37),0),"-")</f>
        <v>423279.99999999994</v>
      </c>
      <c r="O37" s="358">
        <f>IFERROR(IF(Tabelad[[#This Row],[D1 Exp USD]]&lt;&gt;0,N37/$AE$7,0),"-")</f>
        <v>1.8772785433393563E-4</v>
      </c>
      <c r="P37" s="20">
        <f>IFERROR(IF(Tabelad[[#This Row],[D1 Exp USD]]&lt;&gt;0,((I37-K37)/L37*M37*H37)/$AD$7*10000,0),"-")</f>
        <v>0.26051630513077334</v>
      </c>
      <c r="Q37" s="15">
        <f>IF(SUM(SUMIFS(Options!$AL$4:$AL$33, Options!$D$4:$D$33, B37), SUMIFS(Options!$AL$4:$AL$33, Options!$D$4:$D$33, B37 &amp; " US"))=0,0,SUM(SUMIFS(Options!$AL$4:$AL$33, Options!$D$4:$D$33, B37), SUMIFS(Options!$AL$4:$AL$33, Options!$D$4:$D$33, B37 &amp; " US")))</f>
        <v>0</v>
      </c>
      <c r="R37" s="19">
        <f>Q37/$AE$7</f>
        <v>0</v>
      </c>
      <c r="S37" s="20">
        <f>IF(SUM(SUMIFS(Options!$AK$4:$AK$33, Options!$D$4:$D$33, B37), SUMIFS(Options!$AK$4:$AK$33, Options!$D$4:$D$33, B37 &amp; " US"))=0,0,SUM(SUMIFS(Options!$AK$4:$AK$33, Options!$D$4:$D$33, B37), SUMIFS(Options!AK$4:$AK$33, Options!$D$4:$D$33, B37 &amp; " US")))</f>
        <v>0</v>
      </c>
      <c r="T37" s="13">
        <f>N37+Q37</f>
        <v>423279.99999999994</v>
      </c>
      <c r="U37" s="48">
        <f>T37/$AE$7</f>
        <v>1.8772785433393563E-4</v>
      </c>
      <c r="V37" s="20">
        <f>P37+S37</f>
        <v>0.26051630513077334</v>
      </c>
      <c r="W37" s="15">
        <f>$W$10/(I37/L37*M37)</f>
        <v>38673.003672037426</v>
      </c>
      <c r="X37" s="19"/>
      <c r="Y37" s="376">
        <f>Tabelad[[#This Row],[Exp %]]*$Y$10*$AD$7/Tabelad[[#This Row],[Price Today]]</f>
        <v>7699.9999999999973</v>
      </c>
      <c r="Z37" s="266">
        <f>Tabelad[[#This Row],[Vol 10d]]/16*Tabelad[[#This Row],[Exp %]]*100</f>
        <v>9.2622983519129939E-2</v>
      </c>
      <c r="AA37" s="19">
        <f>Tabelad[[#This Row],[Exp %]]*Tabelad[[#This Row],[Beta Adj2]]</f>
        <v>3.9262959301266634E-4</v>
      </c>
      <c r="AB37" s="36">
        <f>_xll.BDP($B37&amp;" Equity","volatility_10d")</f>
        <v>78.942346705242414</v>
      </c>
      <c r="AC37" s="36" cm="1">
        <f t="array" ref="AC37">_xll.BDP(B37&amp;" EQUITY","eqy_beta")</f>
        <v>2.0914828777313232</v>
      </c>
      <c r="AD37" s="15">
        <f>Tabelad[[#This Row],[D1 P&amp;L bps]]*$AD$5/10000</f>
        <v>54914.440371559824</v>
      </c>
      <c r="AE37" s="277"/>
      <c r="AF37" s="231" t="str">
        <f>_xll.BDP(B37&amp;" Equity","EXPECTED_REPORT_DT")</f>
        <v>24/02/2026</v>
      </c>
      <c r="AG37" s="172">
        <f>_xll.BDP(B37&amp;" Index","CHG_PCT_1D_PRE_FROM_REGULAR")/100</f>
        <v>6.8195599999999995E-2</v>
      </c>
      <c r="AH37" s="20">
        <f>(T37*AG37)/$AD$7*10000</f>
        <v>0.12802213663015341</v>
      </c>
      <c r="AI37" s="479" t="str">
        <f>_xll.BDP(B37&amp;" Equity","DVD_EX_DT")</f>
        <v>12/10/2017</v>
      </c>
    </row>
    <row r="38" spans="1:35" s="59" customFormat="1">
      <c r="A38" s="519"/>
      <c r="B38" s="425" t="s">
        <v>690</v>
      </c>
      <c r="C38" s="59" t="s">
        <v>2184</v>
      </c>
      <c r="E38" s="59" t="s">
        <v>194</v>
      </c>
      <c r="F38" s="163" t="s">
        <v>99</v>
      </c>
      <c r="G38" s="405"/>
      <c r="H38" s="520">
        <v>3300</v>
      </c>
      <c r="I38" s="36" cm="1">
        <f t="array" ref="I38">_xll.BDP(B38&amp;" Equity","LAST_PRICE")</f>
        <v>307.70999999999998</v>
      </c>
      <c r="J38" s="521">
        <f>I38/K38-1</f>
        <v>-9.8153575615474775E-2</v>
      </c>
      <c r="K38" s="440" cm="1">
        <f t="array" ref="K38">_xll.BDP(B38&amp;" EQUITY","PX_YEST_CLOSE")</f>
        <v>341.2</v>
      </c>
      <c r="L38" s="8" cm="1">
        <f t="array" ref="L38">_xll.BDP(E38&amp;" Curncy","PX_LAST")</f>
        <v>1</v>
      </c>
      <c r="M38" s="523">
        <v>1</v>
      </c>
      <c r="N38" s="405">
        <f>IFERROR(IF(((I38/L38)*H38*M38)&lt;&gt;0,((I38/L38)*H38*M38),0),"-")</f>
        <v>1015442.9999999999</v>
      </c>
      <c r="O38" s="524"/>
      <c r="P38" s="525">
        <f>IFERROR(IF(Tabelad[[#This Row],[D1 Exp USD]]&lt;&gt;0,((I38-K38)/L38*M38*H38)/$AD$7*10000,0),"-")</f>
        <v>-0.49015118308031502</v>
      </c>
      <c r="Q38" s="405">
        <f>IF(SUM(SUMIFS(Options!$AL$4:$AL$33, Options!$D$4:$D$33, B38), SUMIFS(Options!$AL$4:$AL$33, Options!$D$4:$D$33, B38 &amp; " US"))=0,0,SUM(SUMIFS(Options!$AL$4:$AL$33, Options!$D$4:$D$33, B38), SUMIFS(Options!$AL$4:$AL$33, Options!$D$4:$D$33, B38 &amp; " US")))</f>
        <v>0</v>
      </c>
      <c r="R38" s="128"/>
      <c r="S38" s="525">
        <f>IF(SUM(SUMIFS(Options!$AK$4:$AK$33, Options!$D$4:$D$33, B38), SUMIFS(Options!$AK$4:$AK$33, Options!$D$4:$D$33, B38 &amp; " US"))=0,0,SUM(SUMIFS(Options!$AK$4:$AK$33, Options!$D$4:$D$33, B38), SUMIFS(Options!AK$4:$AK$33, Options!$D$4:$D$33, B38 &amp; " US")))</f>
        <v>0</v>
      </c>
      <c r="T38" s="526">
        <f>N38+Q38</f>
        <v>1015442.9999999999</v>
      </c>
      <c r="U38" s="527"/>
      <c r="V38" s="525">
        <f>P38+S38</f>
        <v>-0.49015118308031502</v>
      </c>
      <c r="W38" s="405">
        <f>$W$10/(I38/L38*M38)</f>
        <v>2418.0838797894125</v>
      </c>
      <c r="X38" s="128"/>
      <c r="Y38" s="528">
        <f>Tabelad[[#This Row],[Exp %]]*$Y$10*$AD$7/Tabelad[[#This Row],[Price Today]]</f>
        <v>0</v>
      </c>
      <c r="Z38" s="529">
        <f>Tabelad[[#This Row],[Vol 10d]]/16*Tabelad[[#This Row],[Exp %]]*100</f>
        <v>0</v>
      </c>
      <c r="AA38" s="128">
        <f>Tabelad[[#This Row],[Exp %]]*Tabelad[[#This Row],[Beta Adj2]]</f>
        <v>0</v>
      </c>
      <c r="AB38" s="14">
        <f>_xll.BDP($B38&amp;" Equity","volatility_10d")</f>
        <v>84.235276267417106</v>
      </c>
      <c r="AC38" s="14" cm="1">
        <f t="array" ref="AC38">_xll.BDP(B38&amp;" EQUITY","eqy_beta")</f>
        <v>1.5320532321929932</v>
      </c>
      <c r="AD38" s="405">
        <f>Tabelad[[#This Row],[D1 P&amp;L bps]]*$AD$5/10000</f>
        <v>-103319.36000244606</v>
      </c>
      <c r="AE38" s="337"/>
      <c r="AF38" s="530" t="str">
        <f>_xll.BDP(B38&amp;" Equity","EXPECTED_REPORT_DT")</f>
        <v>18/02/2026</v>
      </c>
      <c r="AG38" s="531">
        <f>_xll.BDP(B38&amp;" Index","CHG_PCT_1D_PRE_FROM_REGULAR")/100</f>
        <v>-5.4806600000000004E-2</v>
      </c>
      <c r="AH38" s="525">
        <f>(T38*AG38)/$AD$7*10000</f>
        <v>-0.24682513248960508</v>
      </c>
      <c r="AI38" s="532" t="str">
        <f>_xll.BDP(B38&amp;" Equity","DVD_EX_DT")</f>
        <v>17/11/2025</v>
      </c>
    </row>
    <row r="39" spans="1:35" s="59" customFormat="1">
      <c r="A39" s="519"/>
      <c r="B39" s="425" t="s">
        <v>690</v>
      </c>
      <c r="C39" s="59" t="s">
        <v>2184</v>
      </c>
      <c r="E39" s="59" t="s">
        <v>194</v>
      </c>
      <c r="F39" s="163" t="s">
        <v>99</v>
      </c>
      <c r="G39" s="405"/>
      <c r="H39" s="520">
        <v>-3300</v>
      </c>
      <c r="I39" s="36" cm="1">
        <f t="array" ref="I39">_xll.BDP(B39&amp;" Equity","LAST_PRICE")</f>
        <v>307.70999999999998</v>
      </c>
      <c r="J39" s="521">
        <f>I39/K39-1</f>
        <v>-3.4938058648267378E-2</v>
      </c>
      <c r="K39" s="440">
        <v>318.85000000000002</v>
      </c>
      <c r="L39" s="8" cm="1">
        <f t="array" ref="L39">_xll.BDP(E39&amp;" Curncy","PX_LAST")</f>
        <v>1</v>
      </c>
      <c r="M39" s="523">
        <v>1</v>
      </c>
      <c r="N39" s="405">
        <f>IFERROR(IF(((I39/L39)*H39*M39)&lt;&gt;0,((I39/L39)*H39*M39),0),"-")</f>
        <v>-1015442.9999999999</v>
      </c>
      <c r="O39" s="524"/>
      <c r="P39" s="525">
        <f>IFERROR(IF(Tabelad[[#This Row],[D1 Exp USD]]&lt;&gt;0,((I39-K39)/L39*M39*H39)/$AD$7*10000,0),"-")</f>
        <v>0.16304222691892292</v>
      </c>
      <c r="Q39" s="405">
        <f>IF(SUM(SUMIFS(Options!$AL$4:$AL$33, Options!$D$4:$D$33, B39), SUMIFS(Options!$AL$4:$AL$33, Options!$D$4:$D$33, B39 &amp; " US"))=0,0,SUM(SUMIFS(Options!$AL$4:$AL$33, Options!$D$4:$D$33, B39), SUMIFS(Options!$AL$4:$AL$33, Options!$D$4:$D$33, B39 &amp; " US")))</f>
        <v>0</v>
      </c>
      <c r="R39" s="128"/>
      <c r="S39" s="525">
        <f>IF(SUM(SUMIFS(Options!$AK$4:$AK$33, Options!$D$4:$D$33, B39), SUMIFS(Options!$AK$4:$AK$33, Options!$D$4:$D$33, B39 &amp; " US"))=0,0,SUM(SUMIFS(Options!$AK$4:$AK$33, Options!$D$4:$D$33, B39), SUMIFS(Options!AK$4:$AK$33, Options!$D$4:$D$33, B39 &amp; " US")))</f>
        <v>0</v>
      </c>
      <c r="T39" s="526">
        <f>N39+Q39</f>
        <v>-1015442.9999999999</v>
      </c>
      <c r="U39" s="527"/>
      <c r="V39" s="525">
        <f>P39+S39</f>
        <v>0.16304222691892292</v>
      </c>
      <c r="W39" s="405">
        <f>$W$10/(I39/L39*M39)</f>
        <v>2418.0838797894125</v>
      </c>
      <c r="X39" s="128"/>
      <c r="Y39" s="528">
        <f>Tabelad[[#This Row],[Exp %]]*$Y$10*$AD$7/Tabelad[[#This Row],[Price Today]]</f>
        <v>0</v>
      </c>
      <c r="Z39" s="529">
        <f>Tabelad[[#This Row],[Vol 10d]]/16*Tabelad[[#This Row],[Exp %]]*100</f>
        <v>0</v>
      </c>
      <c r="AA39" s="128">
        <f>Tabelad[[#This Row],[Exp %]]*Tabelad[[#This Row],[Beta Adj2]]</f>
        <v>0</v>
      </c>
      <c r="AB39" s="14">
        <f>_xll.BDP($B39&amp;" Equity","volatility_10d")</f>
        <v>84.235276267417106</v>
      </c>
      <c r="AC39" s="14" cm="1">
        <f t="array" ref="AC39">_xll.BDP(B39&amp;" EQUITY","eqy_beta")</f>
        <v>1.5320532321929932</v>
      </c>
      <c r="AD39" s="405">
        <f>Tabelad[[#This Row],[D1 P&amp;L bps]]*$AD$5/10000</f>
        <v>34367.801446021302</v>
      </c>
      <c r="AE39" s="337"/>
      <c r="AF39" s="530" t="str">
        <f>_xll.BDP(B39&amp;" Equity","EXPECTED_REPORT_DT")</f>
        <v>18/02/2026</v>
      </c>
      <c r="AG39" s="531">
        <f>_xll.BDP(B39&amp;" Index","CHG_PCT_1D_PRE_FROM_REGULAR")/100</f>
        <v>-5.4806600000000004E-2</v>
      </c>
      <c r="AH39" s="525">
        <f>(T39*AG39)/$AD$7*10000</f>
        <v>0.24682513248960508</v>
      </c>
      <c r="AI39" s="532" t="str">
        <f>_xll.BDP(B39&amp;" Equity","DVD_EX_DT")</f>
        <v>17/11/2025</v>
      </c>
    </row>
    <row r="40" spans="1:35">
      <c r="A40" s="336" t="s">
        <v>151</v>
      </c>
      <c r="B40" s="40" t="s">
        <v>88</v>
      </c>
      <c r="C40" t="s">
        <v>2374</v>
      </c>
      <c r="E40" t="s">
        <v>194</v>
      </c>
      <c r="F40" s="22" t="s">
        <v>99</v>
      </c>
      <c r="G40" s="15"/>
      <c r="H40" s="498">
        <v>41300</v>
      </c>
      <c r="I40" s="36" cm="1">
        <f t="array" ref="I40">_xll.BDP(B40&amp;" Equity","LAST_PRICE")</f>
        <v>54.44</v>
      </c>
      <c r="J40" s="51">
        <f t="shared" ref="J40:J41" si="54">I40/K40-1</f>
        <v>1.2874747103182038E-3</v>
      </c>
      <c r="K40" s="440" cm="1">
        <f t="array" ref="K40">_xll.BDP(B40&amp;" EQUITY","PX_YEST_CLOSE")</f>
        <v>54.37</v>
      </c>
      <c r="L40" s="53" cm="1">
        <f t="array" ref="L40">_xll.BDP(E40&amp;" Curncy","PX_LAST")</f>
        <v>1</v>
      </c>
      <c r="M40" s="52">
        <v>1</v>
      </c>
      <c r="N40" s="15">
        <f t="shared" ref="N40:N41" si="55">IFERROR(IF(((I40/L40)*H40*M40)&lt;&gt;0,((I40/L40)*H40*M40),0),"-")</f>
        <v>2248372</v>
      </c>
      <c r="O40" s="358">
        <f>IFERROR(IF(Tabelad[[#This Row],[D1 Exp USD]]&lt;&gt;0,N40/$AE$7,0),"-")</f>
        <v>9.9716984337672372E-4</v>
      </c>
      <c r="P40" s="20">
        <f>IFERROR(IF(Tabelad[[#This Row],[D1 Exp USD]]&lt;&gt;0,((I40-K40)/L40*M40*H40)/$AD$7*10000,0),"-")</f>
        <v>1.2821801806827873E-2</v>
      </c>
      <c r="Q40" s="15">
        <f>IF(SUM(SUMIFS(Options!$AL$4:$AL$33, Options!$D$4:$D$33, B40), SUMIFS(Options!$AL$4:$AL$33, Options!$D$4:$D$33, B40 &amp; " US"))=0,0,SUM(SUMIFS(Options!$AL$4:$AL$33, Options!$D$4:$D$33, B40), SUMIFS(Options!$AL$4:$AL$33, Options!$D$4:$D$33, B40 &amp; " US")))</f>
        <v>0</v>
      </c>
      <c r="R40" s="19">
        <f t="shared" ref="R40:R41" si="56">Q40/$AE$7</f>
        <v>0</v>
      </c>
      <c r="S40" s="20">
        <f>IF(SUM(SUMIFS(Options!$AK$4:$AK$33, Options!$D$4:$D$33, B40), SUMIFS(Options!$AK$4:$AK$33, Options!$D$4:$D$33, B40 &amp; " US"))=0,0,SUM(SUMIFS(Options!$AK$4:$AK$33, Options!$D$4:$D$33, B40), SUMIFS(Options!AK$4:$AK$33, Options!$D$4:$D$33, B40 &amp; " US")))</f>
        <v>0</v>
      </c>
      <c r="T40" s="13">
        <f t="shared" ref="T40:T41" si="57">N40+Q40</f>
        <v>2248372</v>
      </c>
      <c r="U40" s="48">
        <f t="shared" ref="U40:U41" si="58">T40/$AE$7</f>
        <v>9.9716984337672372E-4</v>
      </c>
      <c r="V40" s="20">
        <f t="shared" ref="V40:V41" si="59">P40+S40</f>
        <v>1.2821801806827873E-2</v>
      </c>
      <c r="W40" s="15">
        <f t="shared" ref="W40:W41" si="60">$W$10/(I40/L40*M40)</f>
        <v>13667.681679831008</v>
      </c>
      <c r="X40" s="19"/>
      <c r="Y40" s="376">
        <f>Tabelad[[#This Row],[Exp %]]*$Y$10*$AD$7/Tabelad[[#This Row],[Price Today]]</f>
        <v>14455.000000000002</v>
      </c>
      <c r="Z40" s="266">
        <f>Tabelad[[#This Row],[Vol 10d]]/16*Tabelad[[#This Row],[Exp %]]*100</f>
        <v>0.12152348915359197</v>
      </c>
      <c r="AA40" s="19">
        <f>Tabelad[[#This Row],[Exp %]]*Tabelad[[#This Row],[Beta Adj2]]</f>
        <v>9.9730797253450585E-4</v>
      </c>
      <c r="AB40" s="36">
        <f>_xll.BDP($B40&amp;" Equity","volatility_10d")</f>
        <v>19.498943328181859</v>
      </c>
      <c r="AC40" s="36">
        <f>_xll.BDP(B40&amp;" EQUITY","eqy_beta")</f>
        <v>1.000138521194458</v>
      </c>
      <c r="AD40" s="15">
        <f>Tabelad[[#This Row],[D1 P&amp;L bps]]*$AD$5/10000</f>
        <v>2702.7178603026928</v>
      </c>
      <c r="AE40" s="277"/>
      <c r="AF40" s="231" t="str">
        <f>_xll.BDP(B40&amp;" Equity","EXPECTED_REPORT_DT")</f>
        <v>#N/A N/A</v>
      </c>
      <c r="AG40" s="172">
        <f>_xll.BDP(B40&amp;" Index","CHG_PCT_1D_PRE_FROM_REGULAR")/100</f>
        <v>-1.8389409999999999E-4</v>
      </c>
      <c r="AH40" s="20">
        <f t="shared" ref="AH40:AH41" si="61">(T40*AG40)/$AD$7*10000</f>
        <v>-1.8337365089490356E-3</v>
      </c>
      <c r="AI40" s="479" t="str">
        <f>_xll.BDP(B40&amp;" Equity","DVD_EX_DT")</f>
        <v>22/12/2025</v>
      </c>
    </row>
    <row r="41" spans="1:35">
      <c r="A41" s="336" t="s">
        <v>151</v>
      </c>
      <c r="B41" s="40" t="s">
        <v>4</v>
      </c>
      <c r="C41" t="s">
        <v>2374</v>
      </c>
      <c r="E41" t="s">
        <v>194</v>
      </c>
      <c r="F41" s="22" t="s">
        <v>100</v>
      </c>
      <c r="G41" s="15"/>
      <c r="H41" s="498">
        <v>-27500</v>
      </c>
      <c r="I41" s="36" cm="1">
        <f t="array" ref="I41">_xll.BDP(B41&amp;" Equity","LAST_PRICE")</f>
        <v>82.11</v>
      </c>
      <c r="J41" s="51">
        <f t="shared" si="54"/>
        <v>-3.1564890129902601E-3</v>
      </c>
      <c r="K41" s="440" cm="1">
        <f t="array" ref="K41">_xll.BDP(B41&amp;" EQUITY","PX_YEST_CLOSE")</f>
        <v>82.37</v>
      </c>
      <c r="L41" s="53" cm="1">
        <f t="array" ref="L41">_xll.BDP(E41&amp;" Curncy","PX_LAST")</f>
        <v>1</v>
      </c>
      <c r="M41" s="52">
        <v>1</v>
      </c>
      <c r="N41" s="15">
        <f t="shared" si="55"/>
        <v>-2258025</v>
      </c>
      <c r="O41" s="358">
        <f>IFERROR(IF(Tabelad[[#This Row],[D1 Exp USD]]&lt;&gt;0,N41/$AE$7,0),"-")</f>
        <v>-1.0014510212681561E-3</v>
      </c>
      <c r="P41" s="20">
        <f>IFERROR(IF(Tabelad[[#This Row],[D1 Exp USD]]&lt;&gt;0,((I41-K41)/L41*M41*H41)/$AD$7*10000,0),"-")</f>
        <v>3.1710786205057323E-2</v>
      </c>
      <c r="Q41" s="15">
        <f>IF(SUM(SUMIFS(Options!$AL$4:$AL$33, Options!$D$4:$D$33, B41), SUMIFS(Options!$AL$4:$AL$33, Options!$D$4:$D$33, B41 &amp; " US"))=0,0,SUM(SUMIFS(Options!$AL$4:$AL$33, Options!$D$4:$D$33, B41), SUMIFS(Options!$AL$4:$AL$33, Options!$D$4:$D$33, B41 &amp; " US")))</f>
        <v>0</v>
      </c>
      <c r="R41" s="19">
        <f t="shared" si="56"/>
        <v>0</v>
      </c>
      <c r="S41" s="20">
        <f>IF(SUM(SUMIFS(Options!$AK$4:$AK$33, Options!$D$4:$D$33, B41), SUMIFS(Options!$AK$4:$AK$33, Options!$D$4:$D$33, B41 &amp; " US"))=0,0,SUM(SUMIFS(Options!$AK$4:$AK$33, Options!$D$4:$D$33, B41), SUMIFS(Options!AK$4:$AK$33, Options!$D$4:$D$33, B41 &amp; " US")))</f>
        <v>0</v>
      </c>
      <c r="T41" s="13">
        <f t="shared" si="57"/>
        <v>-2258025</v>
      </c>
      <c r="U41" s="48">
        <f t="shared" si="58"/>
        <v>-1.0014510212681561E-3</v>
      </c>
      <c r="V41" s="20">
        <f t="shared" si="59"/>
        <v>3.1710786205057323E-2</v>
      </c>
      <c r="W41" s="15">
        <f t="shared" si="60"/>
        <v>9061.851061381074</v>
      </c>
      <c r="X41" s="19"/>
      <c r="Y41" s="376">
        <f>Tabelad[[#This Row],[Exp %]]*$Y$10*$AD$7/Tabelad[[#This Row],[Price Today]]</f>
        <v>-9625</v>
      </c>
      <c r="Z41" s="266">
        <f>Tabelad[[#This Row],[Vol 10d]]/16*Tabelad[[#This Row],[Exp %]]*100</f>
        <v>-0.10584469890810484</v>
      </c>
      <c r="AA41" s="19">
        <f>Tabelad[[#This Row],[Exp %]]*Tabelad[[#This Row],[Beta Adj2]]</f>
        <v>-1.0043733797273453E-3</v>
      </c>
      <c r="AB41" s="36">
        <f>_xll.BDP($B41&amp;" Equity","volatility_10d")</f>
        <v>16.910614164486525</v>
      </c>
      <c r="AC41" s="36">
        <f>_xll.BDP(B41&amp;" EQUITY","eqy_beta")</f>
        <v>1.0029181241989136</v>
      </c>
      <c r="AD41" s="15">
        <f>Tabelad[[#This Row],[D1 P&amp;L bps]]*$AD$5/10000</f>
        <v>6684.3419927929972</v>
      </c>
      <c r="AE41" s="277"/>
      <c r="AF41" s="231" t="str">
        <f>_xll.BDP(B41&amp;" Equity","EXPECTED_REPORT_DT")</f>
        <v>#N/A N/A</v>
      </c>
      <c r="AG41" s="172">
        <f>_xll.BDP(B41&amp;" Index","CHG_PCT_1D_PRE_FROM_REGULAR")/100</f>
        <v>-3.763569E-3</v>
      </c>
      <c r="AH41" s="20">
        <f t="shared" si="61"/>
        <v>3.769030018663172E-2</v>
      </c>
      <c r="AI41" s="479" t="str">
        <f>_xll.BDP(B41&amp;" Equity","DVD_EX_DT")</f>
        <v>22/12/2025</v>
      </c>
    </row>
    <row r="42" spans="1:35">
      <c r="C42" s="40"/>
      <c r="D42" s="40"/>
      <c r="E42" s="40"/>
      <c r="H42" s="13"/>
      <c r="I42" s="53"/>
      <c r="K42" s="53"/>
      <c r="L42" s="53"/>
      <c r="M42" s="36"/>
      <c r="S42" s="277"/>
      <c r="U42" s="71"/>
      <c r="V42" s="65"/>
      <c r="X42" s="53"/>
      <c r="Y42" s="477"/>
      <c r="Z42" s="19"/>
      <c r="AG42" s="53"/>
      <c r="AI42" s="48"/>
    </row>
    <row r="43" spans="1:35">
      <c r="C43" s="21"/>
      <c r="D43" s="21"/>
      <c r="E43" s="21"/>
      <c r="H43" s="13"/>
      <c r="L43" s="3"/>
      <c r="S43" s="276"/>
    </row>
    <row r="44" spans="1:35">
      <c r="C44" s="21"/>
      <c r="D44" s="21"/>
      <c r="E44" s="21"/>
      <c r="H44" s="13"/>
      <c r="L44" s="3"/>
      <c r="S44" s="276"/>
    </row>
    <row r="45" spans="1:35">
      <c r="C45" s="21"/>
      <c r="D45" s="21"/>
      <c r="E45" s="21"/>
      <c r="H45" s="13"/>
      <c r="L45" s="3"/>
      <c r="S45" s="276"/>
    </row>
    <row r="46" spans="1:35">
      <c r="C46" s="21"/>
      <c r="D46" s="21"/>
      <c r="E46" s="21"/>
      <c r="H46" s="13"/>
      <c r="S46" s="276"/>
    </row>
    <row r="47" spans="1:35">
      <c r="C47" s="21"/>
      <c r="D47" s="21"/>
      <c r="E47" s="21"/>
      <c r="S47" s="276"/>
    </row>
    <row r="48" spans="1:35">
      <c r="C48" s="21"/>
      <c r="D48" s="21"/>
      <c r="E48" s="21"/>
      <c r="H48" s="13"/>
    </row>
    <row r="49" spans="3:5">
      <c r="C49" s="21"/>
      <c r="D49" s="21"/>
      <c r="E49" s="21"/>
    </row>
    <row r="50" spans="3:5">
      <c r="C50" s="21"/>
      <c r="D50" s="21"/>
      <c r="E50" s="21"/>
    </row>
    <row r="51" spans="3:5">
      <c r="C51" s="21"/>
      <c r="D51" s="21"/>
      <c r="E51" s="21"/>
    </row>
    <row r="52" spans="3:5">
      <c r="C52" s="21"/>
      <c r="D52" s="21"/>
      <c r="E52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1">
    <cfRule type="colorScale" priority="540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1">
    <cfRule type="colorScale" priority="540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0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1">
    <cfRule type="dataBar" priority="540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1">
    <cfRule type="colorScale" priority="540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1">
    <cfRule type="dataBar" priority="5406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1">
    <cfRule type="colorScale" priority="540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1">
    <cfRule type="colorScale" priority="540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0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1">
    <cfRule type="colorScale" priority="54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1">
    <cfRule type="colorScale" priority="540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AB12:AB41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52"/>
  <sheetViews>
    <sheetView zoomScale="90" zoomScaleNormal="90" workbookViewId="0">
      <pane xSplit="8" ySplit="3" topLeftCell="K4" activePane="bottomRight" state="frozen"/>
      <selection pane="topRight" activeCell="I1" sqref="I1"/>
      <selection pane="bottomLeft" activeCell="A4" sqref="A4"/>
      <selection pane="bottomRight" activeCell="AK10" sqref="AK10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-0.22129680154523856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Invalid Security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SUM(V4:V33)</f>
        <v>9.6647601986772553</v>
      </c>
      <c r="W1" s="50">
        <f>SUM(W4:W33)</f>
        <v>7.3886797119031238</v>
      </c>
      <c r="X1" s="50">
        <f>SUM(X4:X33)</f>
        <v>71.469999999999899</v>
      </c>
      <c r="Y1" s="269"/>
      <c r="AG1" s="43"/>
      <c r="AI1" s="417">
        <f>SUM(AI4:AI33)*252</f>
        <v>-9.8470369043052024</v>
      </c>
      <c r="AJ1" s="417"/>
      <c r="AK1" s="364" t="s">
        <v>1905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2172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1846</v>
      </c>
      <c r="BB3" s="10" t="s">
        <v>1849</v>
      </c>
      <c r="BC3" s="10" t="s">
        <v>1850</v>
      </c>
      <c r="BD3" s="10" t="s">
        <v>1851</v>
      </c>
    </row>
    <row r="4" spans="1:56" s="59" customFormat="1">
      <c r="A4" s="335"/>
      <c r="B4" s="73" t="s">
        <v>2330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35</v>
      </c>
      <c r="G4" s="73" t="str" cm="1">
        <f t="array" ref="G4">_xll.BDP(B4&amp;" Equity","QUOTED_CURRENCY_REALTIME")</f>
        <v>USD</v>
      </c>
      <c r="H4" s="42">
        <v>1500</v>
      </c>
      <c r="I4" s="410">
        <v>0.54</v>
      </c>
      <c r="J4" s="416">
        <f>VLOOKUP(B4,Precificação!$B:$O,14,FALSE)</f>
        <v>0.44075866123608032</v>
      </c>
      <c r="K4" s="74">
        <f t="shared" ref="K4" si="0">+J4</f>
        <v>0.44075866123608032</v>
      </c>
      <c r="L4" s="74" cm="1">
        <f t="array" ref="L4">_xll.BDP($B4&amp;" Equity","mid")</f>
        <v>0.27</v>
      </c>
      <c r="M4" s="75">
        <f t="shared" ref="M4:M27" si="1">L4/Z4</f>
        <v>8.045292014302742E-3</v>
      </c>
      <c r="N4" s="353"/>
      <c r="O4" s="75">
        <f t="shared" ref="O4:O27" si="2">L4/K4-1</f>
        <v>-0.38741986545924756</v>
      </c>
      <c r="P4" s="74" cm="1">
        <f t="array" ref="P4">_xll.BDP($B4&amp;" Equity","bid")</f>
        <v>0.03</v>
      </c>
      <c r="Q4" s="74" cm="1">
        <f t="array" ref="Q4">_xll.BDP($B4&amp;" Equity","ask")</f>
        <v>0.5</v>
      </c>
      <c r="R4" s="76">
        <f t="shared" ref="R4:R27" si="3">(Q4/P4-1)</f>
        <v>15.666666666666668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27" si="4">(L4/S4)*H4*T4</f>
        <v>40500</v>
      </c>
      <c r="V4" s="113">
        <f>U4/'Master P&amp;L'!$AD$7*10000</f>
        <v>0.17962053724542604</v>
      </c>
      <c r="W4" s="113">
        <f>(Y4*H4*T4/S4)/'Master P&amp;L'!$AD$7*10000</f>
        <v>0.17962053724542604</v>
      </c>
      <c r="X4" s="118">
        <f t="shared" ref="X4:X27" si="5">IF(C4="Put",IF(Z4&lt;AA4,AA4-Z4,0),IF(Z4&gt;AA4,Z4-AA4,0))</f>
        <v>0</v>
      </c>
      <c r="Y4" s="272">
        <f t="shared" ref="Y4:Y27" si="6">L4-X4</f>
        <v>0.27</v>
      </c>
      <c r="Z4" s="77">
        <f>_xll.BDP(D4&amp;" Equity","LAST_PRICE")</f>
        <v>33.56</v>
      </c>
      <c r="AA4" s="77" cm="1">
        <f t="array" ref="AA4">_xll.BDP(B4&amp;" Equity","OPT_STRIKE_PX")</f>
        <v>35</v>
      </c>
      <c r="AB4" s="76">
        <f t="shared" ref="AB4:AB27" si="7">AA4/Z4-1</f>
        <v>4.2908224076281254E-2</v>
      </c>
      <c r="AC4" s="323" cm="1">
        <f t="array" ref="AC4">_xll.BDP($D4&amp;" Equity","volatility_10d")</f>
        <v>15.696780491826235</v>
      </c>
      <c r="AD4" s="77" cm="1">
        <f t="array" ref="AD4">_xll.BDP(B4&amp;" Equity","ivol_mid")</f>
        <v>19.5303</v>
      </c>
      <c r="AE4" s="77">
        <f t="shared" ref="AE4:AE27" si="8">AD4/AC4</f>
        <v>1.2442232985401045</v>
      </c>
      <c r="AF4" s="78" cm="1">
        <f t="array" ref="AF4">_xll.BDP(B4&amp;" Equity","DELTA_MID_RT")</f>
        <v>0.24924589693546295</v>
      </c>
      <c r="AG4" s="75">
        <f>AL4/'Master P&amp;L'!$AE$7</f>
        <v>5.5647056482443905E-4</v>
      </c>
      <c r="AH4" s="75">
        <f>AM4/'Master P&amp;L'!$AE$7</f>
        <v>2.2326167518357401E-3</v>
      </c>
      <c r="AI4" s="437">
        <f>AO4/'Master P&amp;L'!$AD$7*10000</f>
        <v>-5.83864297441067E-3</v>
      </c>
      <c r="AJ4" s="351">
        <f t="shared" ref="AJ4:AJ27" si="9">(252*AI4)/$AI$1</f>
        <v>0.14941936786163645</v>
      </c>
      <c r="AK4" s="78">
        <f>AP4/'Master P&amp;L'!$AD$7*10000</f>
        <v>-0.11359912026123871</v>
      </c>
      <c r="AL4" s="42">
        <f t="shared" ref="AL4:AL27" si="10">Z4*AF4*H4*T4/S4</f>
        <v>1254703.8451731207</v>
      </c>
      <c r="AM4" s="42">
        <f t="shared" ref="AM4:AM27" si="11">IF(C4="Put",-Z4*H4*T4/S4,Z4*H4*T4/S4)</f>
        <v>5034000</v>
      </c>
      <c r="AN4" s="78" cm="1">
        <f t="array" ref="AN4">_xll.BDP($B4&amp;" Equity","theta_mid_rt")</f>
        <v>-8.7764663621783257E-3</v>
      </c>
      <c r="AO4" s="42">
        <f t="shared" ref="AO4:AO27" si="12">AN4*H4*T4/S4</f>
        <v>-1316.4699543267488</v>
      </c>
      <c r="AP4" s="42">
        <f t="shared" ref="AP4:AP27" si="13">(L4-K4)*T4/S4*H4</f>
        <v>-25613.799185412045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6.3746999999999998E-2</v>
      </c>
      <c r="AS4" s="73">
        <f t="shared" ref="AS4:AS33" si="14">$Z4*($AR4*$Z4*$AS$3)*$H4*$T4/$S4</f>
        <v>107694.8447688</v>
      </c>
      <c r="AT4" s="73">
        <f t="shared" ref="AT4:AT33" si="15">$Z4*($AR4*$Z4*$AT$3)*$H4*$T4/$S4</f>
        <v>538474.22384400002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42">
        <v>0.27</v>
      </c>
      <c r="AZ4" s="355"/>
      <c r="BA4" s="42">
        <f t="shared" ref="BA4:BA27" si="16">+AY4</f>
        <v>0.27</v>
      </c>
      <c r="BB4" s="347">
        <f t="shared" ref="BB4:BB27" si="17">+J4</f>
        <v>0.44075866123608032</v>
      </c>
      <c r="BC4" s="347">
        <f t="shared" ref="BC4:BC27" si="18">(BB4-BA4)*H4*100</f>
        <v>25613.799185412045</v>
      </c>
      <c r="BD4" s="347">
        <f>BC4/'Master P&amp;L'!$AD$7*10000</f>
        <v>0.11359912026123871</v>
      </c>
    </row>
    <row r="5" spans="1:56">
      <c r="A5" s="357"/>
      <c r="B5" t="s">
        <v>2154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153</v>
      </c>
      <c r="G5" t="str" cm="1">
        <f t="array" ref="G5">_xll.BDP(B5&amp;" Equity","QUOTED_CURRENCY_REALTIME")</f>
        <v>USD</v>
      </c>
      <c r="H5" s="15">
        <v>-50</v>
      </c>
      <c r="I5" s="411">
        <v>23.39</v>
      </c>
      <c r="J5" s="416">
        <f>VLOOKUP(B5,Precificação!$B:$O,14,FALSE)</f>
        <v>22.25</v>
      </c>
      <c r="K5" s="74">
        <f t="shared" ref="K5:K33" si="19">+J5</f>
        <v>22.25</v>
      </c>
      <c r="L5" s="74" cm="1">
        <f t="array" ref="L5">_xll.BDP($B5&amp;" Equity","mid")</f>
        <v>25.4</v>
      </c>
      <c r="M5" s="19">
        <f t="shared" si="1"/>
        <v>7.2218589178584633E-2</v>
      </c>
      <c r="N5" s="351"/>
      <c r="O5" s="19">
        <f t="shared" si="2"/>
        <v>0.14157303370786511</v>
      </c>
      <c r="P5" s="36" cm="1">
        <f t="array" ref="P5">_xll.BDP($B5&amp;" Equity","bid")</f>
        <v>25.15</v>
      </c>
      <c r="Q5" s="36" cm="1">
        <f t="array" ref="Q5">_xll.BDP($B5&amp;" Equity","ask")</f>
        <v>25.65</v>
      </c>
      <c r="R5" s="40">
        <f t="shared" si="3"/>
        <v>1.9880715705765439E-2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-127000</v>
      </c>
      <c r="V5" s="124">
        <f>U5/'Master P&amp;L'!$AD$7*10000</f>
        <v>-0.56325452420170641</v>
      </c>
      <c r="W5" s="124">
        <f>(Y5*H5*T5/S5)/'Master P&amp;L'!$AD$7*10000</f>
        <v>-0.56325452420170641</v>
      </c>
      <c r="X5" s="414">
        <f t="shared" si="5"/>
        <v>0</v>
      </c>
      <c r="Y5" s="273">
        <f t="shared" si="6"/>
        <v>25.4</v>
      </c>
      <c r="Z5" s="37">
        <f>_xll.BDP(D5&amp;" Equity","LAST_PRICE")</f>
        <v>351.71</v>
      </c>
      <c r="AA5" s="37" cm="1">
        <f t="array" ref="AA5">_xll.BDP(B5&amp;" Equity","OPT_STRIKE_PX")</f>
        <v>410</v>
      </c>
      <c r="AB5" s="40">
        <f t="shared" si="7"/>
        <v>0.16573313241022447</v>
      </c>
      <c r="AC5" s="324" cm="1">
        <f t="array" ref="AC5">_xll.BDP($D5&amp;" Equity","volatility_10d")</f>
        <v>39.954665954472937</v>
      </c>
      <c r="AD5" s="37" cm="1">
        <f t="array" ref="AD5">_xll.BDP(B5&amp;" Equity","ivol_mid")</f>
        <v>48.497860000000003</v>
      </c>
      <c r="AE5" s="37">
        <f t="shared" si="8"/>
        <v>1.213822186756905</v>
      </c>
      <c r="AF5" s="38" cm="1">
        <f t="array" ref="AF5">_xll.BDP(B5&amp;" Equity","DELTA_MID_RT")</f>
        <v>0.38731756806373596</v>
      </c>
      <c r="AG5" s="19">
        <f>AL5/'Master P&amp;L'!$AE$7</f>
        <v>-3.0208063463443196E-4</v>
      </c>
      <c r="AH5" s="19">
        <f>AM5/'Master P&amp;L'!$AE$7</f>
        <v>-7.7993011301961479E-4</v>
      </c>
      <c r="AI5" s="436">
        <f>AO5/'Master P&amp;L'!$AD$7*10000</f>
        <v>3.0310685289421284E-3</v>
      </c>
      <c r="AJ5" s="351">
        <f t="shared" si="9"/>
        <v>-7.7569453300156119E-2</v>
      </c>
      <c r="AK5" s="38">
        <f>AP5/'Master P&amp;L'!$AD$7*10000</f>
        <v>-6.9852431150998998E-2</v>
      </c>
      <c r="AL5" s="15">
        <f t="shared" si="10"/>
        <v>-681117.30931848288</v>
      </c>
      <c r="AM5" s="15">
        <f t="shared" si="11"/>
        <v>-1758550</v>
      </c>
      <c r="AN5" s="38" cm="1">
        <f t="array" ref="AN5">_xll.BDP($B5&amp;" Equity","theta_mid_rt")</f>
        <v>-0.13668623566627502</v>
      </c>
      <c r="AO5" s="15">
        <f t="shared" si="12"/>
        <v>683.43117833137512</v>
      </c>
      <c r="AP5" s="15">
        <f t="shared" si="13"/>
        <v>-15749.999999999995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1.1831E-2</v>
      </c>
      <c r="AS5">
        <f t="shared" si="14"/>
        <v>-73174.69010135498</v>
      </c>
      <c r="AT5">
        <f t="shared" si="15"/>
        <v>-365873.45050677488</v>
      </c>
      <c r="AU5" t="s">
        <v>151</v>
      </c>
      <c r="AV5" s="277" cm="1">
        <f t="array" ref="AV5">_xll.BDP($D5&amp;" Equity","EST_PE_NXT_YR")*(AA5/Z5)</f>
        <v>28.407912693901331</v>
      </c>
      <c r="AX5" s="15"/>
      <c r="AY5" s="15">
        <v>25.4</v>
      </c>
      <c r="AZ5" s="356"/>
      <c r="BA5" s="15">
        <f t="shared" si="16"/>
        <v>25.4</v>
      </c>
      <c r="BB5" s="415">
        <f t="shared" si="17"/>
        <v>22.25</v>
      </c>
      <c r="BC5" s="415">
        <f t="shared" si="18"/>
        <v>15749.999999999995</v>
      </c>
      <c r="BD5" s="415">
        <f>BC5/'Master P&amp;L'!$AD$7*10000</f>
        <v>6.9852431150998998E-2</v>
      </c>
    </row>
    <row r="6" spans="1:56" s="59" customFormat="1">
      <c r="A6" s="335"/>
      <c r="B6" s="73" t="s">
        <v>2152</v>
      </c>
      <c r="C6" s="73" t="str" cm="1">
        <f t="array" ref="C6">_xll.BDP($B6&amp;" Equity","opt_put_call")</f>
        <v>Call</v>
      </c>
      <c r="D6" s="73" t="str" cm="1">
        <f t="array" ref="D6">_xll.BDP(B6&amp;" Equity","OPT_UNDL_TICKER")</f>
        <v>AVGO US</v>
      </c>
      <c r="E6" s="73" t="str" cm="1">
        <f t="array" ref="E6">_xll.BDP($B6&amp;" Equity","mifid_Maturity_date")</f>
        <v>18/06/2026</v>
      </c>
      <c r="F6" s="73" cm="1">
        <f t="array" ref="F6">_xll.BDP($B6&amp;" Equity","opt_days_expire")</f>
        <v>153</v>
      </c>
      <c r="G6" s="73" t="str" cm="1">
        <f t="array" ref="G6">_xll.BDP(B6&amp;" Equity","QUOTED_CURRENCY_REALTIME")</f>
        <v>USD</v>
      </c>
      <c r="H6" s="42">
        <v>50</v>
      </c>
      <c r="I6" s="410">
        <v>43.25</v>
      </c>
      <c r="J6" s="416">
        <f>VLOOKUP(B6,Precificação!$B:$O,14,FALSE)</f>
        <v>42.875</v>
      </c>
      <c r="K6" s="74">
        <f t="shared" si="19"/>
        <v>42.875</v>
      </c>
      <c r="L6" s="74" cm="1">
        <f t="array" ref="L6">_xll.BDP($B6&amp;" Equity","mid")</f>
        <v>47.6</v>
      </c>
      <c r="M6" s="75">
        <f t="shared" si="1"/>
        <v>0.13533877342128459</v>
      </c>
      <c r="N6" s="353"/>
      <c r="O6" s="75">
        <f t="shared" si="2"/>
        <v>0.11020408163265305</v>
      </c>
      <c r="P6" s="74" cm="1">
        <f t="array" ref="P6">_xll.BDP($B6&amp;" Equity","bid")</f>
        <v>47.4</v>
      </c>
      <c r="Q6" s="74" cm="1">
        <f t="array" ref="Q6">_xll.BDP($B6&amp;" Equity","ask")</f>
        <v>47.8</v>
      </c>
      <c r="R6" s="76">
        <f t="shared" si="3"/>
        <v>8.4388185654007408E-3</v>
      </c>
      <c r="S6" s="36" cm="1">
        <f t="array" ref="S6">_xll.BDP(G6&amp;" Curncy","PX_LAST")</f>
        <v>1</v>
      </c>
      <c r="T6" s="42" cm="1">
        <f t="array" ref="T6">_xll.BDP(B6&amp;" Equity","OPT_MULTIPLIER")</f>
        <v>100</v>
      </c>
      <c r="U6" s="42">
        <f t="shared" si="4"/>
        <v>238000</v>
      </c>
      <c r="V6" s="113">
        <f>U6/'Master P&amp;L'!$AD$7*10000</f>
        <v>1.0555478485039853</v>
      </c>
      <c r="W6" s="113">
        <f>(Y6*H6*T6/S6)/'Master P&amp;L'!$AD$7*10000</f>
        <v>1.0176279573077291</v>
      </c>
      <c r="X6" s="118">
        <f t="shared" si="5"/>
        <v>1.7099999999999795</v>
      </c>
      <c r="Y6" s="272">
        <f t="shared" si="6"/>
        <v>45.890000000000022</v>
      </c>
      <c r="Z6" s="77">
        <f>_xll.BDP(D6&amp;" Equity","LAST_PRICE")</f>
        <v>351.71</v>
      </c>
      <c r="AA6" s="77" cm="1">
        <f t="array" ref="AA6">_xll.BDP(B6&amp;" Equity","OPT_STRIKE_PX")</f>
        <v>350</v>
      </c>
      <c r="AB6" s="76">
        <f t="shared" si="7"/>
        <v>-4.8619601376133081E-3</v>
      </c>
      <c r="AC6" s="323" cm="1">
        <f t="array" ref="AC6">_xll.BDP($D6&amp;" Equity","volatility_10d")</f>
        <v>39.954665954472937</v>
      </c>
      <c r="AD6" s="77" cm="1">
        <f t="array" ref="AD6">_xll.BDP(B6&amp;" Equity","ivol_mid")</f>
        <v>49.347000000000001</v>
      </c>
      <c r="AE6" s="77">
        <f t="shared" si="8"/>
        <v>1.2350747734001664</v>
      </c>
      <c r="AF6" s="78" cm="1">
        <f t="array" ref="AF6">_xll.BDP(B6&amp;" Equity","DELTA_MID_RT")</f>
        <v>0.58753734827041626</v>
      </c>
      <c r="AG6" s="75">
        <f>AL6/'Master P&amp;L'!$AE$7</f>
        <v>4.5823807043979042E-4</v>
      </c>
      <c r="AH6" s="75">
        <f>AM6/'Master P&amp;L'!$AE$7</f>
        <v>7.7993011301961479E-4</v>
      </c>
      <c r="AI6" s="437">
        <f>AO6/'Master P&amp;L'!$AD$7*10000</f>
        <v>-3.0844895843938191E-3</v>
      </c>
      <c r="AJ6" s="351">
        <f t="shared" si="9"/>
        <v>7.8936575826927646E-2</v>
      </c>
      <c r="AK6" s="78">
        <f>AP6/'Master P&amp;L'!$AD$7*10000</f>
        <v>0.10477864672649856</v>
      </c>
      <c r="AL6" s="42">
        <f t="shared" si="10"/>
        <v>1033213.8038009403</v>
      </c>
      <c r="AM6" s="42">
        <f t="shared" si="11"/>
        <v>1758550</v>
      </c>
      <c r="AN6" s="78" cm="1">
        <f t="array" ref="AN6">_xll.BDP($B6&amp;" Equity","theta_mid_rt")</f>
        <v>-0.13909526169300079</v>
      </c>
      <c r="AO6" s="42">
        <f t="shared" si="12"/>
        <v>-695.47630846500397</v>
      </c>
      <c r="AP6" s="42">
        <f t="shared" si="13"/>
        <v>23625.000000000007</v>
      </c>
      <c r="AQ6" s="74" t="str" cm="1">
        <f t="array" ref="AQ6">_xll.BDP($D6&amp;" Equity","EXPECTED_REPORT_DT")</f>
        <v>06/03/2026</v>
      </c>
      <c r="AR6" s="235" cm="1">
        <f t="array" ref="AR6">_xll.BDP($B6&amp;" Equity","GAMMA_LAST")</f>
        <v>1.2342000000000001E-2</v>
      </c>
      <c r="AS6" s="73">
        <f t="shared" si="14"/>
        <v>76335.223162109993</v>
      </c>
      <c r="AT6" s="73">
        <f t="shared" si="15"/>
        <v>381676.11581054999</v>
      </c>
      <c r="AU6" s="73" t="s">
        <v>151</v>
      </c>
      <c r="AV6" s="322" cm="1">
        <f t="array" ref="AV6">_xll.BDP($D6&amp;" Equity","EST_PE_NXT_YR")*(AA6/Z6)</f>
        <v>24.250657177720647</v>
      </c>
      <c r="AW6" s="73"/>
      <c r="AX6" s="42"/>
      <c r="AY6" s="42">
        <v>47.6</v>
      </c>
      <c r="AZ6" s="355"/>
      <c r="BA6" s="42">
        <f t="shared" si="16"/>
        <v>47.6</v>
      </c>
      <c r="BB6" s="347">
        <f t="shared" si="17"/>
        <v>42.875</v>
      </c>
      <c r="BC6" s="347">
        <f t="shared" si="18"/>
        <v>-23625.000000000007</v>
      </c>
      <c r="BD6" s="347">
        <f>BC6/'Master P&amp;L'!$AD$7*10000</f>
        <v>-0.10477864672649856</v>
      </c>
    </row>
    <row r="7" spans="1:56" s="385" customFormat="1">
      <c r="A7" s="541" t="s">
        <v>151</v>
      </c>
      <c r="B7" s="385" t="s">
        <v>2375</v>
      </c>
      <c r="C7" s="385" t="str" cm="1">
        <f t="array" ref="C7">_xll.BDP($B7&amp;" Equity","opt_put_call")</f>
        <v>Call</v>
      </c>
      <c r="D7" s="385" t="str" cm="1">
        <f t="array" ref="D7">_xll.BDP(B7&amp;" Equity","OPT_UNDL_TICKER")</f>
        <v>QQQ US</v>
      </c>
      <c r="E7" s="385" t="str" cm="1">
        <f t="array" ref="E7">_xll.BDP($B7&amp;" Equity","mifid_Maturity_date")</f>
        <v>16/01/2026</v>
      </c>
      <c r="F7" s="385" cm="1">
        <f t="array" ref="F7">_xll.BDP($B7&amp;" Equity","opt_days_expire")</f>
        <v>0</v>
      </c>
      <c r="G7" s="385" t="str" cm="1">
        <f t="array" ref="G7">_xll.BDP(B7&amp;" Equity","QUOTED_CURRENCY_REALTIME")</f>
        <v>USD</v>
      </c>
      <c r="H7" s="542">
        <v>200</v>
      </c>
      <c r="I7" s="543">
        <v>0.09</v>
      </c>
      <c r="J7" s="123">
        <f>VLOOKUP(B7,Precificação!$B:$O,14,FALSE)</f>
        <v>1.3045484023607876E-2</v>
      </c>
      <c r="K7" s="123">
        <f t="shared" si="19"/>
        <v>1.3045484023607876E-2</v>
      </c>
      <c r="L7" s="123">
        <v>0</v>
      </c>
      <c r="M7" s="413">
        <f t="shared" ref="M7:M9" si="20">L7/Z7</f>
        <v>0</v>
      </c>
      <c r="N7" s="544"/>
      <c r="O7" s="413">
        <f t="shared" ref="O7:O9" si="21">L7/K7-1</f>
        <v>-1</v>
      </c>
      <c r="P7" s="123" t="str" cm="1">
        <f t="array" ref="P7">_xll.BDP($B7&amp;" Equity","bid")</f>
        <v>#N/A N/A</v>
      </c>
      <c r="Q7" s="123" cm="1">
        <f t="array" ref="Q7">_xll.BDP($B7&amp;" Equity","ask")</f>
        <v>0.01</v>
      </c>
      <c r="R7" s="545" t="e">
        <f t="shared" ref="R7:R9" si="22">(Q7/P7-1)</f>
        <v>#VALUE!</v>
      </c>
      <c r="S7" s="123" cm="1">
        <f t="array" ref="S7">_xll.BDP(G7&amp;" Curncy","PX_LAST")</f>
        <v>1</v>
      </c>
      <c r="T7" s="542" cm="1">
        <f t="array" ref="T7">_xll.BDP(B7&amp;" Equity","OPT_MULTIPLIER")</f>
        <v>100</v>
      </c>
      <c r="U7" s="542">
        <f t="shared" ref="U7:U9" si="23">(L7/S7)*H7*T7</f>
        <v>0</v>
      </c>
      <c r="V7" s="546">
        <f>U7/'Master P&amp;L'!$AD$7*10000</f>
        <v>0</v>
      </c>
      <c r="W7" s="546">
        <f>(Y7*H7*T7/S7)/'Master P&amp;L'!$AD$7*10000</f>
        <v>0</v>
      </c>
      <c r="X7" s="547">
        <f t="shared" ref="X7:X9" si="24">IF(C7="Put",IF(Z7&lt;AA7,AA7-Z7,0),IF(Z7&gt;AA7,Z7-AA7,0))</f>
        <v>0</v>
      </c>
      <c r="Y7" s="548">
        <f t="shared" ref="Y7:Y9" si="25">L7-X7</f>
        <v>0</v>
      </c>
      <c r="Z7" s="549">
        <f>_xll.BDP(D7&amp;" Equity","LAST_PRICE")</f>
        <v>621.26</v>
      </c>
      <c r="AA7" s="549" cm="1">
        <f t="array" ref="AA7">_xll.BDP(B7&amp;" Equity","OPT_STRIKE_PX")</f>
        <v>635</v>
      </c>
      <c r="AB7" s="545">
        <f t="shared" ref="AB7:AB9" si="26">AA7/Z7-1</f>
        <v>2.211634420371511E-2</v>
      </c>
      <c r="AC7" s="550" cm="1">
        <f t="array" ref="AC7">_xll.BDP($D7&amp;" Equity","volatility_10d")</f>
        <v>11.114803729180613</v>
      </c>
      <c r="AD7" s="549" cm="1">
        <f t="array" ref="AD7">_xll.BDP(B7&amp;" Equity","ivol_mid")</f>
        <v>13.848929999999999</v>
      </c>
      <c r="AE7" s="549">
        <f t="shared" ref="AE7:AE9" si="27">AD7/AC7</f>
        <v>1.2459896132615693</v>
      </c>
      <c r="AF7" s="551" cm="1">
        <f t="array" ref="AF7">_xll.BDP(B7&amp;" Equity","DELTA_MID_RT")</f>
        <v>3.4514530561864376E-3</v>
      </c>
      <c r="AG7" s="413">
        <f>AL7/'Master P&amp;L'!$AE$7</f>
        <v>1.9019816677340553E-5</v>
      </c>
      <c r="AH7" s="413">
        <f>AM7/'Master P&amp;L'!$AE$7</f>
        <v>5.5106693811897969E-3</v>
      </c>
      <c r="AI7" s="552">
        <f>AO7/'Master P&amp;L'!$AD$7*10000</f>
        <v>0</v>
      </c>
      <c r="AJ7" s="544">
        <f t="shared" ref="AJ7:AJ9" si="28">(252*AI7)/$AI$1</f>
        <v>0</v>
      </c>
      <c r="AK7" s="551">
        <f>AP7/'Master P&amp;L'!$AD$7*10000</f>
        <v>-1.1571539994800341E-3</v>
      </c>
      <c r="AL7" s="542">
        <f t="shared" ref="AL7:AL9" si="29">Z7*AF7*H7*T7/S7</f>
        <v>42884.994513727732</v>
      </c>
      <c r="AM7" s="542">
        <f t="shared" ref="AM7:AM9" si="30">IF(C7="Put",-Z7*H7*T7/S7,Z7*H7*T7/S7)</f>
        <v>12425200</v>
      </c>
      <c r="AN7" s="551" cm="1">
        <f t="array" ref="AN7">_xll.BDP($B7&amp;" Equity","theta_mid_rt")</f>
        <v>0</v>
      </c>
      <c r="AO7" s="542">
        <f t="shared" ref="AO7:AO9" si="31">AN7*H7*T7/S7</f>
        <v>0</v>
      </c>
      <c r="AP7" s="542">
        <f t="shared" ref="AP7:AP9" si="32">(L7-K7)*T7/S7*H7</f>
        <v>-260.9096804721575</v>
      </c>
      <c r="AQ7" s="123" t="str" cm="1">
        <f t="array" ref="AQ7">_xll.BDP($D7&amp;" Equity","EXPECTED_REPORT_DT")</f>
        <v>#N/A N/A</v>
      </c>
      <c r="AR7" s="553" cm="1">
        <f t="array" ref="AR7">_xll.BDP($B7&amp;" Equity","GAMMA_LAST")</f>
        <v>3.065E-2</v>
      </c>
      <c r="AS7" s="385">
        <f t="shared" si="14"/>
        <v>2365959.2439880003</v>
      </c>
      <c r="AT7" s="385">
        <f t="shared" si="15"/>
        <v>11829796.219940001</v>
      </c>
      <c r="AU7" s="385" t="s">
        <v>151</v>
      </c>
      <c r="AV7" s="369" t="e" cm="1">
        <f t="array" ref="AV7">_xll.BDP($D7&amp;" Equity","EST_PE_NXT_YR")*(AA7/Z7)</f>
        <v>#VALUE!</v>
      </c>
      <c r="AX7" s="542"/>
      <c r="AY7" s="542">
        <v>0</v>
      </c>
      <c r="AZ7" s="554"/>
      <c r="BA7" s="542">
        <f t="shared" ref="BA7:BA9" si="33">+AY7</f>
        <v>0</v>
      </c>
      <c r="BB7" s="555">
        <f t="shared" ref="BB7:BB9" si="34">+J7</f>
        <v>1.3045484023607876E-2</v>
      </c>
      <c r="BC7" s="555">
        <f t="shared" ref="BC7:BC9" si="35">(BB7-BA7)*H7*100</f>
        <v>260.9096804721575</v>
      </c>
      <c r="BD7" s="555">
        <f>BC7/'Master P&amp;L'!$AD$7*10000</f>
        <v>1.1571539994800341E-3</v>
      </c>
    </row>
    <row r="8" spans="1:56" s="385" customFormat="1">
      <c r="A8" s="541" t="s">
        <v>151</v>
      </c>
      <c r="B8" s="385" t="s">
        <v>2376</v>
      </c>
      <c r="C8" s="385" t="str" cm="1">
        <f t="array" ref="C8">_xll.BDP($B8&amp;" Equity","opt_put_call")</f>
        <v>Call</v>
      </c>
      <c r="D8" s="385" t="str" cm="1">
        <f t="array" ref="D8">_xll.BDP(B8&amp;" Equity","OPT_UNDL_TICKER")</f>
        <v>QQQ US</v>
      </c>
      <c r="E8" s="385" t="str" cm="1">
        <f t="array" ref="E8">_xll.BDP($B8&amp;" Equity","mifid_Maturity_date")</f>
        <v>16/01/2026</v>
      </c>
      <c r="F8" s="385" cm="1">
        <f t="array" ref="F8">_xll.BDP($B8&amp;" Equity","opt_days_expire")</f>
        <v>0</v>
      </c>
      <c r="G8" s="385" t="str" cm="1">
        <f t="array" ref="G8">_xll.BDP(B8&amp;" Equity","QUOTED_CURRENCY_REALTIME")</f>
        <v>USD</v>
      </c>
      <c r="H8" s="542">
        <v>-200</v>
      </c>
      <c r="I8" s="543">
        <v>0.17</v>
      </c>
      <c r="J8" s="123">
        <f>VLOOKUP(B8,Precificação!$B:$O,14,FALSE)</f>
        <v>3.5000000000000003E-2</v>
      </c>
      <c r="K8" s="123">
        <f t="shared" si="19"/>
        <v>3.5000000000000003E-2</v>
      </c>
      <c r="L8" s="123">
        <v>0</v>
      </c>
      <c r="M8" s="413">
        <f t="shared" si="20"/>
        <v>0</v>
      </c>
      <c r="N8" s="544"/>
      <c r="O8" s="413">
        <f t="shared" si="21"/>
        <v>-1</v>
      </c>
      <c r="P8" s="123" t="str" cm="1">
        <f t="array" ref="P8">_xll.BDP($B8&amp;" Equity","bid")</f>
        <v>#N/A N/A</v>
      </c>
      <c r="Q8" s="123" cm="1">
        <f t="array" ref="Q8">_xll.BDP($B8&amp;" Equity","ask")</f>
        <v>0.01</v>
      </c>
      <c r="R8" s="545" t="e">
        <f t="shared" si="22"/>
        <v>#VALUE!</v>
      </c>
      <c r="S8" s="123" cm="1">
        <f t="array" ref="S8">_xll.BDP(G8&amp;" Curncy","PX_LAST")</f>
        <v>1</v>
      </c>
      <c r="T8" s="542" cm="1">
        <f t="array" ref="T8">_xll.BDP(B8&amp;" Equity","OPT_MULTIPLIER")</f>
        <v>100</v>
      </c>
      <c r="U8" s="542">
        <f t="shared" si="23"/>
        <v>0</v>
      </c>
      <c r="V8" s="546">
        <f>U8/'Master P&amp;L'!$AD$7*10000</f>
        <v>0</v>
      </c>
      <c r="W8" s="546">
        <f>(Y8*H8*T8/S8)/'Master P&amp;L'!$AD$7*10000</f>
        <v>0</v>
      </c>
      <c r="X8" s="547">
        <f t="shared" si="24"/>
        <v>0</v>
      </c>
      <c r="Y8" s="548">
        <f t="shared" si="25"/>
        <v>0</v>
      </c>
      <c r="Z8" s="549">
        <f>_xll.BDP(D8&amp;" Equity","LAST_PRICE")</f>
        <v>621.26</v>
      </c>
      <c r="AA8" s="549" cm="1">
        <f t="array" ref="AA8">_xll.BDP(B8&amp;" Equity","OPT_STRIKE_PX")</f>
        <v>633</v>
      </c>
      <c r="AB8" s="545">
        <f t="shared" si="26"/>
        <v>1.8897080127482813E-2</v>
      </c>
      <c r="AC8" s="550" cm="1">
        <f t="array" ref="AC8">_xll.BDP($D8&amp;" Equity","volatility_10d")</f>
        <v>11.114803729180613</v>
      </c>
      <c r="AD8" s="549" cm="1">
        <f t="array" ref="AD8">_xll.BDP(B8&amp;" Equity","ivol_mid")</f>
        <v>13.478899999999999</v>
      </c>
      <c r="AE8" s="549">
        <f t="shared" si="27"/>
        <v>1.2126979772582696</v>
      </c>
      <c r="AF8" s="551" cm="1">
        <f t="array" ref="AF8">_xll.BDP(B8&amp;" Equity","DELTA_MID_RT")</f>
        <v>3.9505497552454472E-3</v>
      </c>
      <c r="AG8" s="413">
        <f>AL8/'Master P&amp;L'!$AE$7</f>
        <v>-2.1770173575097932E-5</v>
      </c>
      <c r="AH8" s="413">
        <f>AM8/'Master P&amp;L'!$AE$7</f>
        <v>-5.5106693811897969E-3</v>
      </c>
      <c r="AI8" s="552">
        <f>AO8/'Master P&amp;L'!$AD$7*10000</f>
        <v>0</v>
      </c>
      <c r="AJ8" s="544">
        <f t="shared" si="28"/>
        <v>0</v>
      </c>
      <c r="AK8" s="551">
        <f>AP8/'Master P&amp;L'!$AD$7*10000</f>
        <v>3.1045524955999573E-3</v>
      </c>
      <c r="AL8" s="542">
        <f t="shared" si="29"/>
        <v>-49086.37081887573</v>
      </c>
      <c r="AM8" s="542">
        <f t="shared" si="30"/>
        <v>-12425200</v>
      </c>
      <c r="AN8" s="551" cm="1">
        <f t="array" ref="AN8">_xll.BDP($B8&amp;" Equity","theta_mid_rt")</f>
        <v>0</v>
      </c>
      <c r="AO8" s="542">
        <f t="shared" si="31"/>
        <v>0</v>
      </c>
      <c r="AP8" s="542">
        <f t="shared" si="32"/>
        <v>700.00000000000011</v>
      </c>
      <c r="AQ8" s="123" t="str" cm="1">
        <f t="array" ref="AQ8">_xll.BDP($D8&amp;" Equity","EXPECTED_REPORT_DT")</f>
        <v>#N/A N/A</v>
      </c>
      <c r="AR8" s="553" cm="1">
        <f t="array" ref="AR8">_xll.BDP($B8&amp;" Equity","GAMMA_LAST")</f>
        <v>5.6496999999999999E-2</v>
      </c>
      <c r="AS8" s="385">
        <f t="shared" si="14"/>
        <v>-4361161.4814874399</v>
      </c>
      <c r="AT8" s="385">
        <f t="shared" si="15"/>
        <v>-21805807.407437202</v>
      </c>
      <c r="AU8" s="385" t="s">
        <v>151</v>
      </c>
      <c r="AV8" s="369" t="e" cm="1">
        <f t="array" ref="AV8">_xll.BDP($D8&amp;" Equity","EST_PE_NXT_YR")*(AA8/Z8)</f>
        <v>#VALUE!</v>
      </c>
      <c r="AX8" s="542"/>
      <c r="AY8" s="542">
        <v>0</v>
      </c>
      <c r="AZ8" s="554"/>
      <c r="BA8" s="542">
        <f t="shared" si="33"/>
        <v>0</v>
      </c>
      <c r="BB8" s="555">
        <f t="shared" si="34"/>
        <v>3.5000000000000003E-2</v>
      </c>
      <c r="BC8" s="555">
        <f t="shared" si="35"/>
        <v>-700.00000000000011</v>
      </c>
      <c r="BD8" s="555">
        <f>BC8/'Master P&amp;L'!$AD$7*10000</f>
        <v>-3.1045524955999573E-3</v>
      </c>
    </row>
    <row r="9" spans="1:56" s="385" customFormat="1">
      <c r="A9" s="541" t="s">
        <v>151</v>
      </c>
      <c r="B9" s="385" t="s">
        <v>2377</v>
      </c>
      <c r="C9" s="385" t="str" cm="1">
        <f t="array" ref="C9">_xll.BDP($B9&amp;" Equity","opt_put_call")</f>
        <v>Put</v>
      </c>
      <c r="D9" s="385" t="str" cm="1">
        <f t="array" ref="D9">_xll.BDP(B9&amp;" Equity","OPT_UNDL_TICKER")</f>
        <v>QQQ US</v>
      </c>
      <c r="E9" s="385" t="str" cm="1">
        <f t="array" ref="E9">_xll.BDP($B9&amp;" Equity","mifid_Maturity_date")</f>
        <v>16/01/2026</v>
      </c>
      <c r="F9" s="385" cm="1">
        <f t="array" ref="F9">_xll.BDP($B9&amp;" Equity","opt_days_expire")</f>
        <v>0</v>
      </c>
      <c r="G9" s="385" t="str" cm="1">
        <f t="array" ref="G9">_xll.BDP(B9&amp;" Equity","QUOTED_CURRENCY_REALTIME")</f>
        <v>USD</v>
      </c>
      <c r="H9" s="542">
        <v>200</v>
      </c>
      <c r="I9" s="543">
        <v>1.4</v>
      </c>
      <c r="J9" s="123">
        <f>VLOOKUP(B9,Precificação!$B:$O,14,FALSE)</f>
        <v>2.415</v>
      </c>
      <c r="K9" s="123">
        <f t="shared" si="19"/>
        <v>2.415</v>
      </c>
      <c r="L9" s="123" cm="1">
        <f t="array" ref="L9">_xll.BDP($B9&amp;" Equity","mid")</f>
        <v>1.27</v>
      </c>
      <c r="M9" s="413">
        <f t="shared" si="20"/>
        <v>2.04423268840743E-3</v>
      </c>
      <c r="N9" s="544"/>
      <c r="O9" s="413">
        <f t="shared" si="21"/>
        <v>-0.47412008281573503</v>
      </c>
      <c r="P9" s="123" cm="1">
        <f t="array" ref="P9">_xll.BDP($B9&amp;" Equity","bid")</f>
        <v>1.01</v>
      </c>
      <c r="Q9" s="123" cm="1">
        <f t="array" ref="Q9">_xll.BDP($B9&amp;" Equity","ask")</f>
        <v>1.53</v>
      </c>
      <c r="R9" s="545">
        <f t="shared" si="22"/>
        <v>0.51485148514851486</v>
      </c>
      <c r="S9" s="123" cm="1">
        <f t="array" ref="S9">_xll.BDP(G9&amp;" Curncy","PX_LAST")</f>
        <v>1</v>
      </c>
      <c r="T9" s="542" cm="1">
        <f t="array" ref="T9">_xll.BDP(B9&amp;" Equity","OPT_MULTIPLIER")</f>
        <v>100</v>
      </c>
      <c r="U9" s="542">
        <f t="shared" si="23"/>
        <v>25400</v>
      </c>
      <c r="V9" s="546">
        <f>U9/'Master P&amp;L'!$AD$7*10000</f>
        <v>0.11265090484034128</v>
      </c>
      <c r="W9" s="546">
        <f>(Y9*H9*T9/S9)/'Master P&amp;L'!$AD$7*10000</f>
        <v>4.701179493336996E-2</v>
      </c>
      <c r="X9" s="547">
        <f t="shared" si="24"/>
        <v>0.74000000000000909</v>
      </c>
      <c r="Y9" s="548">
        <f t="shared" si="25"/>
        <v>0.52999999999999092</v>
      </c>
      <c r="Z9" s="549">
        <f>_xll.BDP(D9&amp;" Equity","LAST_PRICE")</f>
        <v>621.26</v>
      </c>
      <c r="AA9" s="549" cm="1">
        <f t="array" ref="AA9">_xll.BDP(B9&amp;" Equity","OPT_STRIKE_PX")</f>
        <v>622</v>
      </c>
      <c r="AB9" s="545">
        <f t="shared" si="26"/>
        <v>1.1911277082059524E-3</v>
      </c>
      <c r="AC9" s="550" cm="1">
        <f t="array" ref="AC9">_xll.BDP($D9&amp;" Equity","volatility_10d")</f>
        <v>11.114803729180613</v>
      </c>
      <c r="AD9" s="549" cm="1">
        <f t="array" ref="AD9">_xll.BDP(B9&amp;" Equity","ivol_mid")</f>
        <v>14.94603</v>
      </c>
      <c r="AE9" s="549">
        <f t="shared" si="27"/>
        <v>1.3446958096759687</v>
      </c>
      <c r="AF9" s="551" cm="1">
        <f t="array" ref="AF9">_xll.BDP(B9&amp;" Equity","DELTA_MID_RT")</f>
        <v>-0.77327650785446167</v>
      </c>
      <c r="AG9" s="413">
        <f>AL9/'Master P&amp;L'!$AE$7</f>
        <v>-4.2612711750269535E-3</v>
      </c>
      <c r="AH9" s="413">
        <f>AM9/'Master P&amp;L'!$AE$7</f>
        <v>-5.5106693811897969E-3</v>
      </c>
      <c r="AI9" s="552">
        <f>AO9/'Master P&amp;L'!$AD$7*10000</f>
        <v>0</v>
      </c>
      <c r="AJ9" s="544">
        <f t="shared" si="28"/>
        <v>0</v>
      </c>
      <c r="AK9" s="551">
        <f>AP9/'Master P&amp;L'!$AD$7*10000</f>
        <v>-0.10156321735605572</v>
      </c>
      <c r="AL9" s="542">
        <f t="shared" si="29"/>
        <v>-9608115.2653932571</v>
      </c>
      <c r="AM9" s="542">
        <f t="shared" si="30"/>
        <v>-12425200</v>
      </c>
      <c r="AN9" s="551" cm="1">
        <f t="array" ref="AN9">_xll.BDP($B9&amp;" Equity","theta_mid_rt")</f>
        <v>0</v>
      </c>
      <c r="AO9" s="542">
        <f t="shared" si="31"/>
        <v>0</v>
      </c>
      <c r="AP9" s="542">
        <f t="shared" si="32"/>
        <v>-22900</v>
      </c>
      <c r="AQ9" s="123" t="str" cm="1">
        <f t="array" ref="AQ9">_xll.BDP($D9&amp;" Equity","EXPECTED_REPORT_DT")</f>
        <v>#N/A N/A</v>
      </c>
      <c r="AR9" s="553" cm="1">
        <f t="array" ref="AR9">_xll.BDP($B9&amp;" Equity","GAMMA_LAST")</f>
        <v>0.41736600000000001</v>
      </c>
      <c r="AS9" s="385">
        <f t="shared" si="14"/>
        <v>32217649.129732318</v>
      </c>
      <c r="AT9" s="385">
        <f t="shared" si="15"/>
        <v>161088245.64866161</v>
      </c>
      <c r="AU9" s="385" t="s">
        <v>151</v>
      </c>
      <c r="AV9" s="369" t="e" cm="1">
        <f t="array" ref="AV9">_xll.BDP($D9&amp;" Equity","EST_PE_NXT_YR")*(AA9/Z9)</f>
        <v>#VALUE!</v>
      </c>
      <c r="AX9" s="542"/>
      <c r="AY9" s="542">
        <v>1.1000000000000001</v>
      </c>
      <c r="AZ9" s="554"/>
      <c r="BA9" s="542">
        <f t="shared" si="33"/>
        <v>1.1000000000000001</v>
      </c>
      <c r="BB9" s="555">
        <f t="shared" si="34"/>
        <v>2.415</v>
      </c>
      <c r="BC9" s="555">
        <f t="shared" si="35"/>
        <v>26300</v>
      </c>
      <c r="BD9" s="555">
        <f>BC9/'Master P&amp;L'!$AD$7*10000</f>
        <v>0.11664247233468408</v>
      </c>
    </row>
    <row r="10" spans="1:56" s="500" customFormat="1">
      <c r="A10" s="499" t="s">
        <v>151</v>
      </c>
      <c r="B10" s="500" t="s">
        <v>2377</v>
      </c>
      <c r="C10" s="500" t="str" cm="1">
        <f t="array" ref="C10">_xll.BDP($B10&amp;" Equity","opt_put_call")</f>
        <v>Put</v>
      </c>
      <c r="D10" s="500" t="str" cm="1">
        <f t="array" ref="D10">_xll.BDP(B10&amp;" Equity","OPT_UNDL_TICKER")</f>
        <v>QQQ US</v>
      </c>
      <c r="E10" s="500" t="str" cm="1">
        <f t="array" ref="E10">_xll.BDP($B10&amp;" Equity","mifid_Maturity_date")</f>
        <v>16/01/2026</v>
      </c>
      <c r="F10" s="500" cm="1">
        <f t="array" ref="F10">_xll.BDP($B10&amp;" Equity","opt_days_expire")</f>
        <v>0</v>
      </c>
      <c r="G10" s="500" t="str" cm="1">
        <f t="array" ref="G10">_xll.BDP(B10&amp;" Equity","QUOTED_CURRENCY_REALTIME")</f>
        <v>USD</v>
      </c>
      <c r="H10" s="501">
        <v>-125</v>
      </c>
      <c r="I10" s="502"/>
      <c r="J10" s="503"/>
      <c r="K10" s="503">
        <v>0.76500000000000001</v>
      </c>
      <c r="L10" s="503" cm="1">
        <f t="array" ref="L10">_xll.BDP($B10&amp;" Equity","mid")</f>
        <v>1.27</v>
      </c>
      <c r="M10" s="504">
        <f t="shared" ref="M10" si="36">L10/Z10</f>
        <v>2.04423268840743E-3</v>
      </c>
      <c r="N10" s="505"/>
      <c r="O10" s="504">
        <f t="shared" ref="O10" si="37">L10/K10-1</f>
        <v>0.66013071895424846</v>
      </c>
      <c r="P10" s="503" cm="1">
        <f t="array" ref="P10">_xll.BDP($B10&amp;" Equity","bid")</f>
        <v>1.01</v>
      </c>
      <c r="Q10" s="503" cm="1">
        <f t="array" ref="Q10">_xll.BDP($B10&amp;" Equity","ask")</f>
        <v>1.53</v>
      </c>
      <c r="R10" s="506">
        <f t="shared" ref="R10" si="38">(Q10/P10-1)</f>
        <v>0.51485148514851486</v>
      </c>
      <c r="S10" s="503" cm="1">
        <f t="array" ref="S10">_xll.BDP(G10&amp;" Curncy","PX_LAST")</f>
        <v>1</v>
      </c>
      <c r="T10" s="501" cm="1">
        <f t="array" ref="T10">_xll.BDP(B10&amp;" Equity","OPT_MULTIPLIER")</f>
        <v>100</v>
      </c>
      <c r="U10" s="501">
        <f t="shared" ref="U10" si="39">(L10/S10)*H10*T10</f>
        <v>-15875</v>
      </c>
      <c r="V10" s="507">
        <f>U10/'Master P&amp;L'!$AD$7*10000</f>
        <v>-7.0406815525213301E-2</v>
      </c>
      <c r="W10" s="507">
        <f>(Y10*H10*T10/S10)/'Master P&amp;L'!$AD$7*10000</f>
        <v>-2.9382371833356229E-2</v>
      </c>
      <c r="X10" s="508">
        <f t="shared" ref="X10" si="40">IF(C10="Put",IF(Z10&lt;AA10,AA10-Z10,0),IF(Z10&gt;AA10,Z10-AA10,0))</f>
        <v>0.74000000000000909</v>
      </c>
      <c r="Y10" s="509">
        <f t="shared" ref="Y10" si="41">L10-X10</f>
        <v>0.52999999999999092</v>
      </c>
      <c r="Z10" s="510">
        <f>_xll.BDP(D10&amp;" Equity","LAST_PRICE")</f>
        <v>621.26</v>
      </c>
      <c r="AA10" s="510" cm="1">
        <f t="array" ref="AA10">_xll.BDP(B10&amp;" Equity","OPT_STRIKE_PX")</f>
        <v>622</v>
      </c>
      <c r="AB10" s="506">
        <f t="shared" ref="AB10" si="42">AA10/Z10-1</f>
        <v>1.1911277082059524E-3</v>
      </c>
      <c r="AC10" s="511" cm="1">
        <f t="array" ref="AC10">_xll.BDP($D10&amp;" Equity","volatility_10d")</f>
        <v>11.114803729180613</v>
      </c>
      <c r="AD10" s="510" cm="1">
        <f t="array" ref="AD10">_xll.BDP(B10&amp;" Equity","ivol_mid")</f>
        <v>14.94603</v>
      </c>
      <c r="AE10" s="510">
        <f t="shared" ref="AE10" si="43">AD10/AC10</f>
        <v>1.3446958096759687</v>
      </c>
      <c r="AF10" s="512" cm="1">
        <f t="array" ref="AF10">_xll.BDP(B10&amp;" Equity","DELTA_MID_RT")</f>
        <v>-0.77327650785446167</v>
      </c>
      <c r="AG10" s="504">
        <f>AL10/'Master P&amp;L'!$AE$7</f>
        <v>2.6632944843918457E-3</v>
      </c>
      <c r="AH10" s="504">
        <f>AM10/'Master P&amp;L'!$AE$7</f>
        <v>3.4441683632436232E-3</v>
      </c>
      <c r="AI10" s="513">
        <f>AO10/'Master P&amp;L'!$AD$7*10000</f>
        <v>0</v>
      </c>
      <c r="AJ10" s="505">
        <f t="shared" ref="AJ10" si="44">(252*AI10)/$AI$1</f>
        <v>0</v>
      </c>
      <c r="AK10" s="512">
        <f>AP10/'Master P&amp;L'!$AD$7*10000</f>
        <v>-2.7996410897821039E-2</v>
      </c>
      <c r="AL10" s="501">
        <f t="shared" ref="AL10" si="45">Z10*AF10*H10*T10/S10</f>
        <v>6005072.0408707848</v>
      </c>
      <c r="AM10" s="501">
        <f t="shared" ref="AM10" si="46">IF(C10="Put",-Z10*H10*T10/S10,Z10*H10*T10/S10)</f>
        <v>7765750</v>
      </c>
      <c r="AN10" s="512" cm="1">
        <f t="array" ref="AN10">_xll.BDP($B10&amp;" Equity","theta_mid_rt")</f>
        <v>0</v>
      </c>
      <c r="AO10" s="501">
        <f t="shared" ref="AO10" si="47">AN10*H10*T10/S10</f>
        <v>0</v>
      </c>
      <c r="AP10" s="501">
        <f t="shared" ref="AP10" si="48">(L10-K10)*T10/S10*H10</f>
        <v>-6312.5</v>
      </c>
      <c r="AQ10" s="503" t="str" cm="1">
        <f t="array" ref="AQ10">_xll.BDP($D10&amp;" Equity","EXPECTED_REPORT_DT")</f>
        <v>#N/A N/A</v>
      </c>
      <c r="AR10" s="514" cm="1">
        <f t="array" ref="AR10">_xll.BDP($B10&amp;" Equity","GAMMA_LAST")</f>
        <v>0.41736600000000001</v>
      </c>
      <c r="AS10" s="500">
        <f t="shared" si="14"/>
        <v>-20136030.706082702</v>
      </c>
      <c r="AT10" s="500">
        <f t="shared" si="15"/>
        <v>-100680153.53041349</v>
      </c>
      <c r="AU10" s="500" t="s">
        <v>151</v>
      </c>
      <c r="AV10" s="515" t="e" cm="1">
        <f t="array" ref="AV10">_xll.BDP($D10&amp;" Equity","EST_PE_NXT_YR")*(AA10/Z10)</f>
        <v>#VALUE!</v>
      </c>
      <c r="AX10" s="501"/>
      <c r="AY10" s="501">
        <v>1.1000000000000001</v>
      </c>
      <c r="AZ10" s="516"/>
      <c r="BA10" s="501">
        <f t="shared" ref="BA10" si="49">+AY10</f>
        <v>1.1000000000000001</v>
      </c>
      <c r="BB10" s="517">
        <f t="shared" ref="BB10" si="50">+J10</f>
        <v>0</v>
      </c>
      <c r="BC10" s="517">
        <f t="shared" ref="BC10" si="51">(BB10-BA10)*H10*100</f>
        <v>13750</v>
      </c>
      <c r="BD10" s="517">
        <f>BC10/'Master P&amp;L'!$AD$7*10000</f>
        <v>6.098228116357058E-2</v>
      </c>
    </row>
    <row r="11" spans="1:56">
      <c r="A11" s="357"/>
      <c r="B11" t="s">
        <v>2113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LITE US</v>
      </c>
      <c r="E11" t="str" cm="1">
        <f t="array" ref="E11">_xll.BDP($B11&amp;" Equity","mifid_Maturity_date")</f>
        <v>20/02/2026</v>
      </c>
      <c r="F11" cm="1">
        <f t="array" ref="F11">_xll.BDP($B11&amp;" Equity","opt_days_expire")</f>
        <v>35</v>
      </c>
      <c r="G11" t="str" cm="1">
        <f t="array" ref="G11">_xll.BDP(B11&amp;" Equity","QUOTED_CURRENCY_REALTIME")</f>
        <v>USD</v>
      </c>
      <c r="H11" s="15">
        <v>90</v>
      </c>
      <c r="I11" s="411">
        <v>38.049999999999997</v>
      </c>
      <c r="J11" s="416">
        <f>VLOOKUP(B11,Precificação!$B:$O,14,FALSE)</f>
        <v>25.75</v>
      </c>
      <c r="K11" s="74">
        <f t="shared" si="19"/>
        <v>25.75</v>
      </c>
      <c r="L11" s="74" cm="1">
        <f t="array" ref="L11">_xll.BDP($B11&amp;" Equity","mid")</f>
        <v>18.649999999999999</v>
      </c>
      <c r="M11" s="19">
        <f t="shared" si="1"/>
        <v>5.7517347725520425E-2</v>
      </c>
      <c r="N11" s="351"/>
      <c r="O11" s="19">
        <f t="shared" si="2"/>
        <v>-0.27572815533980588</v>
      </c>
      <c r="P11" s="36" cm="1">
        <f t="array" ref="P11">_xll.BDP($B11&amp;" Equity","bid")</f>
        <v>18</v>
      </c>
      <c r="Q11" s="36" cm="1">
        <f t="array" ref="Q11">_xll.BDP($B11&amp;" Equity","ask")</f>
        <v>19.3</v>
      </c>
      <c r="R11" s="40">
        <f t="shared" si="3"/>
        <v>7.2222222222222188E-2</v>
      </c>
      <c r="S11" s="36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4"/>
        <v>167849.99999999997</v>
      </c>
      <c r="V11" s="124">
        <f>U11/'Master P&amp;L'!$AD$7*10000</f>
        <v>0.7444273376949323</v>
      </c>
      <c r="W11" s="124">
        <f>(Y11*H11*T11/S11)/'Master P&amp;L'!$AD$7*10000</f>
        <v>0.7444273376949323</v>
      </c>
      <c r="X11" s="414">
        <f t="shared" si="5"/>
        <v>0</v>
      </c>
      <c r="Y11" s="273">
        <f t="shared" si="6"/>
        <v>18.649999999999999</v>
      </c>
      <c r="Z11" s="37">
        <f>_xll.BDP(D11&amp;" Equity","LAST_PRICE")</f>
        <v>324.25</v>
      </c>
      <c r="AA11" s="37" cm="1">
        <f t="array" ref="AA11">_xll.BDP(B11&amp;" Equity","OPT_STRIKE_PX")</f>
        <v>400</v>
      </c>
      <c r="AB11" s="40">
        <f t="shared" si="7"/>
        <v>0.23361603700848121</v>
      </c>
      <c r="AC11" s="324" cm="1">
        <f t="array" ref="AC11">_xll.BDP($D11&amp;" Equity","volatility_10d")</f>
        <v>119.89057649156025</v>
      </c>
      <c r="AD11" s="37" cm="1">
        <f t="array" ref="AD11">_xll.BDP(B11&amp;" Equity","ivol_mid")</f>
        <v>106.6863</v>
      </c>
      <c r="AE11" s="37">
        <f t="shared" si="8"/>
        <v>0.88986393361375016</v>
      </c>
      <c r="AF11" s="38" cm="1">
        <f t="array" ref="AF11">_xll.BDP(B11&amp;" Equity","DELTA_MID_RT")</f>
        <v>0.32034686207771301</v>
      </c>
      <c r="AG11" s="19">
        <f>AL11/'Master P&amp;L'!$AE$7</f>
        <v>4.1461397492364955E-4</v>
      </c>
      <c r="AH11" s="19">
        <f>AM11/'Master P&amp;L'!$AE$7</f>
        <v>1.2942657600406534E-3</v>
      </c>
      <c r="AI11" s="436">
        <f>AO11/'Master P&amp;L'!$AD$7*10000</f>
        <v>-2.2555784616891471E-2</v>
      </c>
      <c r="AJ11" s="351">
        <f t="shared" si="9"/>
        <v>0.57723534284425559</v>
      </c>
      <c r="AK11" s="38">
        <f>AP11/'Master P&amp;L'!$AD$7*10000</f>
        <v>-0.28340129209833892</v>
      </c>
      <c r="AL11" s="15">
        <f t="shared" si="10"/>
        <v>934852.230258286</v>
      </c>
      <c r="AM11" s="15">
        <f t="shared" si="11"/>
        <v>2918250</v>
      </c>
      <c r="AN11" s="38" cm="1">
        <f t="array" ref="AN11">_xll.BDP($B11&amp;" Equity","theta_mid_rt")</f>
        <v>-0.56508588790893555</v>
      </c>
      <c r="AO11" s="15">
        <f t="shared" si="12"/>
        <v>-5085.7729911804199</v>
      </c>
      <c r="AP11" s="15">
        <f t="shared" si="13"/>
        <v>-63900.000000000007</v>
      </c>
      <c r="AQ11" s="36" t="str" cm="1">
        <f t="array" ref="AQ11">_xll.BDP($D11&amp;" Equity","EXPECTED_REPORT_DT")</f>
        <v>03/02/2026</v>
      </c>
      <c r="AR11" s="66" cm="1">
        <f t="array" ref="AR11">_xll.BDP($B11&amp;" Equity","GAMMA_LAST")</f>
        <v>1.1845E-2</v>
      </c>
      <c r="AS11">
        <f t="shared" si="14"/>
        <v>112082.43152812499</v>
      </c>
      <c r="AT11">
        <f t="shared" si="15"/>
        <v>560412.15764062502</v>
      </c>
      <c r="AU11" t="s">
        <v>151</v>
      </c>
      <c r="AV11" s="277" cm="1">
        <f t="array" ref="AV11">_xll.BDP($D11&amp;" Equity","EST_PE_NXT_YR")*(AA11/Z11)</f>
        <v>48.290954159413999</v>
      </c>
      <c r="AX11" s="15"/>
      <c r="AY11" s="15">
        <v>18.649999999999999</v>
      </c>
      <c r="AZ11" s="356"/>
      <c r="BA11" s="15">
        <f t="shared" si="16"/>
        <v>18.649999999999999</v>
      </c>
      <c r="BB11" s="415">
        <f t="shared" si="17"/>
        <v>25.75</v>
      </c>
      <c r="BC11" s="415">
        <f t="shared" si="18"/>
        <v>63900.000000000015</v>
      </c>
      <c r="BD11" s="415">
        <f>BC11/'Master P&amp;L'!$AD$7*10000</f>
        <v>0.28340129209833897</v>
      </c>
    </row>
    <row r="12" spans="1:56">
      <c r="A12" s="357"/>
      <c r="B12" t="s">
        <v>2107</v>
      </c>
      <c r="C12" t="str" cm="1">
        <f t="array" ref="C12">_xll.BDP($B12&amp;" Equity","opt_put_call")</f>
        <v>Call</v>
      </c>
      <c r="D12" t="str" cm="1">
        <f t="array" ref="D12">_xll.BDP(B12&amp;" Equity","OPT_UNDL_TICKER")</f>
        <v>META US</v>
      </c>
      <c r="E12" t="str" cm="1">
        <f t="array" ref="E12">_xll.BDP($B12&amp;" Equity","mifid_Maturity_date")</f>
        <v>17/04/2026</v>
      </c>
      <c r="F12" cm="1">
        <f t="array" ref="F12">_xll.BDP($B12&amp;" Equity","opt_days_expire")</f>
        <v>91</v>
      </c>
      <c r="G12" t="str" cm="1">
        <f t="array" ref="G12">_xll.BDP(B12&amp;" Equity","QUOTED_CURRENCY_REALTIME")</f>
        <v>USD</v>
      </c>
      <c r="H12" s="15">
        <v>60</v>
      </c>
      <c r="I12" s="411">
        <v>43.12</v>
      </c>
      <c r="J12" s="416">
        <f>VLOOKUP(B12,Precificação!$B:$O,14,FALSE)</f>
        <v>18.925000000000001</v>
      </c>
      <c r="K12" s="74">
        <f t="shared" si="19"/>
        <v>18.925000000000001</v>
      </c>
      <c r="L12" s="74" cm="1">
        <f t="array" ref="L12">_xll.BDP($B12&amp;" Equity","mid")</f>
        <v>18.18</v>
      </c>
      <c r="M12" s="19">
        <f t="shared" si="1"/>
        <v>2.9310761789600966E-2</v>
      </c>
      <c r="N12" s="351"/>
      <c r="O12" s="19">
        <f t="shared" si="2"/>
        <v>-3.936591809775436E-2</v>
      </c>
      <c r="P12" s="36" cm="1">
        <f t="array" ref="P12">_xll.BDP($B12&amp;" Equity","bid")</f>
        <v>18.100000000000001</v>
      </c>
      <c r="Q12" s="36" cm="1">
        <f t="array" ref="Q12">_xll.BDP($B12&amp;" Equity","ask")</f>
        <v>18.25</v>
      </c>
      <c r="R12" s="40">
        <f t="shared" si="3"/>
        <v>8.2872928176793703E-3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4"/>
        <v>109080</v>
      </c>
      <c r="V12" s="124">
        <f>U12/'Master P&amp;L'!$AD$7*10000</f>
        <v>0.48377798031434754</v>
      </c>
      <c r="W12" s="124">
        <f>(Y12*H12*T12/S12)/'Master P&amp;L'!$AD$7*10000</f>
        <v>0.48377798031434754</v>
      </c>
      <c r="X12" s="414">
        <f t="shared" si="5"/>
        <v>0</v>
      </c>
      <c r="Y12" s="273">
        <f t="shared" si="6"/>
        <v>18.18</v>
      </c>
      <c r="Z12" s="37">
        <f>_xll.BDP(D12&amp;" Equity","LAST_PRICE")</f>
        <v>620.25</v>
      </c>
      <c r="AA12" s="37" cm="1">
        <f t="array" ref="AA12">_xll.BDP(B12&amp;" Equity","OPT_STRIKE_PX")</f>
        <v>690</v>
      </c>
      <c r="AB12" s="40">
        <f t="shared" si="7"/>
        <v>0.11245465538089472</v>
      </c>
      <c r="AC12" s="324" cm="1">
        <f t="array" ref="AC12">_xll.BDP($D12&amp;" Equity","volatility_10d")</f>
        <v>23.350245509721233</v>
      </c>
      <c r="AD12" s="37" cm="1">
        <f t="array" ref="AD12">_xll.BDP(B12&amp;" Equity","ivol_mid")</f>
        <v>33.31944</v>
      </c>
      <c r="AE12" s="37">
        <f t="shared" si="8"/>
        <v>1.4269417418385759</v>
      </c>
      <c r="AF12" s="38" cm="1">
        <f t="array" ref="AF12">_xll.BDP(B12&amp;" Equity","DELTA_MID_RT")</f>
        <v>0.30412530899047852</v>
      </c>
      <c r="AG12" s="19">
        <f>AL12/'Master P&amp;L'!$AE$7</f>
        <v>5.0196282444658208E-4</v>
      </c>
      <c r="AH12" s="19">
        <f>AM12/'Master P&amp;L'!$AE$7</f>
        <v>1.6505131589107484E-3</v>
      </c>
      <c r="AI12" s="436">
        <f>AO12/'Master P&amp;L'!$AD$7*10000</f>
        <v>-5.7319831913965414E-3</v>
      </c>
      <c r="AJ12" s="351">
        <f t="shared" si="9"/>
        <v>0.14668978884403278</v>
      </c>
      <c r="AK12" s="38">
        <f>AP12/'Master P&amp;L'!$AD$7*10000</f>
        <v>-1.9824785221902608E-2</v>
      </c>
      <c r="AL12" s="15">
        <f t="shared" si="10"/>
        <v>1131802.3374080658</v>
      </c>
      <c r="AM12" s="15">
        <f t="shared" si="11"/>
        <v>3721500</v>
      </c>
      <c r="AN12" s="38" cm="1">
        <f t="array" ref="AN12">_xll.BDP($B12&amp;" Equity","theta_mid_rt")</f>
        <v>-0.21540346741676331</v>
      </c>
      <c r="AO12" s="15">
        <f t="shared" si="12"/>
        <v>-1292.4208045005798</v>
      </c>
      <c r="AP12" s="15">
        <f t="shared" si="13"/>
        <v>-4470.0000000000064</v>
      </c>
      <c r="AQ12" s="36" t="str" cm="1">
        <f t="array" ref="AQ12">_xll.BDP($D12&amp;" Equity","EXPECTED_REPORT_DT")</f>
        <v>28/01/2026</v>
      </c>
      <c r="AR12" s="66" cm="1">
        <f t="array" ref="AR12">_xll.BDP($B12&amp;" Equity","GAMMA_LAST")</f>
        <v>2.1003999999999998E-2</v>
      </c>
      <c r="AS12">
        <f t="shared" si="14"/>
        <v>484827.00916500005</v>
      </c>
      <c r="AT12">
        <f t="shared" si="15"/>
        <v>2424135.0458249999</v>
      </c>
      <c r="AU12" t="s">
        <v>151</v>
      </c>
      <c r="AV12" s="277" cm="1">
        <f t="array" ref="AV12">_xll.BDP($D12&amp;" Equity","EST_PE_NXT_YR")*(AA12/Z12)</f>
        <v>20.369627479367015</v>
      </c>
      <c r="AX12" s="15"/>
      <c r="AY12" s="15">
        <v>18.18</v>
      </c>
      <c r="AZ12" s="356"/>
      <c r="BA12" s="15">
        <f t="shared" si="16"/>
        <v>18.18</v>
      </c>
      <c r="BB12" s="415">
        <f t="shared" si="17"/>
        <v>18.925000000000001</v>
      </c>
      <c r="BC12" s="415">
        <f t="shared" si="18"/>
        <v>4470.0000000000064</v>
      </c>
      <c r="BD12" s="415">
        <f>BC12/'Master P&amp;L'!$AD$7*10000</f>
        <v>1.9824785221902608E-2</v>
      </c>
    </row>
    <row r="13" spans="1:56" s="59" customFormat="1">
      <c r="A13" s="335"/>
      <c r="B13" s="73" t="s">
        <v>2155</v>
      </c>
      <c r="C13" s="73" t="str" cm="1">
        <f t="array" ref="C13">_xll.BDP($B13&amp;" Equity","opt_put_call")</f>
        <v>Put</v>
      </c>
      <c r="D13" s="73" t="str" cm="1">
        <f t="array" ref="D13">_xll.BDP(B13&amp;" Equity","OPT_UNDL_TICKER")</f>
        <v>META US</v>
      </c>
      <c r="E13" s="73" t="str" cm="1">
        <f t="array" ref="E13">_xll.BDP($B13&amp;" Equity","mifid_Maturity_date")</f>
        <v>17/04/2026</v>
      </c>
      <c r="F13" s="73" cm="1">
        <f t="array" ref="F13">_xll.BDP($B13&amp;" Equity","opt_days_expire")</f>
        <v>91</v>
      </c>
      <c r="G13" s="73" t="str" cm="1">
        <f t="array" ref="G13">_xll.BDP(B13&amp;" Equity","QUOTED_CURRENCY_REALTIME")</f>
        <v>USD</v>
      </c>
      <c r="H13" s="42">
        <v>-20</v>
      </c>
      <c r="I13" s="410">
        <v>22.96</v>
      </c>
      <c r="J13" s="416">
        <f>VLOOKUP(B13,Precificação!$B:$O,14,FALSE)</f>
        <v>29.375</v>
      </c>
      <c r="K13" s="74">
        <f t="shared" si="19"/>
        <v>29.375</v>
      </c>
      <c r="L13" s="74" cm="1">
        <f t="array" ref="L13">_xll.BDP($B13&amp;" Equity","mid")</f>
        <v>29.1</v>
      </c>
      <c r="M13" s="75">
        <f t="shared" si="1"/>
        <v>4.6916565900846433E-2</v>
      </c>
      <c r="N13" s="353"/>
      <c r="O13" s="75">
        <f t="shared" si="2"/>
        <v>-9.3617021276595214E-3</v>
      </c>
      <c r="P13" s="74" cm="1">
        <f t="array" ref="P13">_xll.BDP($B13&amp;" Equity","bid")</f>
        <v>28.95</v>
      </c>
      <c r="Q13" s="74" cm="1">
        <f t="array" ref="Q13">_xll.BDP($B13&amp;" Equity","ask")</f>
        <v>29.25</v>
      </c>
      <c r="R13" s="76">
        <f t="shared" si="3"/>
        <v>1.0362694300518172E-2</v>
      </c>
      <c r="S13" s="36" cm="1">
        <f t="array" ref="S13">_xll.BDP(G13&amp;" Curncy","PX_LAST")</f>
        <v>1</v>
      </c>
      <c r="T13" s="42" cm="1">
        <f t="array" ref="T13">_xll.BDP(B13&amp;" Equity","OPT_MULTIPLIER")</f>
        <v>100</v>
      </c>
      <c r="U13" s="42">
        <f t="shared" si="4"/>
        <v>-58200</v>
      </c>
      <c r="V13" s="113">
        <f>U13/'Master P&amp;L'!$AD$7*10000</f>
        <v>-0.25812136463416779</v>
      </c>
      <c r="W13" s="113">
        <f>(Y13*H13*T13/S13)/'Master P&amp;L'!$AD$7*10000</f>
        <v>-0.25812136463416779</v>
      </c>
      <c r="X13" s="118">
        <f t="shared" si="5"/>
        <v>0</v>
      </c>
      <c r="Y13" s="272">
        <f t="shared" si="6"/>
        <v>29.1</v>
      </c>
      <c r="Z13" s="77">
        <f>_xll.BDP(D13&amp;" Equity","LAST_PRICE")</f>
        <v>620.25</v>
      </c>
      <c r="AA13" s="77" cm="1">
        <f t="array" ref="AA13">_xll.BDP(B13&amp;" Equity","OPT_STRIKE_PX")</f>
        <v>600</v>
      </c>
      <c r="AB13" s="76">
        <f t="shared" si="7"/>
        <v>-3.2648125755743607E-2</v>
      </c>
      <c r="AC13" s="323" cm="1">
        <f t="array" ref="AC13">_xll.BDP($D13&amp;" Equity","volatility_10d")</f>
        <v>23.350245509721233</v>
      </c>
      <c r="AD13" s="77" cm="1">
        <f t="array" ref="AD13">_xll.BDP(B13&amp;" Equity","ivol_mid")</f>
        <v>33.878639999999997</v>
      </c>
      <c r="AE13" s="77">
        <f t="shared" si="8"/>
        <v>1.4508900981745805</v>
      </c>
      <c r="AF13" s="78" cm="1">
        <f t="array" ref="AF13">_xll.BDP(B13&amp;" Equity","DELTA_MID_RT")</f>
        <v>-0.37214860320091248</v>
      </c>
      <c r="AG13" s="75">
        <f>AL13/'Master P&amp;L'!$AE$7</f>
        <v>2.0474538888445355E-4</v>
      </c>
      <c r="AH13" s="75">
        <f>AM13/'Master P&amp;L'!$AE$7</f>
        <v>5.501710529702494E-4</v>
      </c>
      <c r="AI13" s="437">
        <f>AO13/'Master P&amp;L'!$AD$7*10000</f>
        <v>1.9473095065018001E-3</v>
      </c>
      <c r="AJ13" s="351">
        <f t="shared" si="9"/>
        <v>-4.9834483246823838E-2</v>
      </c>
      <c r="AK13" s="78">
        <f>AP13/'Master P&amp;L'!$AD$7*10000</f>
        <v>2.4392912465428106E-3</v>
      </c>
      <c r="AL13" s="42">
        <f t="shared" si="10"/>
        <v>461650.34227073193</v>
      </c>
      <c r="AM13" s="42">
        <f t="shared" si="11"/>
        <v>1240500</v>
      </c>
      <c r="AN13" s="78" cm="1">
        <f t="array" ref="AN13">_xll.BDP($B13&amp;" Equity","theta_mid_rt")</f>
        <v>-0.21953512728214264</v>
      </c>
      <c r="AO13" s="42">
        <f t="shared" si="12"/>
        <v>439.07025456428528</v>
      </c>
      <c r="AP13" s="42">
        <f t="shared" si="13"/>
        <v>549.99999999999716</v>
      </c>
      <c r="AQ13" s="74" t="str" cm="1">
        <f t="array" ref="AQ13">_xll.BDP($D13&amp;" Equity","EXPECTED_REPORT_DT")</f>
        <v>28/01/2026</v>
      </c>
      <c r="AR13" s="235" cm="1">
        <f t="array" ref="AR13">_xll.BDP($B13&amp;" Equity","GAMMA_LAST")</f>
        <v>2.2704999999999999E-2</v>
      </c>
      <c r="AS13" s="73">
        <f t="shared" si="14"/>
        <v>-174696.83938125003</v>
      </c>
      <c r="AT13" s="73">
        <f t="shared" si="15"/>
        <v>-873484.1969062502</v>
      </c>
      <c r="AU13" s="73" t="s">
        <v>151</v>
      </c>
      <c r="AV13" s="322" cm="1">
        <f t="array" ref="AV13">_xll.BDP($D13&amp;" Equity","EST_PE_NXT_YR")*(AA13/Z13)</f>
        <v>17.712719547275668</v>
      </c>
      <c r="AW13" s="73"/>
      <c r="AX13" s="42"/>
      <c r="AY13" s="42">
        <v>29.1</v>
      </c>
      <c r="AZ13" s="355"/>
      <c r="BA13" s="42">
        <f t="shared" si="16"/>
        <v>29.1</v>
      </c>
      <c r="BB13" s="347">
        <f t="shared" si="17"/>
        <v>29.375</v>
      </c>
      <c r="BC13" s="347">
        <f t="shared" si="18"/>
        <v>-549.99999999999716</v>
      </c>
      <c r="BD13" s="347">
        <f>BC13/'Master P&amp;L'!$AD$7*10000</f>
        <v>-2.4392912465428106E-3</v>
      </c>
    </row>
    <row r="14" spans="1:56">
      <c r="A14" s="357"/>
      <c r="B14" t="s">
        <v>2156</v>
      </c>
      <c r="C14" t="str" cm="1">
        <f t="array" ref="C14">_xll.BDP($B14&amp;" Equity","opt_put_call")</f>
        <v>Put</v>
      </c>
      <c r="D14" t="str" cm="1">
        <f t="array" ref="D14">_xll.BDP(B14&amp;" Equity","OPT_UNDL_TICKER")</f>
        <v>META US</v>
      </c>
      <c r="E14" t="str" cm="1">
        <f t="array" ref="E14">_xll.BDP($B14&amp;" Equity","mifid_Maturity_date")</f>
        <v>17/04/2026</v>
      </c>
      <c r="F14" cm="1">
        <f t="array" ref="F14">_xll.BDP($B14&amp;" Equity","opt_days_expire")</f>
        <v>91</v>
      </c>
      <c r="G14" t="str" cm="1">
        <f t="array" ref="G14">_xll.BDP(B14&amp;" Equity","QUOTED_CURRENCY_REALTIME")</f>
        <v>USD</v>
      </c>
      <c r="H14" s="15">
        <v>20</v>
      </c>
      <c r="I14" s="411">
        <v>13.9</v>
      </c>
      <c r="J14" s="416">
        <f>VLOOKUP(B14,Precificação!$B:$O,14,FALSE)</f>
        <v>18.824999999999999</v>
      </c>
      <c r="K14" s="74">
        <f t="shared" si="19"/>
        <v>18.824999999999999</v>
      </c>
      <c r="L14" s="74" cm="1">
        <f t="array" ref="L14">_xll.BDP($B14&amp;" Equity","mid")</f>
        <v>18.399999999999999</v>
      </c>
      <c r="M14" s="19">
        <f t="shared" si="1"/>
        <v>2.9665457476823857E-2</v>
      </c>
      <c r="N14" s="351"/>
      <c r="O14" s="19">
        <f t="shared" si="2"/>
        <v>-2.2576361221779639E-2</v>
      </c>
      <c r="P14" s="36" cm="1">
        <f t="array" ref="P14">_xll.BDP($B14&amp;" Equity","bid")</f>
        <v>18.3</v>
      </c>
      <c r="Q14" s="36" cm="1">
        <f t="array" ref="Q14">_xll.BDP($B14&amp;" Equity","ask")</f>
        <v>18.5</v>
      </c>
      <c r="R14" s="40">
        <f t="shared" si="3"/>
        <v>1.0928961748633892E-2</v>
      </c>
      <c r="S14" s="36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4"/>
        <v>36800</v>
      </c>
      <c r="V14" s="124">
        <f>U14/'Master P&amp;L'!$AD$7*10000</f>
        <v>0.16321075976868343</v>
      </c>
      <c r="W14" s="124">
        <f>(Y14*H14*T14/S14)/'Master P&amp;L'!$AD$7*10000</f>
        <v>0.16321075976868343</v>
      </c>
      <c r="X14" s="414">
        <f t="shared" si="5"/>
        <v>0</v>
      </c>
      <c r="Y14" s="273">
        <f t="shared" si="6"/>
        <v>18.399999999999999</v>
      </c>
      <c r="Z14" s="37">
        <f>_xll.BDP(D14&amp;" Equity","LAST_PRICE")</f>
        <v>620.25</v>
      </c>
      <c r="AA14" s="37" cm="1">
        <f t="array" ref="AA14">_xll.BDP(B14&amp;" Equity","OPT_STRIKE_PX")</f>
        <v>570</v>
      </c>
      <c r="AB14" s="40">
        <f t="shared" si="7"/>
        <v>-8.1015719467956493E-2</v>
      </c>
      <c r="AC14" s="324" cm="1">
        <f t="array" ref="AC14">_xll.BDP($D14&amp;" Equity","volatility_10d")</f>
        <v>23.350245509721233</v>
      </c>
      <c r="AD14" s="37" cm="1">
        <f t="array" ref="AD14">_xll.BDP(B14&amp;" Equity","ivol_mid")</f>
        <v>34.575139999999998</v>
      </c>
      <c r="AE14" s="37">
        <f t="shared" si="8"/>
        <v>1.48071847833915</v>
      </c>
      <c r="AF14" s="38" cm="1">
        <f t="array" ref="AF14">_xll.BDP(B14&amp;" Equity","DELTA_MID_RT")</f>
        <v>-0.26492705941200256</v>
      </c>
      <c r="AG14" s="19">
        <f>AL14/'Master P&amp;L'!$AE$7</f>
        <v>-1.457551992370133E-4</v>
      </c>
      <c r="AH14" s="19">
        <f>AM14/'Master P&amp;L'!$AE$7</f>
        <v>-5.501710529702494E-4</v>
      </c>
      <c r="AI14" s="436">
        <f>AO14/'Master P&amp;L'!$AD$7*10000</f>
        <v>-1.7100882585152854E-3</v>
      </c>
      <c r="AJ14" s="351">
        <f t="shared" si="9"/>
        <v>4.3763646397774802E-2</v>
      </c>
      <c r="AK14" s="38">
        <f>AP14/'Master P&amp;L'!$AD$7*10000</f>
        <v>-3.7698137446570959E-3</v>
      </c>
      <c r="AL14" s="15">
        <f t="shared" si="10"/>
        <v>-328642.01720058918</v>
      </c>
      <c r="AM14" s="15">
        <f t="shared" si="11"/>
        <v>-1240500</v>
      </c>
      <c r="AN14" s="38" cm="1">
        <f t="array" ref="AN14">_xll.BDP($B14&amp;" Equity","theta_mid_rt")</f>
        <v>-0.19279135763645172</v>
      </c>
      <c r="AO14" s="15">
        <f t="shared" si="12"/>
        <v>-385.58271527290344</v>
      </c>
      <c r="AP14" s="15">
        <f t="shared" si="13"/>
        <v>-850.00000000000136</v>
      </c>
      <c r="AQ14" s="36" t="str" cm="1">
        <f t="array" ref="AQ14">_xll.BDP($D14&amp;" Equity","EXPECTED_REPORT_DT")</f>
        <v>28/01/2026</v>
      </c>
      <c r="AR14" s="66" cm="1">
        <f t="array" ref="AR14">_xll.BDP($B14&amp;" Equity","GAMMA_LAST")</f>
        <v>1.9108E-2</v>
      </c>
      <c r="AS14">
        <f t="shared" si="14"/>
        <v>147020.79748499999</v>
      </c>
      <c r="AT14">
        <f t="shared" si="15"/>
        <v>735103.98742500006</v>
      </c>
      <c r="AU14" t="s">
        <v>151</v>
      </c>
      <c r="AV14" s="277" cm="1">
        <f t="array" ref="AV14">_xll.BDP($D14&amp;" Equity","EST_PE_NXT_YR")*(AA14/Z14)</f>
        <v>16.827083569911885</v>
      </c>
      <c r="AX14" s="15"/>
      <c r="AY14" s="15">
        <v>18.399999999999999</v>
      </c>
      <c r="AZ14" s="356"/>
      <c r="BA14" s="15">
        <f t="shared" si="16"/>
        <v>18.399999999999999</v>
      </c>
      <c r="BB14" s="415">
        <f t="shared" si="17"/>
        <v>18.824999999999999</v>
      </c>
      <c r="BC14" s="415">
        <f t="shared" si="18"/>
        <v>850.00000000000136</v>
      </c>
      <c r="BD14" s="415">
        <f>BC14/'Master P&amp;L'!$AD$7*10000</f>
        <v>3.7698137446570959E-3</v>
      </c>
    </row>
    <row r="15" spans="1:56" s="59" customFormat="1">
      <c r="A15" s="335"/>
      <c r="B15" s="73" t="s">
        <v>2139</v>
      </c>
      <c r="C15" s="73" t="str" cm="1">
        <f t="array" ref="C15">_xll.BDP($B15&amp;" Equity","opt_put_call")</f>
        <v>Put</v>
      </c>
      <c r="D15" s="73" t="str" cm="1">
        <f t="array" ref="D15">_xll.BDP(B15&amp;" Equity","OPT_UNDL_TICKER")</f>
        <v>MRVL US</v>
      </c>
      <c r="E15" s="73" t="str" cm="1">
        <f t="array" ref="E15">_xll.BDP($B15&amp;" Equity","mifid_Maturity_date")</f>
        <v>20/03/2026</v>
      </c>
      <c r="F15" s="73" cm="1">
        <f t="array" ref="F15">_xll.BDP($B15&amp;" Equity","opt_days_expire")</f>
        <v>63</v>
      </c>
      <c r="G15" s="73" t="str" cm="1">
        <f t="array" ref="G15">_xll.BDP(B15&amp;" Equity","QUOTED_CURRENCY_REALTIME")</f>
        <v>USD</v>
      </c>
      <c r="H15" s="42">
        <v>200</v>
      </c>
      <c r="I15" s="410">
        <v>9.1999999999999993</v>
      </c>
      <c r="J15" s="416">
        <f>VLOOKUP(B15,Precificação!$B:$O,14,FALSE)</f>
        <v>10.225000000000001</v>
      </c>
      <c r="K15" s="74">
        <f t="shared" si="19"/>
        <v>10.225000000000001</v>
      </c>
      <c r="L15" s="74" cm="1">
        <f t="array" ref="L15">_xll.BDP($B15&amp;" Equity","mid")</f>
        <v>10.050000000000001</v>
      </c>
      <c r="M15" s="75">
        <f t="shared" si="1"/>
        <v>0.1249067859806115</v>
      </c>
      <c r="N15" s="353"/>
      <c r="O15" s="75">
        <f t="shared" si="2"/>
        <v>-1.7114914425427896E-2</v>
      </c>
      <c r="P15" s="74" cm="1">
        <f t="array" ref="P15">_xll.BDP($B15&amp;" Equity","bid")</f>
        <v>9.85</v>
      </c>
      <c r="Q15" s="74" cm="1">
        <f t="array" ref="Q15">_xll.BDP($B15&amp;" Equity","ask")</f>
        <v>10.25</v>
      </c>
      <c r="R15" s="76">
        <f t="shared" si="3"/>
        <v>4.0609137055837685E-2</v>
      </c>
      <c r="S15" s="36" cm="1">
        <f t="array" ref="S15">_xll.BDP(G15&amp;" Curncy","PX_LAST")</f>
        <v>1</v>
      </c>
      <c r="T15" s="42" cm="1">
        <f t="array" ref="T15">_xll.BDP(B15&amp;" Equity","OPT_MULTIPLIER")</f>
        <v>100</v>
      </c>
      <c r="U15" s="42">
        <f t="shared" si="4"/>
        <v>201000.00000000003</v>
      </c>
      <c r="V15" s="113">
        <f>U15/'Master P&amp;L'!$AD$7*10000</f>
        <v>0.89145007373655916</v>
      </c>
      <c r="W15" s="113">
        <f>(Y15*H15*T15/S15)/'Master P&amp;L'!$AD$7*10000</f>
        <v>0.48874526430730691</v>
      </c>
      <c r="X15" s="118">
        <f t="shared" si="5"/>
        <v>4.5400000000000063</v>
      </c>
      <c r="Y15" s="272">
        <f t="shared" si="6"/>
        <v>5.5099999999999945</v>
      </c>
      <c r="Z15" s="77">
        <f>_xll.BDP(D15&amp;" Equity","LAST_PRICE")</f>
        <v>80.459999999999994</v>
      </c>
      <c r="AA15" s="77" cm="1">
        <f t="array" ref="AA15">_xll.BDP(B15&amp;" Equity","OPT_STRIKE_PX")</f>
        <v>85</v>
      </c>
      <c r="AB15" s="76">
        <f t="shared" si="7"/>
        <v>5.6425553069848533E-2</v>
      </c>
      <c r="AC15" s="323" cm="1">
        <f t="array" ref="AC15">_xll.BDP($D15&amp;" Equity","volatility_10d")</f>
        <v>24.826031713116606</v>
      </c>
      <c r="AD15" s="77" cm="1">
        <f t="array" ref="AD15">_xll.BDP(B15&amp;" Equity","ivol_mid")</f>
        <v>58.185769999999998</v>
      </c>
      <c r="AE15" s="77">
        <f t="shared" si="8"/>
        <v>2.3437402591110876</v>
      </c>
      <c r="AF15" s="78" cm="1">
        <f t="array" ref="AF15">_xll.BDP(B15&amp;" Equity","DELTA_MID_RT")</f>
        <v>-0.53767228126525879</v>
      </c>
      <c r="AG15" s="75">
        <f>AL15/'Master P&amp;L'!$AE$7</f>
        <v>-3.8373254985074926E-4</v>
      </c>
      <c r="AH15" s="75">
        <f>AM15/'Master P&amp;L'!$AE$7</f>
        <v>-7.1369226798849276E-4</v>
      </c>
      <c r="AI15" s="437">
        <f>AO15/'Master P&amp;L'!$AD$7*10000</f>
        <v>-5.4560745609076146E-3</v>
      </c>
      <c r="AJ15" s="351">
        <f t="shared" si="9"/>
        <v>0.13962888559375544</v>
      </c>
      <c r="AK15" s="78">
        <f>AP15/'Master P&amp;L'!$AD$7*10000</f>
        <v>-1.5522762477999845E-2</v>
      </c>
      <c r="AL15" s="42">
        <f t="shared" si="10"/>
        <v>-865222.23501205421</v>
      </c>
      <c r="AM15" s="42">
        <f t="shared" si="11"/>
        <v>-1609199.9999999998</v>
      </c>
      <c r="AN15" s="78" cm="1">
        <f t="array" ref="AN15">_xll.BDP($B15&amp;" Equity","theta_mid_rt")</f>
        <v>-6.1510510742664337E-2</v>
      </c>
      <c r="AO15" s="42">
        <f t="shared" si="12"/>
        <v>-1230.2102148532867</v>
      </c>
      <c r="AP15" s="42">
        <f t="shared" si="13"/>
        <v>-3500.0000000000141</v>
      </c>
      <c r="AQ15" s="74" t="str" cm="1">
        <f t="array" ref="AQ15">_xll.BDP($D15&amp;" Equity","EXPECTED_REPORT_DT")</f>
        <v>05/03/2026</v>
      </c>
      <c r="AR15" s="235" cm="1">
        <f t="array" ref="AR15">_xll.BDP($B15&amp;" Equity","GAMMA_LAST")</f>
        <v>1.6752E-2</v>
      </c>
      <c r="AS15" s="73">
        <f t="shared" si="14"/>
        <v>21689.858384639992</v>
      </c>
      <c r="AT15" s="73">
        <f t="shared" si="15"/>
        <v>108449.29192319998</v>
      </c>
      <c r="AU15" s="73" t="s">
        <v>151</v>
      </c>
      <c r="AV15" s="322" cm="1">
        <f t="array" ref="AV15">_xll.BDP($D15&amp;" Equity","EST_PE_NXT_YR")*(AA15/Z15)</f>
        <v>23.68632802113094</v>
      </c>
      <c r="AW15" s="73"/>
      <c r="AX15" s="42"/>
      <c r="AY15" s="42">
        <v>10.050000000000001</v>
      </c>
      <c r="AZ15" s="355"/>
      <c r="BA15" s="42">
        <f t="shared" si="16"/>
        <v>10.050000000000001</v>
      </c>
      <c r="BB15" s="347">
        <f t="shared" si="17"/>
        <v>10.225000000000001</v>
      </c>
      <c r="BC15" s="347">
        <f t="shared" si="18"/>
        <v>3500.0000000000141</v>
      </c>
      <c r="BD15" s="347">
        <f>BC15/'Master P&amp;L'!$AD$7*10000</f>
        <v>1.5522762477999845E-2</v>
      </c>
    </row>
    <row r="16" spans="1:56">
      <c r="A16" s="357"/>
      <c r="B16" t="s">
        <v>2095</v>
      </c>
      <c r="C16" t="str" cm="1">
        <f t="array" ref="C16">_xll.BDP($B16&amp;" Equity","opt_put_call")</f>
        <v>Put</v>
      </c>
      <c r="D16" t="str" cm="1">
        <f t="array" ref="D16">_xll.BDP(B16&amp;" Equity","OPT_UNDL_TICKER")</f>
        <v>MRVL US</v>
      </c>
      <c r="E16" t="str" cm="1">
        <f t="array" ref="E16">_xll.BDP($B16&amp;" Equity","mifid_Maturity_date")</f>
        <v>20/03/2026</v>
      </c>
      <c r="F16" cm="1">
        <f t="array" ref="F16">_xll.BDP($B16&amp;" Equity","opt_days_expire")</f>
        <v>63</v>
      </c>
      <c r="G16" t="str" cm="1">
        <f t="array" ref="G16">_xll.BDP(B16&amp;" Equity","QUOTED_CURRENCY_REALTIME")</f>
        <v>USD</v>
      </c>
      <c r="H16" s="15">
        <v>-100</v>
      </c>
      <c r="I16" s="411">
        <v>3.91</v>
      </c>
      <c r="J16" s="416">
        <f>VLOOKUP(B16,Precificação!$B:$O,14,FALSE)</f>
        <v>7.3250000000000002</v>
      </c>
      <c r="K16" s="74">
        <f t="shared" si="19"/>
        <v>7.3250000000000002</v>
      </c>
      <c r="L16" s="74" cm="1">
        <f t="array" ref="L16">_xll.BDP($B16&amp;" Equity","mid")</f>
        <v>7.13</v>
      </c>
      <c r="M16" s="19">
        <f t="shared" si="1"/>
        <v>8.8615461098682582E-2</v>
      </c>
      <c r="N16" s="351"/>
      <c r="O16" s="19">
        <f t="shared" si="2"/>
        <v>-2.662116040955631E-2</v>
      </c>
      <c r="P16" s="36" cm="1">
        <f t="array" ref="P16">_xll.BDP($B16&amp;" Equity","bid")</f>
        <v>6.95</v>
      </c>
      <c r="Q16" s="36" cm="1">
        <f t="array" ref="Q16">_xll.BDP($B16&amp;" Equity","ask")</f>
        <v>7.3</v>
      </c>
      <c r="R16" s="40">
        <f t="shared" si="3"/>
        <v>5.0359712230215736E-2</v>
      </c>
      <c r="S16" s="36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4"/>
        <v>-71300</v>
      </c>
      <c r="V16" s="124">
        <f>U16/'Master P&amp;L'!$AD$7*10000</f>
        <v>-0.31622084705182413</v>
      </c>
      <c r="W16" s="124">
        <f>(Y16*H16*T16/S16)/'Master P&amp;L'!$AD$7*10000</f>
        <v>-0.31622084705182413</v>
      </c>
      <c r="X16" s="414">
        <f t="shared" si="5"/>
        <v>0</v>
      </c>
      <c r="Y16" s="273">
        <f t="shared" si="6"/>
        <v>7.13</v>
      </c>
      <c r="Z16" s="37">
        <f>_xll.BDP(D16&amp;" Equity","LAST_PRICE")</f>
        <v>80.459999999999994</v>
      </c>
      <c r="AA16" s="37" cm="1">
        <f t="array" ref="AA16">_xll.BDP(B16&amp;" Equity","OPT_STRIKE_PX")</f>
        <v>80</v>
      </c>
      <c r="AB16" s="40">
        <f t="shared" si="7"/>
        <v>-5.7171265224955636E-3</v>
      </c>
      <c r="AC16" s="324" cm="1">
        <f t="array" ref="AC16">_xll.BDP($D16&amp;" Equity","volatility_10d")</f>
        <v>24.826031713116606</v>
      </c>
      <c r="AD16" s="37" cm="1">
        <f t="array" ref="AD16">_xll.BDP(B16&amp;" Equity","ivol_mid")</f>
        <v>58.172759999999997</v>
      </c>
      <c r="AE16" s="37">
        <f t="shared" si="8"/>
        <v>2.34321621241082</v>
      </c>
      <c r="AF16" s="38" cm="1">
        <f t="array" ref="AF16">_xll.BDP(B16&amp;" Equity","DELTA_MID_RT")</f>
        <v>-0.43524041771888733</v>
      </c>
      <c r="AG16" s="19">
        <f>AL16/'Master P&amp;L'!$AE$7</f>
        <v>1.5531386042102585E-4</v>
      </c>
      <c r="AH16" s="19">
        <f>AM16/'Master P&amp;L'!$AE$7</f>
        <v>3.5684613399424638E-4</v>
      </c>
      <c r="AI16" s="436">
        <f>AO16/'Master P&amp;L'!$AD$7*10000</f>
        <v>2.688997253624612E-3</v>
      </c>
      <c r="AJ16" s="351">
        <f t="shared" si="9"/>
        <v>-6.8815351714294704E-2</v>
      </c>
      <c r="AK16" s="38">
        <f>AP16/'Master P&amp;L'!$AD$7*10000</f>
        <v>8.6483962377427483E-3</v>
      </c>
      <c r="AL16" s="15">
        <f t="shared" si="10"/>
        <v>350194.44009661669</v>
      </c>
      <c r="AM16" s="15">
        <f t="shared" si="11"/>
        <v>804599.99999999988</v>
      </c>
      <c r="AN16" s="38" cm="1">
        <f t="array" ref="AN16">_xll.BDP($B16&amp;" Equity","theta_mid_rt")</f>
        <v>-6.0630254447460175E-2</v>
      </c>
      <c r="AO16" s="15">
        <f t="shared" si="12"/>
        <v>606.30254447460175</v>
      </c>
      <c r="AP16" s="15">
        <f t="shared" si="13"/>
        <v>1950.0000000000027</v>
      </c>
      <c r="AQ16" s="36" t="str" cm="1">
        <f t="array" ref="AQ16">_xll.BDP($D16&amp;" Equity","EXPECTED_REPORT_DT")</f>
        <v>05/03/2026</v>
      </c>
      <c r="AR16" s="66" cm="1">
        <f t="array" ref="AR16">_xll.BDP($B16&amp;" Equity","GAMMA_LAST")</f>
        <v>1.6431999999999999E-2</v>
      </c>
      <c r="AS16">
        <f t="shared" si="14"/>
        <v>-10637.767221119997</v>
      </c>
      <c r="AT16">
        <f t="shared" si="15"/>
        <v>-53188.836105599992</v>
      </c>
      <c r="AU16" t="s">
        <v>151</v>
      </c>
      <c r="AV16" s="277" cm="1">
        <f t="array" ref="AV16">_xll.BDP($D16&amp;" Equity","EST_PE_NXT_YR")*(AA16/Z16)</f>
        <v>22.293014608123237</v>
      </c>
      <c r="AX16" s="15"/>
      <c r="AY16" s="15">
        <v>7.13</v>
      </c>
      <c r="AZ16" s="356"/>
      <c r="BA16" s="15">
        <f t="shared" si="16"/>
        <v>7.13</v>
      </c>
      <c r="BB16" s="415">
        <f t="shared" si="17"/>
        <v>7.3250000000000002</v>
      </c>
      <c r="BC16" s="415">
        <f t="shared" si="18"/>
        <v>-1950.0000000000027</v>
      </c>
      <c r="BD16" s="415">
        <f>BC16/'Master P&amp;L'!$AD$7*10000</f>
        <v>-8.6483962377427483E-3</v>
      </c>
    </row>
    <row r="17" spans="1:56" s="59" customFormat="1">
      <c r="A17" s="335"/>
      <c r="B17" s="73" t="s">
        <v>2140</v>
      </c>
      <c r="C17" s="73" t="str" cm="1">
        <f t="array" ref="C17">_xll.BDP($B17&amp;" Equity","opt_put_call")</f>
        <v>Put</v>
      </c>
      <c r="D17" s="73" t="str" cm="1">
        <f t="array" ref="D17">_xll.BDP(B17&amp;" Equity","OPT_UNDL_TICKER")</f>
        <v>MRVL US</v>
      </c>
      <c r="E17" s="73" t="str" cm="1">
        <f t="array" ref="E17">_xll.BDP($B17&amp;" Equity","mifid_Maturity_date")</f>
        <v>20/03/2026</v>
      </c>
      <c r="F17" s="73" cm="1">
        <f t="array" ref="F17">_xll.BDP($B17&amp;" Equity","opt_days_expire")</f>
        <v>63</v>
      </c>
      <c r="G17" s="73" t="str" cm="1">
        <f t="array" ref="G17">_xll.BDP(B17&amp;" Equity","QUOTED_CURRENCY_REALTIME")</f>
        <v>USD</v>
      </c>
      <c r="H17" s="42">
        <v>-100</v>
      </c>
      <c r="I17" s="410">
        <v>4.5999999999999996</v>
      </c>
      <c r="J17" s="416">
        <f>VLOOKUP(B17,Precificação!$B:$O,14,FALSE)</f>
        <v>4.9499999999999993</v>
      </c>
      <c r="K17" s="74">
        <f t="shared" si="19"/>
        <v>4.9499999999999993</v>
      </c>
      <c r="L17" s="74" cm="1">
        <f t="array" ref="L17">_xll.BDP($B17&amp;" Equity","mid")</f>
        <v>4.83</v>
      </c>
      <c r="M17" s="75">
        <f t="shared" si="1"/>
        <v>6.0029828486204334E-2</v>
      </c>
      <c r="N17" s="353"/>
      <c r="O17" s="75">
        <f t="shared" si="2"/>
        <v>-2.4242424242424065E-2</v>
      </c>
      <c r="P17" s="74" cm="1">
        <f t="array" ref="P17">_xll.BDP($B17&amp;" Equity","bid")</f>
        <v>4.7</v>
      </c>
      <c r="Q17" s="74" cm="1">
        <f t="array" ref="Q17">_xll.BDP($B17&amp;" Equity","ask")</f>
        <v>4.95</v>
      </c>
      <c r="R17" s="76">
        <f t="shared" si="3"/>
        <v>5.3191489361702038E-2</v>
      </c>
      <c r="S17" s="36" cm="1">
        <f t="array" ref="S17">_xll.BDP(G17&amp;" Curncy","PX_LAST")</f>
        <v>1</v>
      </c>
      <c r="T17" s="42" cm="1">
        <f t="array" ref="T17">_xll.BDP(B17&amp;" Equity","OPT_MULTIPLIER")</f>
        <v>100</v>
      </c>
      <c r="U17" s="42">
        <f t="shared" si="4"/>
        <v>-48300</v>
      </c>
      <c r="V17" s="113">
        <f>U17/'Master P&amp;L'!$AD$7*10000</f>
        <v>-0.21421412219639699</v>
      </c>
      <c r="W17" s="113">
        <f>(Y17*H17*T17/S17)/'Master P&amp;L'!$AD$7*10000</f>
        <v>-0.21421412219639699</v>
      </c>
      <c r="X17" s="118">
        <f t="shared" si="5"/>
        <v>0</v>
      </c>
      <c r="Y17" s="272">
        <f t="shared" si="6"/>
        <v>4.83</v>
      </c>
      <c r="Z17" s="77">
        <f>_xll.BDP(D17&amp;" Equity","LAST_PRICE")</f>
        <v>80.459999999999994</v>
      </c>
      <c r="AA17" s="77" cm="1">
        <f t="array" ref="AA17">_xll.BDP(B17&amp;" Equity","OPT_STRIKE_PX")</f>
        <v>75</v>
      </c>
      <c r="AB17" s="76">
        <f t="shared" si="7"/>
        <v>-6.7859806114839549E-2</v>
      </c>
      <c r="AC17" s="323" cm="1">
        <f t="array" ref="AC17">_xll.BDP($D17&amp;" Equity","volatility_10d")</f>
        <v>24.826031713116606</v>
      </c>
      <c r="AD17" s="77" cm="1">
        <f t="array" ref="AD17">_xll.BDP(B17&amp;" Equity","ivol_mid")</f>
        <v>58.410220000000002</v>
      </c>
      <c r="AE17" s="77">
        <f t="shared" si="8"/>
        <v>2.35278117239895</v>
      </c>
      <c r="AF17" s="78" cm="1">
        <f t="array" ref="AF17">_xll.BDP(B17&amp;" Equity","DELTA_MID_RT")</f>
        <v>-0.33141875267028809</v>
      </c>
      <c r="AG17" s="75">
        <f>AL17/'Master P&amp;L'!$AE$7</f>
        <v>1.1826550062358764E-4</v>
      </c>
      <c r="AH17" s="75">
        <f>AM17/'Master P&amp;L'!$AE$7</f>
        <v>3.5684613399424638E-4</v>
      </c>
      <c r="AI17" s="437">
        <f>AO17/'Master P&amp;L'!$AD$7*10000</f>
        <v>2.5056633433325954E-3</v>
      </c>
      <c r="AJ17" s="351">
        <f t="shared" si="9"/>
        <v>-6.412357023296511E-2</v>
      </c>
      <c r="AK17" s="78">
        <f>AP17/'Master P&amp;L'!$AD$7*10000</f>
        <v>5.3220899924570336E-3</v>
      </c>
      <c r="AL17" s="42">
        <f t="shared" si="10"/>
        <v>266659.52839851379</v>
      </c>
      <c r="AM17" s="42">
        <f t="shared" si="11"/>
        <v>804599.99999999988</v>
      </c>
      <c r="AN17" s="78" cm="1">
        <f t="array" ref="AN17">_xll.BDP($B17&amp;" Equity","theta_mid_rt")</f>
        <v>-5.6496527045965195E-2</v>
      </c>
      <c r="AO17" s="42">
        <f t="shared" si="12"/>
        <v>564.96527045965195</v>
      </c>
      <c r="AP17" s="42">
        <f t="shared" si="13"/>
        <v>1199.9999999999923</v>
      </c>
      <c r="AQ17" s="74" t="str" cm="1">
        <f t="array" ref="AQ17">_xll.BDP($D17&amp;" Equity","EXPECTED_REPORT_DT")</f>
        <v>05/03/2026</v>
      </c>
      <c r="AR17" s="235" cm="1">
        <f t="array" ref="AR17">_xll.BDP($B17&amp;" Equity","GAMMA_LAST")</f>
        <v>1.5055000000000001E-2</v>
      </c>
      <c r="AS17" s="73">
        <f t="shared" si="14"/>
        <v>-9746.3233637999983</v>
      </c>
      <c r="AT17" s="73">
        <f t="shared" si="15"/>
        <v>-48731.616818999995</v>
      </c>
      <c r="AU17" s="73" t="s">
        <v>151</v>
      </c>
      <c r="AV17" s="322" cm="1">
        <f t="array" ref="AV17">_xll.BDP($D17&amp;" Equity","EST_PE_NXT_YR")*(AA17/Z17)</f>
        <v>20.899701195115533</v>
      </c>
      <c r="AW17" s="73"/>
      <c r="AX17" s="42"/>
      <c r="AY17" s="42">
        <v>4.83</v>
      </c>
      <c r="AZ17" s="355"/>
      <c r="BA17" s="42">
        <f t="shared" si="16"/>
        <v>4.83</v>
      </c>
      <c r="BB17" s="347">
        <f t="shared" si="17"/>
        <v>4.9499999999999993</v>
      </c>
      <c r="BC17" s="347">
        <f t="shared" si="18"/>
        <v>-1199.9999999999923</v>
      </c>
      <c r="BD17" s="347">
        <f>BC17/'Master P&amp;L'!$AD$7*10000</f>
        <v>-5.3220899924570336E-3</v>
      </c>
    </row>
    <row r="18" spans="1:56" s="385" customFormat="1">
      <c r="A18" s="541"/>
      <c r="B18" s="385" t="s">
        <v>2084</v>
      </c>
      <c r="C18" s="385" t="str" cm="1">
        <f t="array" ref="C18">_xll.BDP($B18&amp;" Equity","opt_put_call")</f>
        <v>Call</v>
      </c>
      <c r="D18" s="385" t="str" cm="1">
        <f t="array" ref="D18">_xll.BDP(B18&amp;" Equity","OPT_UNDL_TICKER")</f>
        <v>MSFT US</v>
      </c>
      <c r="E18" s="385" t="str" cm="1">
        <f t="array" ref="E18">_xll.BDP($B18&amp;" Equity","mifid_Maturity_date")</f>
        <v>20/03/2026</v>
      </c>
      <c r="F18" s="385" cm="1">
        <f t="array" ref="F18">_xll.BDP($B18&amp;" Equity","opt_days_expire")</f>
        <v>63</v>
      </c>
      <c r="G18" s="385" t="str" cm="1">
        <f t="array" ref="G18">_xll.BDP(B18&amp;" Equity","QUOTED_CURRENCY_REALTIME")</f>
        <v>USD</v>
      </c>
      <c r="H18" s="542">
        <v>-50</v>
      </c>
      <c r="I18" s="543">
        <v>15.9</v>
      </c>
      <c r="J18" s="123">
        <f>VLOOKUP(B18,Precificação!$B:$O,14,FALSE)</f>
        <v>4.5</v>
      </c>
      <c r="K18" s="123">
        <f t="shared" si="19"/>
        <v>4.5</v>
      </c>
      <c r="L18" s="123">
        <v>4.74</v>
      </c>
      <c r="M18" s="413">
        <f t="shared" si="1"/>
        <v>1.0307484886704649E-2</v>
      </c>
      <c r="N18" s="544"/>
      <c r="O18" s="413">
        <f t="shared" si="2"/>
        <v>5.3333333333333455E-2</v>
      </c>
      <c r="P18" s="123" cm="1">
        <f t="array" ref="P18">_xll.BDP($B18&amp;" Equity","bid")</f>
        <v>4.1500000000000004</v>
      </c>
      <c r="Q18" s="123" cm="1">
        <f t="array" ref="Q18">_xll.BDP($B18&amp;" Equity","ask")</f>
        <v>4.3</v>
      </c>
      <c r="R18" s="545">
        <f t="shared" si="3"/>
        <v>3.6144578313252795E-2</v>
      </c>
      <c r="S18" s="123" cm="1">
        <f t="array" ref="S18">_xll.BDP(G18&amp;" Curncy","PX_LAST")</f>
        <v>1</v>
      </c>
      <c r="T18" s="542" cm="1">
        <f t="array" ref="T18">_xll.BDP(B18&amp;" Equity","OPT_MULTIPLIER")</f>
        <v>100</v>
      </c>
      <c r="U18" s="542">
        <f t="shared" si="4"/>
        <v>-23700</v>
      </c>
      <c r="V18" s="546">
        <f>U18/'Master P&amp;L'!$AD$7*10000</f>
        <v>-0.10511127735102711</v>
      </c>
      <c r="W18" s="546">
        <f>(Y18*H18*T18/S18)/'Master P&amp;L'!$AD$7*10000</f>
        <v>-0.10511127735102711</v>
      </c>
      <c r="X18" s="547">
        <f t="shared" si="5"/>
        <v>0</v>
      </c>
      <c r="Y18" s="548">
        <f t="shared" si="6"/>
        <v>4.74</v>
      </c>
      <c r="Z18" s="549">
        <f>_xll.BDP(D18&amp;" Equity","LAST_PRICE")</f>
        <v>459.86</v>
      </c>
      <c r="AA18" s="549" cm="1">
        <f t="array" ref="AA18">_xll.BDP(B18&amp;" Equity","OPT_STRIKE_PX")</f>
        <v>515</v>
      </c>
      <c r="AB18" s="545">
        <f t="shared" si="7"/>
        <v>0.11990605836558954</v>
      </c>
      <c r="AC18" s="550" cm="1">
        <f t="array" ref="AC18">_xll.BDP($D18&amp;" Equity","volatility_10d")</f>
        <v>18.688247818229726</v>
      </c>
      <c r="AD18" s="549" cm="1">
        <f t="array" ref="AD18">_xll.BDP(B18&amp;" Equity","ivol_mid")</f>
        <v>27.29102</v>
      </c>
      <c r="AE18" s="549">
        <f t="shared" si="8"/>
        <v>1.4603305920086618</v>
      </c>
      <c r="AF18" s="551"/>
      <c r="AG18" s="413"/>
      <c r="AH18" s="413"/>
      <c r="AI18" s="552"/>
      <c r="AJ18" s="544">
        <f t="shared" si="9"/>
        <v>0</v>
      </c>
      <c r="AK18" s="551">
        <f>AP18/'Master P&amp;L'!$AD$7*10000</f>
        <v>-5.3220899924570735E-3</v>
      </c>
      <c r="AL18" s="542">
        <f t="shared" si="10"/>
        <v>0</v>
      </c>
      <c r="AM18" s="542">
        <f t="shared" si="11"/>
        <v>-2299300</v>
      </c>
      <c r="AN18" s="551" cm="1">
        <f t="array" ref="AN18">_xll.BDP($B18&amp;" Equity","theta_mid_rt")</f>
        <v>-0.10775970667600632</v>
      </c>
      <c r="AO18" s="542">
        <f t="shared" si="12"/>
        <v>538.79853338003159</v>
      </c>
      <c r="AP18" s="542">
        <f t="shared" si="13"/>
        <v>-1200.0000000000011</v>
      </c>
      <c r="AQ18" s="123" t="str" cm="1">
        <f t="array" ref="AQ18">_xll.BDP($D18&amp;" Equity","EXPECTED_REPORT_DT")</f>
        <v>28/01/2026</v>
      </c>
      <c r="AR18" s="553" cm="1">
        <f t="array" ref="AR18">_xll.BDP($B18&amp;" Equity","GAMMA_LAST")</f>
        <v>2.2078E-2</v>
      </c>
      <c r="AS18" s="385">
        <f t="shared" si="14"/>
        <v>-233443.07931644004</v>
      </c>
      <c r="AT18" s="385">
        <f t="shared" si="15"/>
        <v>-1167215.3965822</v>
      </c>
      <c r="AU18" s="385" t="s">
        <v>151</v>
      </c>
      <c r="AV18" s="369" cm="1">
        <f t="array" ref="AV18">_xll.BDP($D18&amp;" Equity","EST_PE_NXT_YR")*(AA18/Z18)</f>
        <v>27.182752238398539</v>
      </c>
      <c r="AX18" s="542"/>
      <c r="AY18" s="542">
        <v>4.74</v>
      </c>
      <c r="AZ18" s="554"/>
      <c r="BA18" s="542">
        <f t="shared" si="16"/>
        <v>4.74</v>
      </c>
      <c r="BB18" s="555">
        <f t="shared" si="17"/>
        <v>4.5</v>
      </c>
      <c r="BC18" s="555">
        <f t="shared" si="18"/>
        <v>1200.0000000000011</v>
      </c>
      <c r="BD18" s="555">
        <f>BC18/'Master P&amp;L'!$AD$7*10000</f>
        <v>5.3220899924570735E-3</v>
      </c>
    </row>
    <row r="19" spans="1:56" s="59" customFormat="1">
      <c r="A19" s="335"/>
      <c r="B19" s="73" t="s">
        <v>2085</v>
      </c>
      <c r="C19" s="73" t="str" cm="1">
        <f t="array" ref="C19">_xll.BDP($B19&amp;" Equity","opt_put_call")</f>
        <v>Call</v>
      </c>
      <c r="D19" s="73" t="str" cm="1">
        <f t="array" ref="D19">_xll.BDP(B19&amp;" Equity","OPT_UNDL_TICKER")</f>
        <v>MSFT US</v>
      </c>
      <c r="E19" s="73" t="str" cm="1">
        <f t="array" ref="E19">_xll.BDP($B19&amp;" Equity","mifid_Maturity_date")</f>
        <v>20/03/2026</v>
      </c>
      <c r="F19" s="73" cm="1">
        <f t="array" ref="F19">_xll.BDP($B19&amp;" Equity","opt_days_expire")</f>
        <v>63</v>
      </c>
      <c r="G19" s="73" t="str" cm="1">
        <f t="array" ref="G19">_xll.BDP(B19&amp;" Equity","QUOTED_CURRENCY_REALTIME")</f>
        <v>USD</v>
      </c>
      <c r="H19" s="42">
        <v>125</v>
      </c>
      <c r="I19" s="410">
        <v>26.07</v>
      </c>
      <c r="J19" s="416">
        <f>VLOOKUP(B19,Precificação!$B:$O,14,FALSE)</f>
        <v>9.7250000000000014</v>
      </c>
      <c r="K19" s="74">
        <f t="shared" si="19"/>
        <v>9.7250000000000014</v>
      </c>
      <c r="L19" s="74" cm="1">
        <f t="array" ref="L19">_xll.BDP($B19&amp;" Equity","mid")</f>
        <v>9.52</v>
      </c>
      <c r="M19" s="75">
        <f t="shared" si="1"/>
        <v>2.0701952768233809E-2</v>
      </c>
      <c r="N19" s="353"/>
      <c r="O19" s="75">
        <f t="shared" si="2"/>
        <v>-2.1079691516709742E-2</v>
      </c>
      <c r="P19" s="74" cm="1">
        <f t="array" ref="P19">_xll.BDP($B19&amp;" Equity","bid")</f>
        <v>9.4499999999999993</v>
      </c>
      <c r="Q19" s="74" cm="1">
        <f t="array" ref="Q19">_xll.BDP($B19&amp;" Equity","ask")</f>
        <v>9.6</v>
      </c>
      <c r="R19" s="76">
        <f t="shared" si="3"/>
        <v>1.5873015873015817E-2</v>
      </c>
      <c r="S19" s="36" cm="1">
        <f t="array" ref="S19">_xll.BDP(G19&amp;" Curncy","PX_LAST")</f>
        <v>1</v>
      </c>
      <c r="T19" s="42" cm="1">
        <f t="array" ref="T19">_xll.BDP(B19&amp;" Equity","OPT_MULTIPLIER")</f>
        <v>100</v>
      </c>
      <c r="U19" s="42">
        <f t="shared" si="4"/>
        <v>119000</v>
      </c>
      <c r="V19" s="113">
        <f>U19/'Master P&amp;L'!$AD$7*10000</f>
        <v>0.52777392425199265</v>
      </c>
      <c r="W19" s="113">
        <f>(Y19*H19*T19/S19)/'Master P&amp;L'!$AD$7*10000</f>
        <v>0.52777392425199265</v>
      </c>
      <c r="X19" s="118">
        <f t="shared" si="5"/>
        <v>0</v>
      </c>
      <c r="Y19" s="272">
        <f t="shared" si="6"/>
        <v>9.52</v>
      </c>
      <c r="Z19" s="77">
        <f>_xll.BDP(D19&amp;" Equity","LAST_PRICE")</f>
        <v>459.86</v>
      </c>
      <c r="AA19" s="77" cm="1">
        <f t="array" ref="AA19">_xll.BDP(B19&amp;" Equity","OPT_STRIKE_PX")</f>
        <v>490</v>
      </c>
      <c r="AB19" s="76">
        <f t="shared" si="7"/>
        <v>6.55416866002696E-2</v>
      </c>
      <c r="AC19" s="323" cm="1">
        <f t="array" ref="AC19">_xll.BDP($D19&amp;" Equity","volatility_10d")</f>
        <v>18.688247818229726</v>
      </c>
      <c r="AD19" s="77" cm="1">
        <f t="array" ref="AD19">_xll.BDP(B19&amp;" Equity","ivol_mid")</f>
        <v>27.703600000000002</v>
      </c>
      <c r="AE19" s="77">
        <f t="shared" si="8"/>
        <v>1.4824075680854423</v>
      </c>
      <c r="AF19" s="78" cm="1">
        <f t="array" ref="AF19">_xll.BDP(B19&amp;" Equity","DELTA_MID_RT")</f>
        <v>0.31362602114677429</v>
      </c>
      <c r="AG19" s="75">
        <f>AL19/'Master P&amp;L'!$AE$7</f>
        <v>7.9955566405387566E-4</v>
      </c>
      <c r="AH19" s="75">
        <f>AM19/'Master P&amp;L'!$AE$7</f>
        <v>2.5493919832617787E-3</v>
      </c>
      <c r="AI19" s="437">
        <f>AO19/'Master P&amp;L'!$AD$7*10000</f>
        <v>-8.7430274903027832E-3</v>
      </c>
      <c r="AJ19" s="351">
        <f t="shared" si="9"/>
        <v>0.22374679296601663</v>
      </c>
      <c r="AK19" s="78">
        <f>AP19/'Master P&amp;L'!$AD$7*10000</f>
        <v>-1.13648796713928E-2</v>
      </c>
      <c r="AL19" s="42">
        <f t="shared" si="10"/>
        <v>1802800.7760569458</v>
      </c>
      <c r="AM19" s="42">
        <f t="shared" si="11"/>
        <v>5748250</v>
      </c>
      <c r="AN19" s="78" cm="1">
        <f t="array" ref="AN19">_xll.BDP($B19&amp;" Equity","theta_mid_rt")</f>
        <v>-0.15770696103572845</v>
      </c>
      <c r="AO19" s="42">
        <f t="shared" si="12"/>
        <v>-1971.3370129466057</v>
      </c>
      <c r="AP19" s="42">
        <f t="shared" si="13"/>
        <v>-2562.5000000000232</v>
      </c>
      <c r="AQ19" s="74" t="str" cm="1">
        <f t="array" ref="AQ19">_xll.BDP($D19&amp;" Equity","EXPECTED_REPORT_DT")</f>
        <v>28/01/2026</v>
      </c>
      <c r="AR19" s="235" cm="1">
        <f t="array" ref="AR19">_xll.BDP($B19&amp;" Equity","GAMMA_LAST")</f>
        <v>3.023E-2</v>
      </c>
      <c r="AS19" s="73">
        <f t="shared" si="14"/>
        <v>799096.87106350006</v>
      </c>
      <c r="AT19" s="73">
        <f t="shared" si="15"/>
        <v>3995484.3553175</v>
      </c>
      <c r="AU19" s="73" t="s">
        <v>151</v>
      </c>
      <c r="AV19" s="322" cm="1">
        <f t="array" ref="AV19">_xll.BDP($D19&amp;" Equity","EST_PE_NXT_YR")*(AA19/Z19)</f>
        <v>25.863201158864626</v>
      </c>
      <c r="AW19" s="73"/>
      <c r="AX19" s="42"/>
      <c r="AY19" s="42">
        <v>9.52</v>
      </c>
      <c r="AZ19" s="355"/>
      <c r="BA19" s="42">
        <f t="shared" si="16"/>
        <v>9.52</v>
      </c>
      <c r="BB19" s="347">
        <f t="shared" si="17"/>
        <v>9.7250000000000014</v>
      </c>
      <c r="BC19" s="347">
        <f t="shared" si="18"/>
        <v>2562.5000000000232</v>
      </c>
      <c r="BD19" s="347">
        <f>BC19/'Master P&amp;L'!$AD$7*10000</f>
        <v>1.13648796713928E-2</v>
      </c>
    </row>
    <row r="20" spans="1:56">
      <c r="A20" s="357"/>
      <c r="B20" t="s">
        <v>2086</v>
      </c>
      <c r="C20" t="str" cm="1">
        <f t="array" ref="C20">_xll.BDP($B20&amp;" Equity","opt_put_call")</f>
        <v>Put</v>
      </c>
      <c r="D20" t="str" cm="1">
        <f t="array" ref="D20">_xll.BDP(B20&amp;" Equity","OPT_UNDL_TICKER")</f>
        <v>MSFT US</v>
      </c>
      <c r="E20" t="str" cm="1">
        <f t="array" ref="E20">_xll.BDP($B20&amp;" Equity","mifid_Maturity_date")</f>
        <v>20/03/2026</v>
      </c>
      <c r="F20" cm="1">
        <f t="array" ref="F20">_xll.BDP($B20&amp;" Equity","opt_days_expire")</f>
        <v>63</v>
      </c>
      <c r="G20" t="str" cm="1">
        <f t="array" ref="G20">_xll.BDP(B20&amp;" Equity","QUOTED_CURRENCY_REALTIME")</f>
        <v>USD</v>
      </c>
      <c r="H20" s="15">
        <v>-50</v>
      </c>
      <c r="I20" s="411">
        <v>17.829999999999998</v>
      </c>
      <c r="J20" s="416">
        <f>VLOOKUP(B20,Precificação!$B:$O,14,FALSE)</f>
        <v>24.700000000000003</v>
      </c>
      <c r="K20" s="74">
        <f t="shared" si="19"/>
        <v>24.700000000000003</v>
      </c>
      <c r="L20" s="74" cm="1">
        <f t="array" ref="L20">_xll.BDP($B20&amp;" Equity","mid")</f>
        <v>22.15</v>
      </c>
      <c r="M20" s="19">
        <f t="shared" si="1"/>
        <v>4.8166833384073411E-2</v>
      </c>
      <c r="N20" s="351"/>
      <c r="O20" s="19">
        <f t="shared" si="2"/>
        <v>-0.10323886639676128</v>
      </c>
      <c r="P20" s="36" cm="1">
        <f t="array" ref="P20">_xll.BDP($B20&amp;" Equity","bid")</f>
        <v>22.05</v>
      </c>
      <c r="Q20" s="36" cm="1">
        <f t="array" ref="Q20">_xll.BDP($B20&amp;" Equity","ask")</f>
        <v>22.25</v>
      </c>
      <c r="R20" s="40">
        <f t="shared" si="3"/>
        <v>9.0702947845804349E-3</v>
      </c>
      <c r="S20" s="36" cm="1">
        <f t="array" ref="S20">_xll.BDP(G20&amp;" Curncy","PX_LAST")</f>
        <v>1</v>
      </c>
      <c r="T20" s="15" cm="1">
        <f t="array" ref="T20">_xll.BDP(B20&amp;" Equity","OPT_MULTIPLIER")</f>
        <v>100</v>
      </c>
      <c r="U20" s="15">
        <f t="shared" si="4"/>
        <v>-110750</v>
      </c>
      <c r="V20" s="124">
        <f>U20/'Master P&amp;L'!$AD$7*10000</f>
        <v>-0.49118455555385027</v>
      </c>
      <c r="W20" s="124">
        <f>(Y20*H20*T20/S20)/'Master P&amp;L'!$AD$7*10000</f>
        <v>-0.37720312821539498</v>
      </c>
      <c r="X20" s="414">
        <f t="shared" si="5"/>
        <v>5.1399999999999864</v>
      </c>
      <c r="Y20" s="273">
        <f t="shared" si="6"/>
        <v>17.010000000000012</v>
      </c>
      <c r="Z20" s="37">
        <f>_xll.BDP(D20&amp;" Equity","LAST_PRICE")</f>
        <v>459.86</v>
      </c>
      <c r="AA20" s="37" cm="1">
        <f t="array" ref="AA20">_xll.BDP(B20&amp;" Equity","OPT_STRIKE_PX")</f>
        <v>465</v>
      </c>
      <c r="AB20" s="40">
        <f t="shared" si="7"/>
        <v>1.1177314834949659E-2</v>
      </c>
      <c r="AC20" s="324" cm="1">
        <f t="array" ref="AC20">_xll.BDP($D20&amp;" Equity","volatility_10d")</f>
        <v>18.688247818229726</v>
      </c>
      <c r="AD20" s="37" cm="1">
        <f t="array" ref="AD20">_xll.BDP(B20&amp;" Equity","ivol_mid")</f>
        <v>28.43309</v>
      </c>
      <c r="AE20" s="37">
        <f t="shared" si="8"/>
        <v>1.5214422602136368</v>
      </c>
      <c r="AF20" s="38" cm="1">
        <f t="array" ref="AF20">_xll.BDP(B20&amp;" Equity","DELTA_MID_RT")</f>
        <v>-0.50706934928894043</v>
      </c>
      <c r="AG20" s="19">
        <f>AL20/'Master P&amp;L'!$AE$7</f>
        <v>5.1708741361399652E-4</v>
      </c>
      <c r="AH20" s="19">
        <f>AM20/'Master P&amp;L'!$AE$7</f>
        <v>1.0197567933047113E-3</v>
      </c>
      <c r="AI20" s="436">
        <f>AO20/'Master P&amp;L'!$AD$7*10000</f>
        <v>3.7231561509725617E-3</v>
      </c>
      <c r="AJ20" s="351">
        <f t="shared" si="9"/>
        <v>-9.5280982407497786E-2</v>
      </c>
      <c r="AK20" s="38">
        <f>AP20/'Master P&amp;L'!$AD$7*10000</f>
        <v>5.6547206169856444E-2</v>
      </c>
      <c r="AL20" s="15">
        <f t="shared" si="10"/>
        <v>1165904.5548200607</v>
      </c>
      <c r="AM20" s="15">
        <f t="shared" si="11"/>
        <v>2299300</v>
      </c>
      <c r="AN20" s="38" cm="1">
        <f t="array" ref="AN20">_xll.BDP($B20&amp;" Equity","theta_mid_rt")</f>
        <v>-0.16789597272872925</v>
      </c>
      <c r="AO20" s="15">
        <f t="shared" si="12"/>
        <v>839.47986364364624</v>
      </c>
      <c r="AP20" s="15">
        <f t="shared" si="13"/>
        <v>12750.000000000022</v>
      </c>
      <c r="AQ20" s="36" t="str" cm="1">
        <f t="array" ref="AQ20">_xll.BDP($D20&amp;" Equity","EXPECTED_REPORT_DT")</f>
        <v>28/01/2026</v>
      </c>
      <c r="AR20" s="66" cm="1">
        <f t="array" ref="AR20">_xll.BDP($B20&amp;" Equity","GAMMA_LAST")</f>
        <v>3.4251999999999998E-2</v>
      </c>
      <c r="AS20">
        <f t="shared" si="14"/>
        <v>-362165.61068695999</v>
      </c>
      <c r="AT20">
        <f t="shared" si="15"/>
        <v>-1810828.0534347999</v>
      </c>
      <c r="AU20" t="s">
        <v>151</v>
      </c>
      <c r="AV20" s="277" cm="1">
        <f t="array" ref="AV20">_xll.BDP($D20&amp;" Equity","EST_PE_NXT_YR")*(AA20/Z20)</f>
        <v>24.543650079330718</v>
      </c>
      <c r="AX20" s="15"/>
      <c r="AY20" s="15">
        <v>22.15</v>
      </c>
      <c r="AZ20" s="356"/>
      <c r="BA20" s="15">
        <f t="shared" si="16"/>
        <v>22.15</v>
      </c>
      <c r="BB20" s="415">
        <f t="shared" si="17"/>
        <v>24.700000000000003</v>
      </c>
      <c r="BC20" s="415">
        <f t="shared" si="18"/>
        <v>-12750.000000000022</v>
      </c>
      <c r="BD20" s="415">
        <f>BC20/'Master P&amp;L'!$AD$7*10000</f>
        <v>-5.6547206169856444E-2</v>
      </c>
    </row>
    <row r="21" spans="1:56" s="59" customFormat="1">
      <c r="A21" s="426"/>
      <c r="B21" s="59" t="s">
        <v>2358</v>
      </c>
      <c r="C21" s="59" t="str" cm="1">
        <f t="array" ref="C21">_xll.BDP($B21&amp;" Equity","opt_put_call")</f>
        <v>Put</v>
      </c>
      <c r="D21" s="59" t="str" cm="1">
        <f t="array" ref="D21">_xll.BDP(B21&amp;" Equity","OPT_UNDL_TICKER")</f>
        <v>AMAT US</v>
      </c>
      <c r="E21" s="59" t="str" cm="1">
        <f t="array" ref="E21">_xll.BDP($B21&amp;" Equity","mifid_Maturity_date")</f>
        <v>23/01/2026</v>
      </c>
      <c r="F21" s="59" cm="1">
        <f t="array" ref="F21">_xll.BDP($B21&amp;" Equity","opt_days_expire")</f>
        <v>7</v>
      </c>
      <c r="G21" s="59" t="str" cm="1">
        <f t="array" ref="G21">_xll.BDP(B21&amp;" Equity","QUOTED_CURRENCY_REALTIME")</f>
        <v>USD</v>
      </c>
      <c r="H21" s="405">
        <v>125</v>
      </c>
      <c r="I21" s="412">
        <v>3.75</v>
      </c>
      <c r="J21" s="416">
        <f>VLOOKUP(B21,Precificação!$B:$O,14,FALSE)</f>
        <v>0.80777980672991356</v>
      </c>
      <c r="K21" s="74">
        <f t="shared" si="19"/>
        <v>0.80777980672991356</v>
      </c>
      <c r="L21" s="14" cm="1">
        <f t="array" ref="L21">_xll.BDP($B21&amp;" Equity","mid")</f>
        <v>0.21</v>
      </c>
      <c r="M21" s="128">
        <f t="shared" si="1"/>
        <v>6.4218219626311116E-4</v>
      </c>
      <c r="N21" s="427"/>
      <c r="O21" s="128">
        <f t="shared" si="2"/>
        <v>-0.74002816330587617</v>
      </c>
      <c r="P21" s="14" cm="1">
        <f t="array" ref="P21">_xll.BDP($B21&amp;" Equity","bid")</f>
        <v>0.11</v>
      </c>
      <c r="Q21" s="14" cm="1">
        <f t="array" ref="Q21">_xll.BDP($B21&amp;" Equity","ask")</f>
        <v>0.31</v>
      </c>
      <c r="R21" s="425">
        <f t="shared" si="3"/>
        <v>1.8181818181818183</v>
      </c>
      <c r="S21" s="14" cm="1">
        <f t="array" ref="S21">_xll.BDP(G21&amp;" Curncy","PX_LAST")</f>
        <v>1</v>
      </c>
      <c r="T21" s="405" cm="1">
        <f t="array" ref="T21">_xll.BDP(B21&amp;" Equity","OPT_MULTIPLIER")</f>
        <v>100</v>
      </c>
      <c r="U21" s="405">
        <f t="shared" si="4"/>
        <v>2625</v>
      </c>
      <c r="V21" s="428">
        <f>U21/'Master P&amp;L'!$AD$7*10000</f>
        <v>1.1642071858499838E-2</v>
      </c>
      <c r="W21" s="428">
        <f>(Y21*H21*T21/S21)/'Master P&amp;L'!$AD$7*10000</f>
        <v>1.1642071858499838E-2</v>
      </c>
      <c r="X21" s="429">
        <f t="shared" si="5"/>
        <v>0</v>
      </c>
      <c r="Y21" s="430">
        <f t="shared" si="6"/>
        <v>0.21</v>
      </c>
      <c r="Z21" s="431">
        <f>_xll.BDP(D21&amp;" Equity","LAST_PRICE")</f>
        <v>327.01</v>
      </c>
      <c r="AA21" s="431" cm="1">
        <f t="array" ref="AA21">_xll.BDP(B21&amp;" Equity","OPT_STRIKE_PX")</f>
        <v>290</v>
      </c>
      <c r="AB21" s="425">
        <f t="shared" si="7"/>
        <v>-0.11317696706522729</v>
      </c>
      <c r="AC21" s="432" cm="1">
        <f t="array" ref="AC21">_xll.BDP($D21&amp;" Equity","volatility_10d")</f>
        <v>60.144901409183262</v>
      </c>
      <c r="AD21" s="431" cm="1">
        <f t="array" ref="AD21">_xll.BDP(B21&amp;" Equity","ivol_mid")</f>
        <v>46.712299999999999</v>
      </c>
      <c r="AE21" s="431">
        <f t="shared" si="8"/>
        <v>0.77666267473285278</v>
      </c>
      <c r="AF21" s="433" cm="1">
        <f t="array" ref="AF21">_xll.BDP(B21&amp;" Equity","DELTA_MID_RT")</f>
        <v>-2.6160674169659615E-2</v>
      </c>
      <c r="AG21" s="128">
        <f>AL21/'Master P&amp;L'!$AE$7</f>
        <v>-4.7426485866822967E-5</v>
      </c>
      <c r="AH21" s="128">
        <f>AM21/'Master P&amp;L'!$AE$7</f>
        <v>-1.8128923421181103E-3</v>
      </c>
      <c r="AI21" s="442">
        <f>AO21/'Master P&amp;L'!$AD$7*10000</f>
        <v>-5.2402217516237179E-3</v>
      </c>
      <c r="AJ21" s="427">
        <f t="shared" si="9"/>
        <v>0.13410489817823557</v>
      </c>
      <c r="AK21" s="433">
        <f>AP21/'Master P&amp;L'!$AD$7*10000</f>
        <v>-3.3139978407189519E-2</v>
      </c>
      <c r="AL21" s="405">
        <f t="shared" si="10"/>
        <v>-106935.02575275488</v>
      </c>
      <c r="AM21" s="405">
        <f t="shared" si="11"/>
        <v>-4087625</v>
      </c>
      <c r="AN21" s="433" cm="1">
        <f t="array" ref="AN21">_xll.BDP($B21&amp;" Equity","theta_mid_rt")</f>
        <v>-9.452325850725174E-2</v>
      </c>
      <c r="AO21" s="405">
        <f t="shared" si="12"/>
        <v>-1181.5407313406467</v>
      </c>
      <c r="AP21" s="405">
        <f t="shared" si="13"/>
        <v>-7472.2475841239202</v>
      </c>
      <c r="AQ21" s="14" t="str" cm="1">
        <f t="array" ref="AQ21">_xll.BDP($D21&amp;" Equity","EXPECTED_REPORT_DT")</f>
        <v>12/02/2026</v>
      </c>
      <c r="AR21" s="114" cm="1">
        <f t="array" ref="AR21">_xll.BDP($B21&amp;" Equity","GAMMA_LAST")</f>
        <v>1.5743E-2</v>
      </c>
      <c r="AS21" s="59">
        <f t="shared" si="14"/>
        <v>210435.77597428754</v>
      </c>
      <c r="AT21" s="59">
        <f t="shared" si="15"/>
        <v>1052178.8798714376</v>
      </c>
      <c r="AU21" s="59" t="s">
        <v>151</v>
      </c>
      <c r="AV21" s="337" cm="1">
        <f t="array" ref="AV21">_xll.BDP($D21&amp;" Equity","EST_PE_NXT_YR")*(AA21/Z21)</f>
        <v>24.341289750436754</v>
      </c>
      <c r="AX21" s="405"/>
      <c r="AY21" s="405">
        <v>0.21</v>
      </c>
      <c r="AZ21" s="434"/>
      <c r="BA21" s="405">
        <f t="shared" si="16"/>
        <v>0.21</v>
      </c>
      <c r="BB21" s="435">
        <f t="shared" si="17"/>
        <v>0.80777980672991356</v>
      </c>
      <c r="BC21" s="435">
        <f t="shared" si="18"/>
        <v>7472.2475841239202</v>
      </c>
      <c r="BD21" s="435">
        <f>BC21/'Master P&amp;L'!$AD$7*10000</f>
        <v>3.3139978407189519E-2</v>
      </c>
    </row>
    <row r="22" spans="1:56" s="59" customFormat="1">
      <c r="A22" s="426"/>
      <c r="B22" s="59" t="s">
        <v>2357</v>
      </c>
      <c r="C22" s="59" t="str" cm="1">
        <f t="array" ref="C22">_xll.BDP($B22&amp;" Equity","opt_put_call")</f>
        <v>Put</v>
      </c>
      <c r="D22" s="59" t="str" cm="1">
        <f t="array" ref="D22">_xll.BDP(B22&amp;" Equity","OPT_UNDL_TICKER")</f>
        <v>AMAT US</v>
      </c>
      <c r="E22" s="59" t="str" cm="1">
        <f t="array" ref="E22">_xll.BDP($B22&amp;" Equity","mifid_Maturity_date")</f>
        <v>23/01/2026</v>
      </c>
      <c r="F22" s="59" cm="1">
        <f t="array" ref="F22">_xll.BDP($B22&amp;" Equity","opt_days_expire")</f>
        <v>7</v>
      </c>
      <c r="G22" s="59" t="str" cm="1">
        <f t="array" ref="G22">_xll.BDP(B22&amp;" Equity","QUOTED_CURRENCY_REALTIME")</f>
        <v>USD</v>
      </c>
      <c r="H22" s="405">
        <v>-125</v>
      </c>
      <c r="I22" s="412">
        <v>1.66</v>
      </c>
      <c r="J22" s="416">
        <f>VLOOKUP(B22,Precificação!$B:$O,14,FALSE)</f>
        <v>0.42699374558130709</v>
      </c>
      <c r="K22" s="74">
        <f t="shared" si="19"/>
        <v>0.42699374558130709</v>
      </c>
      <c r="L22" s="14" cm="1">
        <f t="array" ref="L22">_xll.BDP($B22&amp;" Equity","mid")</f>
        <v>0.16</v>
      </c>
      <c r="M22" s="128">
        <f t="shared" si="1"/>
        <v>4.8928167334332288E-4</v>
      </c>
      <c r="N22" s="427"/>
      <c r="O22" s="128">
        <f t="shared" si="2"/>
        <v>-0.62528725149784847</v>
      </c>
      <c r="P22" s="14" cm="1">
        <f t="array" ref="P22">_xll.BDP($B22&amp;" Equity","bid")</f>
        <v>0.03</v>
      </c>
      <c r="Q22" s="14" cm="1">
        <f t="array" ref="Q22">_xll.BDP($B22&amp;" Equity","ask")</f>
        <v>0.28000000000000003</v>
      </c>
      <c r="R22" s="425">
        <f t="shared" si="3"/>
        <v>8.3333333333333339</v>
      </c>
      <c r="S22" s="14" cm="1">
        <f t="array" ref="S22">_xll.BDP(G22&amp;" Curncy","PX_LAST")</f>
        <v>1</v>
      </c>
      <c r="T22" s="405" cm="1">
        <f t="array" ref="T22">_xll.BDP(B22&amp;" Equity","OPT_MULTIPLIER")</f>
        <v>100</v>
      </c>
      <c r="U22" s="405">
        <f t="shared" si="4"/>
        <v>-2000</v>
      </c>
      <c r="V22" s="428">
        <f>U22/'Master P&amp;L'!$AD$7*10000</f>
        <v>-8.8701499874284471E-3</v>
      </c>
      <c r="W22" s="428">
        <f>(Y22*H22*T22/S22)/'Master P&amp;L'!$AD$7*10000</f>
        <v>-8.8701499874284471E-3</v>
      </c>
      <c r="X22" s="429">
        <f t="shared" si="5"/>
        <v>0</v>
      </c>
      <c r="Y22" s="430">
        <f t="shared" si="6"/>
        <v>0.16</v>
      </c>
      <c r="Z22" s="431">
        <f>_xll.BDP(D22&amp;" Equity","LAST_PRICE")</f>
        <v>327.01</v>
      </c>
      <c r="AA22" s="431" cm="1">
        <f t="array" ref="AA22">_xll.BDP(B22&amp;" Equity","OPT_STRIKE_PX")</f>
        <v>280</v>
      </c>
      <c r="AB22" s="425">
        <f t="shared" si="7"/>
        <v>-0.14375707164918505</v>
      </c>
      <c r="AC22" s="432" cm="1">
        <f t="array" ref="AC22">_xll.BDP($D22&amp;" Equity","volatility_10d")</f>
        <v>60.144901409183262</v>
      </c>
      <c r="AD22" s="431" cm="1">
        <f t="array" ref="AD22">_xll.BDP(B22&amp;" Equity","ivol_mid")</f>
        <v>53.114150000000002</v>
      </c>
      <c r="AE22" s="431">
        <f t="shared" si="8"/>
        <v>0.88310311856110613</v>
      </c>
      <c r="AF22" s="433" cm="1">
        <f t="array" ref="AF22">_xll.BDP(B22&amp;" Equity","DELTA_MID_RT")</f>
        <v>-1.7135964706540108E-2</v>
      </c>
      <c r="AG22" s="128">
        <f>AL22/'Master P&amp;L'!$AE$7</f>
        <v>3.1065659191292766E-5</v>
      </c>
      <c r="AH22" s="128">
        <f>AM22/'Master P&amp;L'!$AE$7</f>
        <v>1.8128923421181103E-3</v>
      </c>
      <c r="AI22" s="442">
        <f>AO22/'Master P&amp;L'!$AD$7*10000</f>
        <v>4.2007793024925058E-3</v>
      </c>
      <c r="AJ22" s="427">
        <f t="shared" si="9"/>
        <v>-0.10750405370830739</v>
      </c>
      <c r="AK22" s="433">
        <f>AP22/'Master P&amp;L'!$AD$7*10000</f>
        <v>1.4801716056321907E-2</v>
      </c>
      <c r="AL22" s="405">
        <f t="shared" si="10"/>
        <v>70045.397733570993</v>
      </c>
      <c r="AM22" s="405">
        <f t="shared" si="11"/>
        <v>4087625</v>
      </c>
      <c r="AN22" s="433" cm="1">
        <f t="array" ref="AN22">_xll.BDP($B22&amp;" Equity","theta_mid_rt")</f>
        <v>-7.5773768126964569E-2</v>
      </c>
      <c r="AO22" s="405">
        <f t="shared" si="12"/>
        <v>947.17210158705711</v>
      </c>
      <c r="AP22" s="405">
        <f t="shared" si="13"/>
        <v>3337.4218197663386</v>
      </c>
      <c r="AQ22" s="14" t="str" cm="1">
        <f t="array" ref="AQ22">_xll.BDP($D22&amp;" Equity","EXPECTED_REPORT_DT")</f>
        <v>12/02/2026</v>
      </c>
      <c r="AR22" s="114" cm="1">
        <f t="array" ref="AR22">_xll.BDP($B22&amp;" Equity","GAMMA_LAST")</f>
        <v>8.1390000000000004E-3</v>
      </c>
      <c r="AS22" s="59">
        <f t="shared" si="14"/>
        <v>-108793.54510923752</v>
      </c>
      <c r="AT22" s="59">
        <f t="shared" si="15"/>
        <v>-543967.72554618749</v>
      </c>
      <c r="AU22" s="59" t="s">
        <v>151</v>
      </c>
      <c r="AV22" s="337" cm="1">
        <f t="array" ref="AV22">_xll.BDP($D22&amp;" Equity","EST_PE_NXT_YR")*(AA22/Z22)</f>
        <v>23.501934931456173</v>
      </c>
      <c r="AX22" s="405"/>
      <c r="AY22" s="405">
        <v>0.16</v>
      </c>
      <c r="AZ22" s="434"/>
      <c r="BA22" s="405">
        <f t="shared" si="16"/>
        <v>0.16</v>
      </c>
      <c r="BB22" s="435">
        <f t="shared" si="17"/>
        <v>0.42699374558130709</v>
      </c>
      <c r="BC22" s="435">
        <f t="shared" si="18"/>
        <v>-3337.4218197663381</v>
      </c>
      <c r="BD22" s="435">
        <f>BC22/'Master P&amp;L'!$AD$7*10000</f>
        <v>-1.4801716056321905E-2</v>
      </c>
    </row>
    <row r="23" spans="1:56" s="59" customFormat="1">
      <c r="A23" s="335"/>
      <c r="B23" s="73" t="s">
        <v>2133</v>
      </c>
      <c r="C23" s="73" t="str" cm="1">
        <f t="array" ref="C23">_xll.BDP($B23&amp;" Equity","opt_put_call")</f>
        <v>Call</v>
      </c>
      <c r="D23" s="73" t="str" cm="1">
        <f t="array" ref="D23">_xll.BDP(B23&amp;" Equity","OPT_UNDL_TICKER")</f>
        <v>NFLX US</v>
      </c>
      <c r="E23" s="73" t="str" cm="1">
        <f t="array" ref="E23">_xll.BDP($B23&amp;" Equity","mifid_Maturity_date")</f>
        <v>20/03/2026</v>
      </c>
      <c r="F23" s="73" cm="1">
        <f t="array" ref="F23">_xll.BDP($B23&amp;" Equity","opt_days_expire")</f>
        <v>63</v>
      </c>
      <c r="G23" s="73" t="str" cm="1">
        <f t="array" ref="G23">_xll.BDP(B23&amp;" Equity","QUOTED_CURRENCY_REALTIME")</f>
        <v>USD</v>
      </c>
      <c r="H23" s="42">
        <v>-170</v>
      </c>
      <c r="I23" s="410">
        <v>4.5</v>
      </c>
      <c r="J23" s="416">
        <f>VLOOKUP(B23,Precificação!$B:$O,14,FALSE)</f>
        <v>1.54</v>
      </c>
      <c r="K23" s="74">
        <f t="shared" si="19"/>
        <v>1.54</v>
      </c>
      <c r="L23" s="74" cm="1">
        <f t="array" ref="L23">_xll.BDP($B23&amp;" Equity","mid")</f>
        <v>1.4</v>
      </c>
      <c r="M23" s="75">
        <f t="shared" si="1"/>
        <v>1.5909090909090907E-2</v>
      </c>
      <c r="N23" s="353"/>
      <c r="O23" s="75">
        <f t="shared" si="2"/>
        <v>-9.0909090909090939E-2</v>
      </c>
      <c r="P23" s="74" cm="1">
        <f t="array" ref="P23">_xll.BDP($B23&amp;" Equity","bid")</f>
        <v>1.33</v>
      </c>
      <c r="Q23" s="74" cm="1">
        <f t="array" ref="Q23">_xll.BDP($B23&amp;" Equity","ask")</f>
        <v>1.46</v>
      </c>
      <c r="R23" s="76">
        <f t="shared" si="3"/>
        <v>9.7744360902255467E-2</v>
      </c>
      <c r="S23" s="36" cm="1">
        <f t="array" ref="S23">_xll.BDP(G23&amp;" Curncy","PX_LAST")</f>
        <v>1</v>
      </c>
      <c r="T23" s="42" cm="1">
        <f t="array" ref="T23">_xll.BDP(B23&amp;" Equity","OPT_MULTIPLIER")</f>
        <v>100</v>
      </c>
      <c r="U23" s="42">
        <f t="shared" si="4"/>
        <v>-23799.999999999996</v>
      </c>
      <c r="V23" s="113">
        <f>U23/'Master P&amp;L'!$AD$7*10000</f>
        <v>-0.1055547848503985</v>
      </c>
      <c r="W23" s="113">
        <f>(Y23*H23*T23/S23)/'Master P&amp;L'!$AD$7*10000</f>
        <v>-0.1055547848503985</v>
      </c>
      <c r="X23" s="118">
        <f t="shared" si="5"/>
        <v>0</v>
      </c>
      <c r="Y23" s="272">
        <f t="shared" si="6"/>
        <v>1.4</v>
      </c>
      <c r="Z23" s="77">
        <f>_xll.BDP(D23&amp;" Equity","LAST_PRICE")</f>
        <v>88</v>
      </c>
      <c r="AA23" s="77" cm="1">
        <f t="array" ref="AA23">_xll.BDP(B23&amp;" Equity","OPT_STRIKE_PX")</f>
        <v>104</v>
      </c>
      <c r="AB23" s="76">
        <f t="shared" si="7"/>
        <v>0.18181818181818188</v>
      </c>
      <c r="AC23" s="323" cm="1">
        <f t="array" ref="AC23">_xll.BDP($D23&amp;" Equity","volatility_10d")</f>
        <v>14.639755602095105</v>
      </c>
      <c r="AD23" s="77" cm="1">
        <f t="array" ref="AD23">_xll.BDP(B23&amp;" Equity","ivol_mid")</f>
        <v>40.920189999999998</v>
      </c>
      <c r="AE23" s="77">
        <f t="shared" si="8"/>
        <v>2.7951416070186226</v>
      </c>
      <c r="AF23" s="78" cm="1">
        <f t="array" ref="AF23">_xll.BDP(B23&amp;" Equity","DELTA_MID_RT")</f>
        <v>0.18823713064193726</v>
      </c>
      <c r="AG23" s="75">
        <f>AL23/'Master P&amp;L'!$AE$7</f>
        <v>-1.2489293033338656E-4</v>
      </c>
      <c r="AH23" s="75">
        <f>AM23/'Master P&amp;L'!$AE$7</f>
        <v>-6.6348721905964785E-4</v>
      </c>
      <c r="AI23" s="437">
        <f>AO23/'Master P&amp;L'!$AD$7*10000</f>
        <v>2.3671008388868012E-3</v>
      </c>
      <c r="AJ23" s="351">
        <f t="shared" si="9"/>
        <v>-6.0577554161361499E-2</v>
      </c>
      <c r="AK23" s="78">
        <f>AP23/'Master P&amp;L'!$AD$7*10000</f>
        <v>1.0555478485039863E-2</v>
      </c>
      <c r="AL23" s="42">
        <f t="shared" si="10"/>
        <v>-281602.74744033813</v>
      </c>
      <c r="AM23" s="42">
        <f t="shared" si="11"/>
        <v>-1496000</v>
      </c>
      <c r="AN23" s="78" cm="1">
        <f t="array" ref="AN23">_xll.BDP($B23&amp;" Equity","theta_mid_rt")</f>
        <v>-3.1395461410284042E-2</v>
      </c>
      <c r="AO23" s="42">
        <f t="shared" si="12"/>
        <v>533.72284397482872</v>
      </c>
      <c r="AP23" s="42">
        <f t="shared" si="13"/>
        <v>2380.0000000000023</v>
      </c>
      <c r="AQ23" s="74" t="str" cm="1">
        <f t="array" ref="AQ23">_xll.BDP($D23&amp;" Equity","EXPECTED_REPORT_DT")</f>
        <v>20/01/2026</v>
      </c>
      <c r="AR23" s="235" cm="1">
        <f t="array" ref="AR23">_xll.BDP($B23&amp;" Equity","GAMMA_LAST")</f>
        <v>1.6241999999999999E-2</v>
      </c>
      <c r="AS23" s="73">
        <f t="shared" si="14"/>
        <v>-21382.26816</v>
      </c>
      <c r="AT23" s="73">
        <f t="shared" si="15"/>
        <v>-106911.34079999999</v>
      </c>
      <c r="AU23" s="73" t="s">
        <v>151</v>
      </c>
      <c r="AV23" s="322" cm="1">
        <f t="array" ref="AV23">_xll.BDP($D23&amp;" Equity","EST_PE_NXT_YR")*(AA23/Z23)</f>
        <v>32.457607894289119</v>
      </c>
      <c r="AW23" s="73"/>
      <c r="AX23" s="42"/>
      <c r="AY23" s="42">
        <v>1.4</v>
      </c>
      <c r="AZ23" s="355"/>
      <c r="BA23" s="42">
        <f t="shared" si="16"/>
        <v>1.4</v>
      </c>
      <c r="BB23" s="347">
        <f t="shared" si="17"/>
        <v>1.54</v>
      </c>
      <c r="BC23" s="347">
        <f t="shared" si="18"/>
        <v>-2380.0000000000023</v>
      </c>
      <c r="BD23" s="347">
        <f>BC23/'Master P&amp;L'!$AD$7*10000</f>
        <v>-1.0555478485039863E-2</v>
      </c>
    </row>
    <row r="24" spans="1:56">
      <c r="A24" s="357"/>
      <c r="B24" t="s">
        <v>2132</v>
      </c>
      <c r="C24" t="str" cm="1">
        <f t="array" ref="C24">_xll.BDP($B24&amp;" Equity","opt_put_call")</f>
        <v>Put</v>
      </c>
      <c r="D24" t="str" cm="1">
        <f t="array" ref="D24">_xll.BDP(B24&amp;" Equity","OPT_UNDL_TICKER")</f>
        <v>NFLX US</v>
      </c>
      <c r="E24" t="str" cm="1">
        <f t="array" ref="E24">_xll.BDP($B24&amp;" Equity","mifid_Maturity_date")</f>
        <v>20/03/2026</v>
      </c>
      <c r="F24" cm="1">
        <f t="array" ref="F24">_xll.BDP($B24&amp;" Equity","opt_days_expire")</f>
        <v>63</v>
      </c>
      <c r="G24" t="str" cm="1">
        <f t="array" ref="G24">_xll.BDP(B24&amp;" Equity","QUOTED_CURRENCY_REALTIME")</f>
        <v>USD</v>
      </c>
      <c r="H24" s="15">
        <v>170</v>
      </c>
      <c r="I24" s="411">
        <v>5.916666666666667</v>
      </c>
      <c r="J24" s="416">
        <f>VLOOKUP(B24,Precificação!$B:$O,14,FALSE)</f>
        <v>7.9249999999999998</v>
      </c>
      <c r="K24" s="74">
        <f t="shared" si="19"/>
        <v>7.9249999999999998</v>
      </c>
      <c r="L24" s="74" cm="1">
        <f t="array" ref="L24">_xll.BDP($B24&amp;" Equity","mid")</f>
        <v>7.8</v>
      </c>
      <c r="M24" s="19">
        <f t="shared" si="1"/>
        <v>8.8636363636363638E-2</v>
      </c>
      <c r="N24" s="351"/>
      <c r="O24" s="19">
        <f t="shared" si="2"/>
        <v>-1.5772870662460581E-2</v>
      </c>
      <c r="P24" s="36" cm="1">
        <f t="array" ref="P24">_xll.BDP($B24&amp;" Equity","bid")</f>
        <v>7.7</v>
      </c>
      <c r="Q24" s="36" cm="1">
        <f t="array" ref="Q24">_xll.BDP($B24&amp;" Equity","ask")</f>
        <v>7.9</v>
      </c>
      <c r="R24" s="40">
        <f t="shared" si="3"/>
        <v>2.5974025974025983E-2</v>
      </c>
      <c r="S24" s="36" cm="1">
        <f t="array" ref="S24">_xll.BDP(G24&amp;" Curncy","PX_LAST")</f>
        <v>1</v>
      </c>
      <c r="T24" s="15" cm="1">
        <f t="array" ref="T24">_xll.BDP(B24&amp;" Equity","OPT_MULTIPLIER")</f>
        <v>100</v>
      </c>
      <c r="U24" s="15">
        <f t="shared" si="4"/>
        <v>132600</v>
      </c>
      <c r="V24" s="124">
        <f>U24/'Master P&amp;L'!$AD$7*10000</f>
        <v>0.58809094416650598</v>
      </c>
      <c r="W24" s="124">
        <f>(Y24*H24*T24/S24)/'Master P&amp;L'!$AD$7*10000</f>
        <v>0.28650584459393885</v>
      </c>
      <c r="X24" s="414">
        <f t="shared" si="5"/>
        <v>4</v>
      </c>
      <c r="Y24" s="273">
        <f t="shared" si="6"/>
        <v>3.8</v>
      </c>
      <c r="Z24" s="37">
        <f>_xll.BDP(D24&amp;" Equity","LAST_PRICE")</f>
        <v>88</v>
      </c>
      <c r="AA24" s="37" cm="1">
        <f t="array" ref="AA24">_xll.BDP(B24&amp;" Equity","OPT_STRIKE_PX")</f>
        <v>92</v>
      </c>
      <c r="AB24" s="40">
        <f t="shared" si="7"/>
        <v>4.5454545454545414E-2</v>
      </c>
      <c r="AC24" s="324" cm="1">
        <f t="array" ref="AC24">_xll.BDP($D24&amp;" Equity","volatility_10d")</f>
        <v>14.639755602095105</v>
      </c>
      <c r="AD24" s="37" cm="1">
        <f t="array" ref="AD24">_xll.BDP(B24&amp;" Equity","ivol_mid")</f>
        <v>40.583300000000001</v>
      </c>
      <c r="AE24" s="37">
        <f t="shared" si="8"/>
        <v>2.7721296108380455</v>
      </c>
      <c r="AF24" s="38" cm="1">
        <f t="array" ref="AF24">_xll.BDP(B24&amp;" Equity","DELTA_MID_RT")</f>
        <v>-0.56528884172439575</v>
      </c>
      <c r="AG24" s="19">
        <f>AL24/'Master P&amp;L'!$AE$7</f>
        <v>-3.7506192156116879E-4</v>
      </c>
      <c r="AH24" s="19">
        <f>AM24/'Master P&amp;L'!$AE$7</f>
        <v>-6.6348721905964785E-4</v>
      </c>
      <c r="AI24" s="436">
        <f>AO24/'Master P&amp;L'!$AD$7*10000</f>
        <v>-3.5113772064557141E-3</v>
      </c>
      <c r="AJ24" s="351">
        <f t="shared" si="9"/>
        <v>8.9861251118087002E-2</v>
      </c>
      <c r="AK24" s="38">
        <f>AP24/'Master P&amp;L'!$AD$7*10000</f>
        <v>-9.4245343616427262E-3</v>
      </c>
      <c r="AL24" s="15">
        <f t="shared" si="10"/>
        <v>-845672.10721969604</v>
      </c>
      <c r="AM24" s="15">
        <f t="shared" si="11"/>
        <v>-1496000</v>
      </c>
      <c r="AN24" s="38" cm="1">
        <f t="array" ref="AN24">_xll.BDP($B24&amp;" Equity","theta_mid_rt")</f>
        <v>-4.6572290360927582E-2</v>
      </c>
      <c r="AO24" s="15">
        <f t="shared" si="12"/>
        <v>-791.72893613576889</v>
      </c>
      <c r="AP24" s="15">
        <f t="shared" si="13"/>
        <v>-2125</v>
      </c>
      <c r="AQ24" s="36" t="str" cm="1">
        <f t="array" ref="AQ24">_xll.BDP($D24&amp;" Equity","EXPECTED_REPORT_DT")</f>
        <v>20/01/2026</v>
      </c>
      <c r="AR24" s="66" cm="1">
        <f t="array" ref="AR24">_xll.BDP($B24&amp;" Equity","GAMMA_LAST")</f>
        <v>2.3806999999999998E-2</v>
      </c>
      <c r="AS24">
        <f t="shared" si="14"/>
        <v>31341.439359999997</v>
      </c>
      <c r="AT24">
        <f t="shared" si="15"/>
        <v>156707.19679999998</v>
      </c>
      <c r="AU24" t="s">
        <v>151</v>
      </c>
      <c r="AV24" s="277" cm="1">
        <f t="array" ref="AV24">_xll.BDP($D24&amp;" Equity","EST_PE_NXT_YR")*(AA24/Z24)</f>
        <v>28.71249929110191</v>
      </c>
      <c r="AX24" s="15"/>
      <c r="AY24" s="15">
        <v>7.8</v>
      </c>
      <c r="AZ24" s="356"/>
      <c r="BA24" s="15">
        <f t="shared" si="16"/>
        <v>7.8</v>
      </c>
      <c r="BB24" s="415">
        <f t="shared" si="17"/>
        <v>7.9249999999999998</v>
      </c>
      <c r="BC24" s="415">
        <f t="shared" si="18"/>
        <v>2125</v>
      </c>
      <c r="BD24" s="415">
        <f>BC24/'Master P&amp;L'!$AD$7*10000</f>
        <v>9.4245343616427262E-3</v>
      </c>
    </row>
    <row r="25" spans="1:56" s="59" customFormat="1">
      <c r="A25" s="335"/>
      <c r="B25" s="73" t="s">
        <v>2134</v>
      </c>
      <c r="C25" s="73" t="str" cm="1">
        <f t="array" ref="C25">_xll.BDP($B25&amp;" Equity","opt_put_call")</f>
        <v>Put</v>
      </c>
      <c r="D25" s="73" t="str" cm="1">
        <f t="array" ref="D25">_xll.BDP(B25&amp;" Equity","OPT_UNDL_TICKER")</f>
        <v>NFLX US</v>
      </c>
      <c r="E25" s="73" t="str" cm="1">
        <f t="array" ref="E25">_xll.BDP($B25&amp;" Equity","mifid_Maturity_date")</f>
        <v>20/03/2026</v>
      </c>
      <c r="F25" s="73" cm="1">
        <f t="array" ref="F25">_xll.BDP($B25&amp;" Equity","opt_days_expire")</f>
        <v>63</v>
      </c>
      <c r="G25" s="73" t="str" cm="1">
        <f t="array" ref="G25">_xll.BDP(B25&amp;" Equity","QUOTED_CURRENCY_REALTIME")</f>
        <v>USD</v>
      </c>
      <c r="H25" s="42">
        <v>-255</v>
      </c>
      <c r="I25" s="410">
        <v>2.7466666666666666</v>
      </c>
      <c r="J25" s="416">
        <f>VLOOKUP(B25,Precificação!$B:$O,14,FALSE)</f>
        <v>3.4249999999999998</v>
      </c>
      <c r="K25" s="74">
        <f t="shared" si="19"/>
        <v>3.4249999999999998</v>
      </c>
      <c r="L25" s="74" cm="1">
        <f t="array" ref="L25">_xll.BDP($B25&amp;" Equity","mid")</f>
        <v>3.33</v>
      </c>
      <c r="M25" s="75">
        <f t="shared" si="1"/>
        <v>3.7840909090909092E-2</v>
      </c>
      <c r="N25" s="353"/>
      <c r="O25" s="75">
        <f t="shared" si="2"/>
        <v>-2.7737226277372184E-2</v>
      </c>
      <c r="P25" s="74" cm="1">
        <f t="array" ref="P25">_xll.BDP($B25&amp;" Equity","bid")</f>
        <v>3.25</v>
      </c>
      <c r="Q25" s="74" cm="1">
        <f t="array" ref="Q25">_xll.BDP($B25&amp;" Equity","ask")</f>
        <v>3.4</v>
      </c>
      <c r="R25" s="76">
        <f t="shared" si="3"/>
        <v>4.6153846153846212E-2</v>
      </c>
      <c r="S25" s="36" cm="1">
        <f t="array" ref="S25">_xll.BDP(G25&amp;" Curncy","PX_LAST")</f>
        <v>1</v>
      </c>
      <c r="T25" s="42" cm="1">
        <f t="array" ref="T25">_xll.BDP(B25&amp;" Equity","OPT_MULTIPLIER")</f>
        <v>100</v>
      </c>
      <c r="U25" s="42">
        <f t="shared" si="4"/>
        <v>-84915</v>
      </c>
      <c r="V25" s="113">
        <f>U25/'Master P&amp;L'!$AD$7*10000</f>
        <v>-0.37660439309124333</v>
      </c>
      <c r="W25" s="113">
        <f>(Y25*H25*T25/S25)/'Master P&amp;L'!$AD$7*10000</f>
        <v>-0.37660439309124333</v>
      </c>
      <c r="X25" s="118">
        <f t="shared" si="5"/>
        <v>0</v>
      </c>
      <c r="Y25" s="272">
        <f t="shared" si="6"/>
        <v>3.33</v>
      </c>
      <c r="Z25" s="77">
        <f>_xll.BDP(D25&amp;" Equity","LAST_PRICE")</f>
        <v>88</v>
      </c>
      <c r="AA25" s="77" cm="1">
        <f t="array" ref="AA25">_xll.BDP(B25&amp;" Equity","OPT_STRIKE_PX")</f>
        <v>83</v>
      </c>
      <c r="AB25" s="76">
        <f t="shared" si="7"/>
        <v>-5.6818181818181768E-2</v>
      </c>
      <c r="AC25" s="323" cm="1">
        <f t="array" ref="AC25">_xll.BDP($D25&amp;" Equity","volatility_10d")</f>
        <v>14.639755602095105</v>
      </c>
      <c r="AD25" s="77" cm="1">
        <f t="array" ref="AD25">_xll.BDP(B25&amp;" Equity","ivol_mid")</f>
        <v>40.878450000000001</v>
      </c>
      <c r="AE25" s="77">
        <f t="shared" si="8"/>
        <v>2.792290466525948</v>
      </c>
      <c r="AF25" s="78" cm="1">
        <f t="array" ref="AF25">_xll.BDP(B25&amp;" Equity","DELTA_MID_RT")</f>
        <v>-0.31996399164199829</v>
      </c>
      <c r="AG25" s="75">
        <f>AL25/'Master P&amp;L'!$AE$7</f>
        <v>3.1843802852066081E-4</v>
      </c>
      <c r="AH25" s="75">
        <f>AM25/'Master P&amp;L'!$AE$7</f>
        <v>9.9523082858947172E-4</v>
      </c>
      <c r="AI25" s="437">
        <f>AO25/'Master P&amp;L'!$AD$7*10000</f>
        <v>4.8005569436612152E-3</v>
      </c>
      <c r="AJ25" s="351">
        <f t="shared" si="9"/>
        <v>-0.12285323611143553</v>
      </c>
      <c r="AK25" s="78">
        <f>AP25/'Master P&amp;L'!$AD$7*10000</f>
        <v>1.0743969172272678E-2</v>
      </c>
      <c r="AL25" s="42">
        <f t="shared" si="10"/>
        <v>717999.19724464417</v>
      </c>
      <c r="AM25" s="42">
        <f t="shared" si="11"/>
        <v>2244000</v>
      </c>
      <c r="AN25" s="78" cm="1">
        <f t="array" ref="AN25">_xll.BDP($B25&amp;" Equity","theta_mid_rt")</f>
        <v>-4.2447339743375778E-2</v>
      </c>
      <c r="AO25" s="42">
        <f t="shared" si="12"/>
        <v>1082.4071634560823</v>
      </c>
      <c r="AP25" s="42">
        <f t="shared" si="13"/>
        <v>2422.4999999999936</v>
      </c>
      <c r="AQ25" s="74" t="str" cm="1">
        <f t="array" ref="AQ25">_xll.BDP($D25&amp;" Equity","EXPECTED_REPORT_DT")</f>
        <v>20/01/2026</v>
      </c>
      <c r="AR25" s="235" cm="1">
        <f t="array" ref="AR25">_xll.BDP($B25&amp;" Equity","GAMMA_LAST")</f>
        <v>2.0848999999999999E-2</v>
      </c>
      <c r="AS25" s="73">
        <f t="shared" si="14"/>
        <v>-41170.937279999991</v>
      </c>
      <c r="AT25" s="73">
        <f t="shared" si="15"/>
        <v>-205854.68640000004</v>
      </c>
      <c r="AU25" s="73" t="s">
        <v>151</v>
      </c>
      <c r="AV25" s="322" cm="1">
        <f t="array" ref="AV25">_xll.BDP($D25&amp;" Equity","EST_PE_NXT_YR")*(AA25/Z25)</f>
        <v>25.903667838711506</v>
      </c>
      <c r="AW25" s="73"/>
      <c r="AX25" s="42"/>
      <c r="AY25" s="42">
        <v>3.33</v>
      </c>
      <c r="AZ25" s="355"/>
      <c r="BA25" s="42">
        <f t="shared" si="16"/>
        <v>3.33</v>
      </c>
      <c r="BB25" s="347">
        <f t="shared" si="17"/>
        <v>3.4249999999999998</v>
      </c>
      <c r="BC25" s="347">
        <f t="shared" si="18"/>
        <v>-2422.4999999999936</v>
      </c>
      <c r="BD25" s="347">
        <f>BC25/'Master P&amp;L'!$AD$7*10000</f>
        <v>-1.0743969172272678E-2</v>
      </c>
    </row>
    <row r="26" spans="1:56" s="59" customFormat="1">
      <c r="A26" s="335"/>
      <c r="B26" s="73" t="s">
        <v>2331</v>
      </c>
      <c r="C26" s="73" t="str" cm="1">
        <f t="array" ref="C26">_xll.BDP($B26&amp;" Equity","opt_put_call")</f>
        <v>Call</v>
      </c>
      <c r="D26" s="73" t="str" cm="1">
        <f t="array" ref="D26">_xll.BDP(B26&amp;" Equity","OPT_UNDL_TICKER")</f>
        <v>TSM US</v>
      </c>
      <c r="E26" s="73" t="str" cm="1">
        <f t="array" ref="E26">_xll.BDP($B26&amp;" Equity","mifid_Maturity_date")</f>
        <v>18/06/2026</v>
      </c>
      <c r="F26" s="73" cm="1">
        <f t="array" ref="F26">_xll.BDP($B26&amp;" Equity","opt_days_expire")</f>
        <v>153</v>
      </c>
      <c r="G26" s="73" t="str" cm="1">
        <f t="array" ref="G26">_xll.BDP(B26&amp;" Equity","QUOTED_CURRENCY_REALTIME")</f>
        <v>USD</v>
      </c>
      <c r="H26" s="42">
        <v>525</v>
      </c>
      <c r="I26" s="410">
        <v>33.42</v>
      </c>
      <c r="J26" s="416">
        <f>VLOOKUP(B26,Precificação!$B:$O,14,FALSE)</f>
        <v>39.174999999999997</v>
      </c>
      <c r="K26" s="74">
        <f t="shared" si="19"/>
        <v>39.174999999999997</v>
      </c>
      <c r="L26" s="74" cm="1">
        <f t="array" ref="L26">_xll.BDP($B26&amp;" Equity","mid")</f>
        <v>38.25</v>
      </c>
      <c r="M26" s="75">
        <f t="shared" si="1"/>
        <v>0.11171144859813086</v>
      </c>
      <c r="N26" s="353"/>
      <c r="O26" s="75">
        <f t="shared" si="2"/>
        <v>-2.361199744735154E-2</v>
      </c>
      <c r="P26" s="74" cm="1">
        <f t="array" ref="P26">_xll.BDP($B26&amp;" Equity","bid")</f>
        <v>37.799999999999997</v>
      </c>
      <c r="Q26" s="74" cm="1">
        <f t="array" ref="Q26">_xll.BDP($B26&amp;" Equity","ask")</f>
        <v>38.700000000000003</v>
      </c>
      <c r="R26" s="76">
        <f t="shared" si="3"/>
        <v>2.3809523809523947E-2</v>
      </c>
      <c r="S26" s="36" cm="1">
        <f t="array" ref="S26">_xll.BDP(G26&amp;" Curncy","PX_LAST")</f>
        <v>1</v>
      </c>
      <c r="T26" s="42" cm="1">
        <f t="array" ref="T26">_xll.BDP(B26&amp;" Equity","OPT_MULTIPLIER")</f>
        <v>100</v>
      </c>
      <c r="U26" s="42">
        <f t="shared" si="4"/>
        <v>2008125</v>
      </c>
      <c r="V26" s="113">
        <f>U26/'Master P&amp;L'!$AD$7*10000</f>
        <v>8.906184971752376</v>
      </c>
      <c r="W26" s="113">
        <f>(Y26*H26*T26/S26)/'Master P&amp;L'!$AD$7*10000</f>
        <v>8.3473655225443881</v>
      </c>
      <c r="X26" s="118">
        <f t="shared" si="5"/>
        <v>2.3999999999999773</v>
      </c>
      <c r="Y26" s="272">
        <f t="shared" si="6"/>
        <v>35.850000000000023</v>
      </c>
      <c r="Z26" s="77">
        <f>_xll.BDP(D26&amp;" Equity","LAST_PRICE")</f>
        <v>342.4</v>
      </c>
      <c r="AA26" s="77" cm="1">
        <f t="array" ref="AA26">_xll.BDP(B26&amp;" Equity","OPT_STRIKE_PX")</f>
        <v>340</v>
      </c>
      <c r="AB26" s="76">
        <f t="shared" si="7"/>
        <v>-7.0093457943924964E-3</v>
      </c>
      <c r="AC26" s="323" cm="1">
        <f t="array" ref="AC26">_xll.BDP($D26&amp;" Equity","volatility_10d")</f>
        <v>33.905858239920846</v>
      </c>
      <c r="AD26" s="77" cm="1">
        <f t="array" ref="AD26">_xll.BDP(B26&amp;" Equity","ivol_mid")</f>
        <v>40.91686</v>
      </c>
      <c r="AE26" s="77">
        <f t="shared" si="8"/>
        <v>1.2067784779393782</v>
      </c>
      <c r="AF26" s="78" cm="1">
        <f t="array" ref="AF26">_xll.BDP(B26&amp;" Equity","DELTA_MID_RT")</f>
        <v>0.58431905508041382</v>
      </c>
      <c r="AG26" s="75">
        <f>AL26/'Master P&amp;L'!$AE$7</f>
        <v>4.6584782959772694E-3</v>
      </c>
      <c r="AH26" s="75">
        <f>AM26/'Master P&amp;L'!$AE$7</f>
        <v>7.9724908087006885E-3</v>
      </c>
      <c r="AI26" s="437">
        <f>AO26/'Master P&amp;L'!$AD$7*10000</f>
        <v>-2.5356932861339578E-2</v>
      </c>
      <c r="AJ26" s="351">
        <f t="shared" si="9"/>
        <v>0.64892080157268817</v>
      </c>
      <c r="AK26" s="78">
        <f>AP26/'Master P&amp;L'!$AD$7*10000</f>
        <v>-0.2153783293822463</v>
      </c>
      <c r="AL26" s="42">
        <f t="shared" si="10"/>
        <v>10503719.334125517</v>
      </c>
      <c r="AM26" s="42">
        <f t="shared" si="11"/>
        <v>17976000</v>
      </c>
      <c r="AN26" s="78" cm="1">
        <f t="array" ref="AN26">_xll.BDP($B26&amp;" Equity","theta_mid_rt")</f>
        <v>-0.10890214890241623</v>
      </c>
      <c r="AO26" s="42">
        <f t="shared" si="12"/>
        <v>-5717.362817376852</v>
      </c>
      <c r="AP26" s="42">
        <f t="shared" si="13"/>
        <v>-48562.499999999847</v>
      </c>
      <c r="AQ26" s="74" t="str" cm="1">
        <f t="array" ref="AQ26">_xll.BDP($D26&amp;" Equity","EXPECTED_REPORT_DT")</f>
        <v>17/04/2026</v>
      </c>
      <c r="AR26" s="235" cm="1">
        <f t="array" ref="AR26">_xll.BDP($B26&amp;" Equity","GAMMA_LAST")</f>
        <v>1.5015000000000001E-2</v>
      </c>
      <c r="AS26" s="73">
        <f t="shared" si="14"/>
        <v>924170.60735999979</v>
      </c>
      <c r="AT26" s="73">
        <f t="shared" si="15"/>
        <v>4620853.036799999</v>
      </c>
      <c r="AU26" s="73" t="s">
        <v>151</v>
      </c>
      <c r="AV26" s="322" cm="1">
        <f t="array" ref="AV26">_xll.BDP($D26&amp;" Equity","EST_PE_NXT_YR")*(AA26/Z26)</f>
        <v>20.904006991063092</v>
      </c>
      <c r="AW26" s="73"/>
      <c r="AX26" s="42"/>
      <c r="AY26" s="42">
        <v>38.25</v>
      </c>
      <c r="AZ26" s="355"/>
      <c r="BA26" s="42">
        <f t="shared" si="16"/>
        <v>38.25</v>
      </c>
      <c r="BB26" s="347">
        <f t="shared" si="17"/>
        <v>39.174999999999997</v>
      </c>
      <c r="BC26" s="347">
        <f t="shared" si="18"/>
        <v>48562.499999999854</v>
      </c>
      <c r="BD26" s="347">
        <f>BC26/'Master P&amp;L'!$AD$7*10000</f>
        <v>0.21537832938224633</v>
      </c>
    </row>
    <row r="27" spans="1:56">
      <c r="A27" s="357"/>
      <c r="B27" t="s">
        <v>2332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TSM US</v>
      </c>
      <c r="E27" t="str" cm="1">
        <f t="array" ref="E27">_xll.BDP($B27&amp;" Equity","mifid_Maturity_date")</f>
        <v>18/06/2026</v>
      </c>
      <c r="F27" cm="1">
        <f t="array" ref="F27">_xll.BDP($B27&amp;" Equity","opt_days_expire")</f>
        <v>153</v>
      </c>
      <c r="G27" t="str" cm="1">
        <f t="array" ref="G27">_xll.BDP(B27&amp;" Equity","QUOTED_CURRENCY_REALTIME")</f>
        <v>USD</v>
      </c>
      <c r="H27" s="15">
        <v>-525</v>
      </c>
      <c r="I27" s="411">
        <v>19.420000000000002</v>
      </c>
      <c r="J27" s="416">
        <f>VLOOKUP(B27,Precificação!$B:$O,14,FALSE)</f>
        <v>22.475000000000001</v>
      </c>
      <c r="K27" s="74">
        <f t="shared" si="19"/>
        <v>22.475000000000001</v>
      </c>
      <c r="L27" s="74" cm="1">
        <f t="array" ref="L27">_xll.BDP($B27&amp;" Equity","mid")</f>
        <v>22.43</v>
      </c>
      <c r="M27" s="19">
        <f t="shared" si="1"/>
        <v>6.5508177570093459E-2</v>
      </c>
      <c r="N27" s="351"/>
      <c r="O27" s="19">
        <f t="shared" si="2"/>
        <v>-2.002224694104604E-3</v>
      </c>
      <c r="P27" s="36" cm="1">
        <f t="array" ref="P27">_xll.BDP($B27&amp;" Equity","bid")</f>
        <v>22.1</v>
      </c>
      <c r="Q27" s="36" cm="1">
        <f t="array" ref="Q27">_xll.BDP($B27&amp;" Equity","ask")</f>
        <v>22.75</v>
      </c>
      <c r="R27" s="40">
        <f t="shared" si="3"/>
        <v>2.9411764705882248E-2</v>
      </c>
      <c r="S27" s="36" cm="1">
        <f t="array" ref="S27">_xll.BDP(G27&amp;" Curncy","PX_LAST")</f>
        <v>1</v>
      </c>
      <c r="T27" s="15" cm="1">
        <f t="array" ref="T27">_xll.BDP(B27&amp;" Equity","OPT_MULTIPLIER")</f>
        <v>100</v>
      </c>
      <c r="U27" s="15">
        <f t="shared" si="4"/>
        <v>-1177575</v>
      </c>
      <c r="V27" s="124">
        <f>U27/'Master P&amp;L'!$AD$7*10000</f>
        <v>-5.2226334357230266</v>
      </c>
      <c r="W27" s="124">
        <f>(Y27*H27*T27/S27)/'Master P&amp;L'!$AD$7*10000</f>
        <v>-5.2226334357230266</v>
      </c>
      <c r="X27" s="414">
        <f t="shared" si="5"/>
        <v>0</v>
      </c>
      <c r="Y27" s="273">
        <f t="shared" si="6"/>
        <v>22.43</v>
      </c>
      <c r="Z27" s="37">
        <f>_xll.BDP(D27&amp;" Equity","LAST_PRICE")</f>
        <v>342.4</v>
      </c>
      <c r="AA27" s="37" cm="1">
        <f t="array" ref="AA27">_xll.BDP(B27&amp;" Equity","OPT_STRIKE_PX")</f>
        <v>380</v>
      </c>
      <c r="AB27" s="40">
        <f t="shared" si="7"/>
        <v>0.10981308411214963</v>
      </c>
      <c r="AC27" s="324" cm="1">
        <f t="array" ref="AC27">_xll.BDP($D27&amp;" Equity","volatility_10d")</f>
        <v>33.905858239920846</v>
      </c>
      <c r="AD27" s="37" cm="1">
        <f t="array" ref="AD27">_xll.BDP(B27&amp;" Equity","ivol_mid")</f>
        <v>39.557130000000001</v>
      </c>
      <c r="AE27" s="37">
        <f t="shared" si="8"/>
        <v>1.1666753786348736</v>
      </c>
      <c r="AF27" s="38" cm="1">
        <f t="array" ref="AF27">_xll.BDP(B27&amp;" Equity","DELTA_MID_RT")</f>
        <v>0.41076299548149109</v>
      </c>
      <c r="AG27" s="19">
        <f>AL27/'Master P&amp;L'!$AE$7</f>
        <v>-3.2748042060305495E-3</v>
      </c>
      <c r="AH27" s="19">
        <f>AM27/'Master P&amp;L'!$AE$7</f>
        <v>-7.9724908087006885E-3</v>
      </c>
      <c r="AI27" s="436">
        <f>AO27/'Master P&amp;L'!$AD$7*10000</f>
        <v>2.5487927903370886E-2</v>
      </c>
      <c r="AJ27" s="351">
        <f t="shared" si="9"/>
        <v>-0.65227315527184582</v>
      </c>
      <c r="AK27" s="38">
        <f>AP27/'Master P&amp;L'!$AD$7*10000</f>
        <v>1.047786467265025E-2</v>
      </c>
      <c r="AL27" s="15">
        <f t="shared" si="10"/>
        <v>-7383875.606775282</v>
      </c>
      <c r="AM27" s="15">
        <f t="shared" si="11"/>
        <v>-17976000</v>
      </c>
      <c r="AN27" s="38" cm="1">
        <f t="array" ref="AN27">_xll.BDP($B27&amp;" Equity","theta_mid_rt")</f>
        <v>-0.10946474224328995</v>
      </c>
      <c r="AO27" s="15">
        <f t="shared" si="12"/>
        <v>5746.8989677727222</v>
      </c>
      <c r="AP27" s="15">
        <f t="shared" si="13"/>
        <v>2362.5000000000896</v>
      </c>
      <c r="AQ27" s="36" t="str" cm="1">
        <f t="array" ref="AQ27">_xll.BDP($D27&amp;" Equity","EXPECTED_REPORT_DT")</f>
        <v>17/04/2026</v>
      </c>
      <c r="AR27" s="66" cm="1">
        <f t="array" ref="AR27">_xll.BDP($B27&amp;" Equity","GAMMA_LAST")</f>
        <v>1.5070999999999999E-2</v>
      </c>
      <c r="AS27">
        <f t="shared" si="14"/>
        <v>-927617.39750399988</v>
      </c>
      <c r="AT27">
        <f t="shared" si="15"/>
        <v>-4638086.98752</v>
      </c>
      <c r="AU27" t="s">
        <v>151</v>
      </c>
      <c r="AV27" s="277" cm="1">
        <f t="array" ref="AV27">_xll.BDP($D27&amp;" Equity","EST_PE_NXT_YR")*(AA27/Z27)</f>
        <v>23.363301931188161</v>
      </c>
      <c r="AX27" s="15"/>
      <c r="AY27" s="15">
        <v>22.43</v>
      </c>
      <c r="AZ27" s="356"/>
      <c r="BA27" s="15">
        <f t="shared" si="16"/>
        <v>22.43</v>
      </c>
      <c r="BB27" s="415">
        <f t="shared" si="17"/>
        <v>22.475000000000001</v>
      </c>
      <c r="BC27" s="415">
        <f t="shared" si="18"/>
        <v>-2362.5000000000896</v>
      </c>
      <c r="BD27" s="415">
        <f>BC27/'Master P&amp;L'!$AD$7*10000</f>
        <v>-1.047786467265025E-2</v>
      </c>
    </row>
    <row r="28" spans="1:56" s="481" customFormat="1">
      <c r="A28" s="485" t="s">
        <v>151</v>
      </c>
      <c r="B28" s="481" t="s">
        <v>2331</v>
      </c>
      <c r="C28" s="481" t="str" cm="1">
        <f t="array" ref="C28">_xll.BDP($B28&amp;" Equity","opt_put_call")</f>
        <v>Call</v>
      </c>
      <c r="D28" s="481" t="str" cm="1">
        <f t="array" ref="D28">_xll.BDP(B28&amp;" Equity","OPT_UNDL_TICKER")</f>
        <v>TSM US</v>
      </c>
      <c r="E28" s="481" t="str" cm="1">
        <f t="array" ref="E28">_xll.BDP($B28&amp;" Equity","mifid_Maturity_date")</f>
        <v>18/06/2026</v>
      </c>
      <c r="F28" s="481" cm="1">
        <f t="array" ref="F28">_xll.BDP($B28&amp;" Equity","opt_days_expire")</f>
        <v>153</v>
      </c>
      <c r="G28" s="481" t="str" cm="1">
        <f t="array" ref="G28">_xll.BDP(B28&amp;" Equity","QUOTED_CURRENCY_REALTIME")</f>
        <v>USD</v>
      </c>
      <c r="H28" s="482">
        <v>425</v>
      </c>
      <c r="I28" s="486">
        <v>39.58</v>
      </c>
      <c r="J28" s="416">
        <f>VLOOKUP(B28,Precificação!$B:$O,14,FALSE)</f>
        <v>39.174999999999997</v>
      </c>
      <c r="K28" s="74">
        <f t="shared" si="19"/>
        <v>39.174999999999997</v>
      </c>
      <c r="L28" s="97" cm="1">
        <f t="array" ref="L28">_xll.BDP($B28&amp;" Equity","mid")</f>
        <v>38.25</v>
      </c>
      <c r="M28" s="483">
        <f t="shared" ref="M28:M30" si="52">L28/Z28</f>
        <v>0.11171144859813086</v>
      </c>
      <c r="N28" s="487"/>
      <c r="O28" s="483">
        <f t="shared" ref="O28:O30" si="53">L28/K28-1</f>
        <v>-2.361199744735154E-2</v>
      </c>
      <c r="P28" s="97" cm="1">
        <f t="array" ref="P28">_xll.BDP($B28&amp;" Equity","bid")</f>
        <v>37.799999999999997</v>
      </c>
      <c r="Q28" s="97" cm="1">
        <f t="array" ref="Q28">_xll.BDP($B28&amp;" Equity","ask")</f>
        <v>38.700000000000003</v>
      </c>
      <c r="R28" s="480">
        <f t="shared" ref="R28:R30" si="54">(Q28/P28-1)</f>
        <v>2.3809523809523947E-2</v>
      </c>
      <c r="S28" s="97" cm="1">
        <f t="array" ref="S28">_xll.BDP(G28&amp;" Curncy","PX_LAST")</f>
        <v>1</v>
      </c>
      <c r="T28" s="482" cm="1">
        <f t="array" ref="T28">_xll.BDP(B28&amp;" Equity","OPT_MULTIPLIER")</f>
        <v>100</v>
      </c>
      <c r="U28" s="482">
        <f t="shared" ref="U28:U30" si="55">(L28/S28)*H28*T28</f>
        <v>1625625</v>
      </c>
      <c r="V28" s="488">
        <f>U28/'Master P&amp;L'!$AD$7*10000</f>
        <v>7.2097687866566842</v>
      </c>
      <c r="W28" s="488">
        <f>(Y28*H28*T28/S28)/'Master P&amp;L'!$AD$7*10000</f>
        <v>6.7573911372978381</v>
      </c>
      <c r="X28" s="489">
        <f t="shared" ref="X28:X30" si="56">IF(C28="Put",IF(Z28&lt;AA28,AA28-Z28,0),IF(Z28&gt;AA28,Z28-AA28,0))</f>
        <v>2.3999999999999773</v>
      </c>
      <c r="Y28" s="490">
        <f t="shared" ref="Y28:Y30" si="57">L28-X28</f>
        <v>35.850000000000023</v>
      </c>
      <c r="Z28" s="491">
        <f>_xll.BDP(D28&amp;" Equity","LAST_PRICE")</f>
        <v>342.4</v>
      </c>
      <c r="AA28" s="491" cm="1">
        <f t="array" ref="AA28">_xll.BDP(B28&amp;" Equity","OPT_STRIKE_PX")</f>
        <v>340</v>
      </c>
      <c r="AB28" s="480">
        <f t="shared" ref="AB28:AB30" si="58">AA28/Z28-1</f>
        <v>-7.0093457943924964E-3</v>
      </c>
      <c r="AC28" s="492" cm="1">
        <f t="array" ref="AC28">_xll.BDP($D28&amp;" Equity","volatility_10d")</f>
        <v>33.905858239920846</v>
      </c>
      <c r="AD28" s="491" cm="1">
        <f t="array" ref="AD28">_xll.BDP(B28&amp;" Equity","ivol_mid")</f>
        <v>40.91686</v>
      </c>
      <c r="AE28" s="491">
        <f t="shared" ref="AE28:AE30" si="59">AD28/AC28</f>
        <v>1.2067784779393782</v>
      </c>
      <c r="AF28" s="493" cm="1">
        <f t="array" ref="AF28">_xll.BDP(B28&amp;" Equity","DELTA_MID_RT")</f>
        <v>0.58431905508041382</v>
      </c>
      <c r="AG28" s="483">
        <f>AL28/'Master P&amp;L'!$AE$7</f>
        <v>3.7711490967435048E-3</v>
      </c>
      <c r="AH28" s="483">
        <f>AM28/'Master P&amp;L'!$AE$7</f>
        <v>6.4539211308529383E-3</v>
      </c>
      <c r="AI28" s="494">
        <f>AO28/'Master P&amp;L'!$AD$7*10000</f>
        <v>-2.0527040887751088E-2</v>
      </c>
      <c r="AJ28" s="487">
        <f t="shared" ref="AJ28:AJ30" si="60">(252*AI28)/$AI$1</f>
        <v>0.52531683936836659</v>
      </c>
      <c r="AK28" s="493">
        <f>AP28/'Master P&amp;L'!$AD$7*10000</f>
        <v>-0.17435388569038987</v>
      </c>
      <c r="AL28" s="482">
        <f t="shared" ref="AL28:AL30" si="61">Z28*AF28*H28*T28/S28</f>
        <v>8503010.8895301819</v>
      </c>
      <c r="AM28" s="482">
        <f t="shared" ref="AM28:AM30" si="62">IF(C28="Put",-Z28*H28*T28/S28,Z28*H28*T28/S28)</f>
        <v>14552000</v>
      </c>
      <c r="AN28" s="493" cm="1">
        <f t="array" ref="AN28">_xll.BDP($B28&amp;" Equity","theta_mid_rt")</f>
        <v>-0.10890214890241623</v>
      </c>
      <c r="AO28" s="482">
        <f t="shared" ref="AO28:AO30" si="63">AN28*H28*T28/S28</f>
        <v>-4628.3413283526897</v>
      </c>
      <c r="AP28" s="482">
        <f t="shared" ref="AP28:AP30" si="64">(L28-K28)*T28/S28*H28</f>
        <v>-39312.499999999876</v>
      </c>
      <c r="AQ28" s="97" t="str" cm="1">
        <f t="array" ref="AQ28">_xll.BDP($D28&amp;" Equity","EXPECTED_REPORT_DT")</f>
        <v>17/04/2026</v>
      </c>
      <c r="AR28" s="495" cm="1">
        <f t="array" ref="AR28">_xll.BDP($B28&amp;" Equity","GAMMA_LAST")</f>
        <v>1.5015000000000001E-2</v>
      </c>
      <c r="AS28" s="481">
        <f t="shared" si="14"/>
        <v>748138.11071999976</v>
      </c>
      <c r="AT28" s="481">
        <f t="shared" si="15"/>
        <v>3740690.5535999998</v>
      </c>
      <c r="AU28" s="481" t="s">
        <v>151</v>
      </c>
      <c r="AV28" s="484" cm="1">
        <f t="array" ref="AV28">_xll.BDP($D28&amp;" Equity","EST_PE_NXT_YR")*(AA28/Z28)</f>
        <v>20.904006991063092</v>
      </c>
      <c r="AX28" s="482"/>
      <c r="AY28" s="482">
        <v>38.25</v>
      </c>
      <c r="AZ28" s="496"/>
      <c r="BA28" s="482">
        <f t="shared" ref="BA28:BA30" si="65">+AY28</f>
        <v>38.25</v>
      </c>
      <c r="BB28" s="497">
        <f t="shared" ref="BB28:BB30" si="66">+J28</f>
        <v>39.174999999999997</v>
      </c>
      <c r="BC28" s="497">
        <f t="shared" ref="BC28:BC30" si="67">(BB28-BA28)*H28*100</f>
        <v>39312.499999999884</v>
      </c>
      <c r="BD28" s="497">
        <f>BC28/'Master P&amp;L'!$AD$7*10000</f>
        <v>0.1743538856903899</v>
      </c>
    </row>
    <row r="29" spans="1:56" s="481" customFormat="1">
      <c r="A29" s="485" t="s">
        <v>151</v>
      </c>
      <c r="B29" s="481" t="s">
        <v>2332</v>
      </c>
      <c r="C29" s="481" t="str" cm="1">
        <f t="array" ref="C29">_xll.BDP($B29&amp;" Equity","opt_put_call")</f>
        <v>Call</v>
      </c>
      <c r="D29" s="481" t="str" cm="1">
        <f t="array" ref="D29">_xll.BDP(B29&amp;" Equity","OPT_UNDL_TICKER")</f>
        <v>TSM US</v>
      </c>
      <c r="E29" s="481" t="str" cm="1">
        <f t="array" ref="E29">_xll.BDP($B29&amp;" Equity","mifid_Maturity_date")</f>
        <v>18/06/2026</v>
      </c>
      <c r="F29" s="481" cm="1">
        <f t="array" ref="F29">_xll.BDP($B29&amp;" Equity","opt_days_expire")</f>
        <v>153</v>
      </c>
      <c r="G29" s="481" t="str" cm="1">
        <f t="array" ref="G29">_xll.BDP(B29&amp;" Equity","QUOTED_CURRENCY_REALTIME")</f>
        <v>USD</v>
      </c>
      <c r="H29" s="482">
        <v>-425</v>
      </c>
      <c r="I29" s="486">
        <v>23.22</v>
      </c>
      <c r="J29" s="416">
        <f>VLOOKUP(B29,Precificação!$B:$O,14,FALSE)</f>
        <v>22.475000000000001</v>
      </c>
      <c r="K29" s="74">
        <f t="shared" si="19"/>
        <v>22.475000000000001</v>
      </c>
      <c r="L29" s="97" cm="1">
        <f t="array" ref="L29">_xll.BDP($B29&amp;" Equity","mid")</f>
        <v>22.43</v>
      </c>
      <c r="M29" s="483">
        <f t="shared" si="52"/>
        <v>6.5508177570093459E-2</v>
      </c>
      <c r="N29" s="487"/>
      <c r="O29" s="483">
        <f t="shared" si="53"/>
        <v>-2.002224694104604E-3</v>
      </c>
      <c r="P29" s="97" cm="1">
        <f t="array" ref="P29">_xll.BDP($B29&amp;" Equity","bid")</f>
        <v>22.1</v>
      </c>
      <c r="Q29" s="97" cm="1">
        <f t="array" ref="Q29">_xll.BDP($B29&amp;" Equity","ask")</f>
        <v>22.75</v>
      </c>
      <c r="R29" s="480">
        <f t="shared" si="54"/>
        <v>2.9411764705882248E-2</v>
      </c>
      <c r="S29" s="97" cm="1">
        <f t="array" ref="S29">_xll.BDP(G29&amp;" Curncy","PX_LAST")</f>
        <v>1</v>
      </c>
      <c r="T29" s="482" cm="1">
        <f t="array" ref="T29">_xll.BDP(B29&amp;" Equity","OPT_MULTIPLIER")</f>
        <v>100</v>
      </c>
      <c r="U29" s="482">
        <f t="shared" si="55"/>
        <v>-953275</v>
      </c>
      <c r="V29" s="488">
        <f>U29/'Master P&amp;L'!$AD$7*10000</f>
        <v>-4.2278461146329267</v>
      </c>
      <c r="W29" s="488">
        <f>(Y29*H29*T29/S29)/'Master P&amp;L'!$AD$7*10000</f>
        <v>-4.2278461146329267</v>
      </c>
      <c r="X29" s="489">
        <f t="shared" si="56"/>
        <v>0</v>
      </c>
      <c r="Y29" s="490">
        <f t="shared" si="57"/>
        <v>22.43</v>
      </c>
      <c r="Z29" s="491">
        <f>_xll.BDP(D29&amp;" Equity","LAST_PRICE")</f>
        <v>342.4</v>
      </c>
      <c r="AA29" s="491" cm="1">
        <f t="array" ref="AA29">_xll.BDP(B29&amp;" Equity","OPT_STRIKE_PX")</f>
        <v>380</v>
      </c>
      <c r="AB29" s="480">
        <f t="shared" si="58"/>
        <v>0.10981308411214963</v>
      </c>
      <c r="AC29" s="492" cm="1">
        <f t="array" ref="AC29">_xll.BDP($D29&amp;" Equity","volatility_10d")</f>
        <v>33.905858239920846</v>
      </c>
      <c r="AD29" s="491" cm="1">
        <f t="array" ref="AD29">_xll.BDP(B29&amp;" Equity","ivol_mid")</f>
        <v>39.557130000000001</v>
      </c>
      <c r="AE29" s="491">
        <f t="shared" si="59"/>
        <v>1.1666753786348736</v>
      </c>
      <c r="AF29" s="493" cm="1">
        <f t="array" ref="AF29">_xll.BDP(B29&amp;" Equity","DELTA_MID_RT")</f>
        <v>0.41076299548149109</v>
      </c>
      <c r="AG29" s="483">
        <f>AL29/'Master P&amp;L'!$AE$7</f>
        <v>-2.6510319763104451E-3</v>
      </c>
      <c r="AH29" s="483">
        <f>AM29/'Master P&amp;L'!$AE$7</f>
        <v>-6.4539211308529383E-3</v>
      </c>
      <c r="AI29" s="494">
        <f>AO29/'Master P&amp;L'!$AD$7*10000</f>
        <v>2.0633084493205001E-2</v>
      </c>
      <c r="AJ29" s="487">
        <f t="shared" si="60"/>
        <v>-0.52803064950577994</v>
      </c>
      <c r="AK29" s="493">
        <f>AP29/'Master P&amp;L'!$AD$7*10000</f>
        <v>8.4820809254787747E-3</v>
      </c>
      <c r="AL29" s="482">
        <f t="shared" si="61"/>
        <v>-5977423.1102466574</v>
      </c>
      <c r="AM29" s="482">
        <f t="shared" si="62"/>
        <v>-14552000</v>
      </c>
      <c r="AN29" s="493" cm="1">
        <f t="array" ref="AN29">_xll.BDP($B29&amp;" Equity","theta_mid_rt")</f>
        <v>-0.10946474224328995</v>
      </c>
      <c r="AO29" s="482">
        <f t="shared" si="63"/>
        <v>4652.2515453398228</v>
      </c>
      <c r="AP29" s="482">
        <f t="shared" si="64"/>
        <v>1912.5000000000725</v>
      </c>
      <c r="AQ29" s="97" t="str" cm="1">
        <f t="array" ref="AQ29">_xll.BDP($D29&amp;" Equity","EXPECTED_REPORT_DT")</f>
        <v>17/04/2026</v>
      </c>
      <c r="AR29" s="495" cm="1">
        <f t="array" ref="AR29">_xll.BDP($B29&amp;" Equity","GAMMA_LAST")</f>
        <v>1.5070999999999999E-2</v>
      </c>
      <c r="AS29" s="481">
        <f t="shared" si="14"/>
        <v>-750928.36940800003</v>
      </c>
      <c r="AT29" s="481">
        <f t="shared" si="15"/>
        <v>-3754641.8470399999</v>
      </c>
      <c r="AU29" s="481" t="s">
        <v>151</v>
      </c>
      <c r="AV29" s="484" cm="1">
        <f t="array" ref="AV29">_xll.BDP($D29&amp;" Equity","EST_PE_NXT_YR")*(AA29/Z29)</f>
        <v>23.363301931188161</v>
      </c>
      <c r="AX29" s="482"/>
      <c r="AY29" s="482">
        <v>22.43</v>
      </c>
      <c r="AZ29" s="496"/>
      <c r="BA29" s="482">
        <f t="shared" si="65"/>
        <v>22.43</v>
      </c>
      <c r="BB29" s="497">
        <f t="shared" si="66"/>
        <v>22.475000000000001</v>
      </c>
      <c r="BC29" s="497">
        <f t="shared" si="67"/>
        <v>-1912.5000000000725</v>
      </c>
      <c r="BD29" s="497">
        <f>BC29/'Master P&amp;L'!$AD$7*10000</f>
        <v>-8.4820809254787747E-3</v>
      </c>
    </row>
    <row r="30" spans="1:56" s="481" customFormat="1">
      <c r="A30" s="485"/>
      <c r="B30" s="481" t="s">
        <v>2141</v>
      </c>
      <c r="C30" s="481" t="str" cm="1">
        <f t="array" ref="C30">_xll.BDP($B30&amp;" Equity","opt_put_call")</f>
        <v>Call</v>
      </c>
      <c r="D30" s="481" t="str" cm="1">
        <f t="array" ref="D30">_xll.BDP(B30&amp;" Equity","OPT_UNDL_TICKER")</f>
        <v>TSM US</v>
      </c>
      <c r="E30" s="481" t="str" cm="1">
        <f t="array" ref="E30">_xll.BDP($B30&amp;" Equity","mifid_Maturity_date")</f>
        <v>20/03/2026</v>
      </c>
      <c r="F30" s="481" cm="1">
        <f t="array" ref="F30">_xll.BDP($B30&amp;" Equity","opt_days_expire")</f>
        <v>63</v>
      </c>
      <c r="G30" s="481" t="str" cm="1">
        <f t="array" ref="G30">_xll.BDP(B30&amp;" Equity","QUOTED_CURRENCY_REALTIME")</f>
        <v>USD</v>
      </c>
      <c r="H30" s="482">
        <v>50</v>
      </c>
      <c r="I30" s="486">
        <v>18</v>
      </c>
      <c r="J30" s="416">
        <f>VLOOKUP(B30,Precificação!$B:$O,14,FALSE)</f>
        <v>49.25</v>
      </c>
      <c r="K30" s="74">
        <f t="shared" si="19"/>
        <v>49.25</v>
      </c>
      <c r="L30" s="97" cm="1">
        <f t="array" ref="L30">_xll.BDP($B30&amp;" Equity","mid")</f>
        <v>49.45</v>
      </c>
      <c r="M30" s="483">
        <f t="shared" si="52"/>
        <v>0.14442172897196265</v>
      </c>
      <c r="N30" s="487"/>
      <c r="O30" s="483">
        <f t="shared" si="53"/>
        <v>4.0609137055838129E-3</v>
      </c>
      <c r="P30" s="97" cm="1">
        <f t="array" ref="P30">_xll.BDP($B30&amp;" Equity","bid")</f>
        <v>48.75</v>
      </c>
      <c r="Q30" s="97" cm="1">
        <f t="array" ref="Q30">_xll.BDP($B30&amp;" Equity","ask")</f>
        <v>50.15</v>
      </c>
      <c r="R30" s="480">
        <f t="shared" si="54"/>
        <v>2.8717948717948749E-2</v>
      </c>
      <c r="S30" s="97" cm="1">
        <f t="array" ref="S30">_xll.BDP(G30&amp;" Curncy","PX_LAST")</f>
        <v>1</v>
      </c>
      <c r="T30" s="482" cm="1">
        <f t="array" ref="T30">_xll.BDP(B30&amp;" Equity","OPT_MULTIPLIER")</f>
        <v>100</v>
      </c>
      <c r="U30" s="482">
        <f t="shared" si="55"/>
        <v>247250</v>
      </c>
      <c r="V30" s="488">
        <f>U30/'Master P&amp;L'!$AD$7*10000</f>
        <v>1.0965722921958418</v>
      </c>
      <c r="W30" s="488">
        <f>(Y30*H30*T30/S30)/'Master P&amp;L'!$AD$7*10000</f>
        <v>0.15633639352842693</v>
      </c>
      <c r="X30" s="489">
        <f t="shared" si="56"/>
        <v>42.399999999999977</v>
      </c>
      <c r="Y30" s="490">
        <f t="shared" si="57"/>
        <v>7.0500000000000256</v>
      </c>
      <c r="Z30" s="491">
        <f>_xll.BDP(D30&amp;" Equity","LAST_PRICE")</f>
        <v>342.4</v>
      </c>
      <c r="AA30" s="491" cm="1">
        <f t="array" ref="AA30">_xll.BDP(B30&amp;" Equity","OPT_STRIKE_PX")</f>
        <v>300</v>
      </c>
      <c r="AB30" s="480">
        <f t="shared" si="58"/>
        <v>-0.12383177570093451</v>
      </c>
      <c r="AC30" s="492" cm="1">
        <f t="array" ref="AC30">_xll.BDP($D30&amp;" Equity","volatility_10d")</f>
        <v>33.905858239920846</v>
      </c>
      <c r="AD30" s="491" cm="1">
        <f t="array" ref="AD30">_xll.BDP(B30&amp;" Equity","ivol_mid")</f>
        <v>38.269060000000003</v>
      </c>
      <c r="AE30" s="491">
        <f t="shared" si="59"/>
        <v>1.1286857784045683</v>
      </c>
      <c r="AF30" s="493" cm="1">
        <f t="array" ref="AF30">_xll.BDP(B30&amp;" Equity","DELTA_MID_RT")</f>
        <v>0.83159583806991577</v>
      </c>
      <c r="AG30" s="483">
        <f>AL30/'Master P&amp;L'!$AE$7</f>
        <v>6.3141811195868095E-4</v>
      </c>
      <c r="AH30" s="483">
        <f>AM30/'Master P&amp;L'!$AE$7</f>
        <v>7.5928483892387507E-4</v>
      </c>
      <c r="AI30" s="494">
        <f>AO30/'Master P&amp;L'!$AD$7*10000</f>
        <v>-2.7055241520542008E-3</v>
      </c>
      <c r="AJ30" s="487">
        <f t="shared" si="60"/>
        <v>6.9238299088690711E-2</v>
      </c>
      <c r="AK30" s="493">
        <f>AP30/'Master P&amp;L'!$AD$7*10000</f>
        <v>4.4350749937142869E-3</v>
      </c>
      <c r="AL30" s="482">
        <f t="shared" si="61"/>
        <v>1423692.0747756958</v>
      </c>
      <c r="AM30" s="482">
        <f t="shared" si="62"/>
        <v>1712000</v>
      </c>
      <c r="AN30" s="493" cm="1">
        <f t="array" ref="AN30">_xll.BDP($B30&amp;" Equity","theta_mid_rt")</f>
        <v>-0.12200579047203064</v>
      </c>
      <c r="AO30" s="482">
        <f t="shared" si="63"/>
        <v>-610.0289523601532</v>
      </c>
      <c r="AP30" s="482">
        <f t="shared" si="64"/>
        <v>1000.0000000000142</v>
      </c>
      <c r="AQ30" s="97" t="str" cm="1">
        <f t="array" ref="AQ30">_xll.BDP($D30&amp;" Equity","EXPECTED_REPORT_DT")</f>
        <v>17/04/2026</v>
      </c>
      <c r="AR30" s="495" cm="1">
        <f t="array" ref="AR30">_xll.BDP($B30&amp;" Equity","GAMMA_LAST")</f>
        <v>1.5576E-2</v>
      </c>
      <c r="AS30" s="481">
        <f t="shared" si="14"/>
        <v>91304.767487999998</v>
      </c>
      <c r="AT30" s="481">
        <f t="shared" si="15"/>
        <v>456523.83743999992</v>
      </c>
      <c r="AU30" s="481" t="s">
        <v>151</v>
      </c>
      <c r="AV30" s="484" cm="1">
        <f t="array" ref="AV30">_xll.BDP($D30&amp;" Equity","EST_PE_NXT_YR")*(AA30/Z30)</f>
        <v>18.444712050938023</v>
      </c>
      <c r="AX30" s="482"/>
      <c r="AY30" s="482">
        <v>49.45</v>
      </c>
      <c r="AZ30" s="496"/>
      <c r="BA30" s="482">
        <f t="shared" si="65"/>
        <v>49.45</v>
      </c>
      <c r="BB30" s="497">
        <f t="shared" si="66"/>
        <v>49.25</v>
      </c>
      <c r="BC30" s="497">
        <f t="shared" si="67"/>
        <v>-1000.0000000000142</v>
      </c>
      <c r="BD30" s="497">
        <f>BC30/'Master P&amp;L'!$AD$7*10000</f>
        <v>-4.4350749937142869E-3</v>
      </c>
    </row>
    <row r="31" spans="1:56" s="500" customFormat="1">
      <c r="A31" s="499"/>
      <c r="B31" s="500" t="s">
        <v>2353</v>
      </c>
      <c r="C31" s="500" t="str" cm="1">
        <f t="array" ref="C31">_xll.BDP($B31&amp;" Equity","opt_put_call")</f>
        <v>Call</v>
      </c>
      <c r="D31" s="500" t="str" cm="1">
        <f t="array" ref="D31">_xll.BDP(B31&amp;" Equity","OPT_UNDL_TICKER")</f>
        <v>TSM US</v>
      </c>
      <c r="E31" s="500" t="str" cm="1">
        <f t="array" ref="E31">_xll.BDP($B31&amp;" Equity","mifid_Maturity_date")</f>
        <v>16/01/2026</v>
      </c>
      <c r="F31" s="500" cm="1">
        <f t="array" ref="F31">_xll.BDP($B31&amp;" Equity","opt_days_expire")</f>
        <v>0</v>
      </c>
      <c r="G31" s="500" t="str" cm="1">
        <f t="array" ref="G31">_xll.BDP(B31&amp;" Equity","QUOTED_CURRENCY_REALTIME")</f>
        <v>USD</v>
      </c>
      <c r="H31" s="501">
        <v>-100</v>
      </c>
      <c r="I31" s="502">
        <v>3.7</v>
      </c>
      <c r="J31" s="503">
        <f>VLOOKUP(B31,Precificação!$B:$O,14,FALSE)</f>
        <v>7.9249999999999998</v>
      </c>
      <c r="K31" s="503">
        <f t="shared" si="19"/>
        <v>7.9249999999999998</v>
      </c>
      <c r="L31" s="503" cm="1">
        <f t="array" ref="L31">_xll.BDP($B31&amp;" Equity","mid")</f>
        <v>7.8</v>
      </c>
      <c r="M31" s="504">
        <f t="shared" ref="M31:M33" si="68">L31/Z31</f>
        <v>2.2780373831775703E-2</v>
      </c>
      <c r="N31" s="505"/>
      <c r="O31" s="504">
        <f t="shared" ref="O31:O33" si="69">L31/K31-1</f>
        <v>-1.5772870662460581E-2</v>
      </c>
      <c r="P31" s="503" cm="1">
        <f t="array" ref="P31">_xll.BDP($B31&amp;" Equity","bid")</f>
        <v>7.1</v>
      </c>
      <c r="Q31" s="503" cm="1">
        <f t="array" ref="Q31">_xll.BDP($B31&amp;" Equity","ask")</f>
        <v>8.5</v>
      </c>
      <c r="R31" s="506">
        <f t="shared" ref="R31:R33" si="70">(Q31/P31-1)</f>
        <v>0.19718309859154926</v>
      </c>
      <c r="S31" s="503" cm="1">
        <f t="array" ref="S31">_xll.BDP(G31&amp;" Curncy","PX_LAST")</f>
        <v>1</v>
      </c>
      <c r="T31" s="501" cm="1">
        <f t="array" ref="T31">_xll.BDP(B31&amp;" Equity","OPT_MULTIPLIER")</f>
        <v>100</v>
      </c>
      <c r="U31" s="501">
        <f t="shared" ref="U31:U33" si="71">(L31/S31)*H31*T31</f>
        <v>-78000</v>
      </c>
      <c r="V31" s="507">
        <f>U31/'Master P&amp;L'!$AD$7*10000</f>
        <v>-0.34593584950970946</v>
      </c>
      <c r="W31" s="507">
        <f>(Y31*H31*T31/S31)/'Master P&amp;L'!$AD$7*10000</f>
        <v>-1.7740299974857897E-2</v>
      </c>
      <c r="X31" s="508">
        <f t="shared" ref="X31:X33" si="72">IF(C31="Put",IF(Z31&lt;AA31,AA31-Z31,0),IF(Z31&gt;AA31,Z31-AA31,0))</f>
        <v>7.3999999999999773</v>
      </c>
      <c r="Y31" s="509">
        <f t="shared" ref="Y31:Y33" si="73">L31-X31</f>
        <v>0.40000000000002256</v>
      </c>
      <c r="Z31" s="510">
        <f>_xll.BDP(D31&amp;" Equity","LAST_PRICE")</f>
        <v>342.4</v>
      </c>
      <c r="AA31" s="510" cm="1">
        <f t="array" ref="AA31">_xll.BDP(B31&amp;" Equity","OPT_STRIKE_PX")</f>
        <v>335</v>
      </c>
      <c r="AB31" s="506">
        <f t="shared" ref="AB31:AB33" si="74">AA31/Z31-1</f>
        <v>-2.1612149532710179E-2</v>
      </c>
      <c r="AC31" s="511" cm="1">
        <f t="array" ref="AC31">_xll.BDP($D31&amp;" Equity","volatility_10d")</f>
        <v>33.905858239920846</v>
      </c>
      <c r="AD31" s="510" cm="1">
        <f t="array" ref="AD31">_xll.BDP(B31&amp;" Equity","ivol_mid")</f>
        <v>41.60568</v>
      </c>
      <c r="AE31" s="510">
        <f t="shared" ref="AE31:AE33" si="75">AD31/AC31</f>
        <v>1.2270941412423344</v>
      </c>
      <c r="AF31" s="512" cm="1">
        <f t="array" ref="AF31">_xll.BDP(B31&amp;" Equity","DELTA_MID_RT")</f>
        <v>0.90913861989974976</v>
      </c>
      <c r="AG31" s="504">
        <f>AL31/'Master P&amp;L'!$AE$7</f>
        <v>-1.3805903411401113E-3</v>
      </c>
      <c r="AH31" s="504">
        <f>AM31/'Master P&amp;L'!$AE$7</f>
        <v>-1.5185696778477501E-3</v>
      </c>
      <c r="AI31" s="513">
        <f>AO31/'Master P&amp;L'!$AD$7*10000</f>
        <v>0</v>
      </c>
      <c r="AJ31" s="505">
        <f t="shared" ref="AJ31:AJ33" si="76">(252*AI31)/$AI$1</f>
        <v>0</v>
      </c>
      <c r="AK31" s="512">
        <f>AP31/'Master P&amp;L'!$AD$7*10000</f>
        <v>5.5438437421427792E-3</v>
      </c>
      <c r="AL31" s="501">
        <f t="shared" ref="AL31:AL33" si="77">Z31*AF31*H31*T31/S31</f>
        <v>-3112890.6345367432</v>
      </c>
      <c r="AM31" s="501">
        <f t="shared" ref="AM31:AM33" si="78">IF(C31="Put",-Z31*H31*T31/S31,Z31*H31*T31/S31)</f>
        <v>-3424000</v>
      </c>
      <c r="AN31" s="512" cm="1">
        <f t="array" ref="AN31">_xll.BDP($B31&amp;" Equity","theta_mid_rt")</f>
        <v>0</v>
      </c>
      <c r="AO31" s="501">
        <f t="shared" ref="AO31:AO33" si="79">AN31*H31*T31/S31</f>
        <v>0</v>
      </c>
      <c r="AP31" s="501">
        <f t="shared" ref="AP31:AP33" si="80">(L31-K31)*T31/S31*H31</f>
        <v>1250</v>
      </c>
      <c r="AQ31" s="503" t="str" cm="1">
        <f t="array" ref="AQ31">_xll.BDP($D31&amp;" Equity","EXPECTED_REPORT_DT")</f>
        <v>17/04/2026</v>
      </c>
      <c r="AR31" s="514" cm="1">
        <f t="array" ref="AR31">_xll.BDP($B31&amp;" Equity","GAMMA_LAST")</f>
        <v>0.10610600000000001</v>
      </c>
      <c r="AS31" s="500">
        <f t="shared" si="14"/>
        <v>-1243962.9762560001</v>
      </c>
      <c r="AT31" s="500">
        <f t="shared" si="15"/>
        <v>-6219814.8812799994</v>
      </c>
      <c r="AU31" s="500" t="s">
        <v>151</v>
      </c>
      <c r="AV31" s="515" cm="1">
        <f t="array" ref="AV31">_xll.BDP($D31&amp;" Equity","EST_PE_NXT_YR")*(AA31/Z31)</f>
        <v>20.596595123547459</v>
      </c>
      <c r="AX31" s="501"/>
      <c r="AY31" s="501">
        <v>7.8</v>
      </c>
      <c r="AZ31" s="516"/>
      <c r="BA31" s="501">
        <f t="shared" ref="BA31:BA33" si="81">+AY31</f>
        <v>7.8</v>
      </c>
      <c r="BB31" s="517">
        <f t="shared" ref="BB31:BB33" si="82">+J31</f>
        <v>7.9249999999999998</v>
      </c>
      <c r="BC31" s="517">
        <f t="shared" ref="BC31:BC33" si="83">(BB31-BA31)*H31*100</f>
        <v>-1250</v>
      </c>
      <c r="BD31" s="517">
        <f>BC31/'Master P&amp;L'!$AD$7*10000</f>
        <v>-5.5438437421427792E-3</v>
      </c>
    </row>
    <row r="32" spans="1:56" s="385" customFormat="1">
      <c r="A32" s="541"/>
      <c r="B32" s="385" t="s">
        <v>2352</v>
      </c>
      <c r="C32" s="385" t="str" cm="1">
        <f t="array" ref="C32">_xll.BDP($B32&amp;" Equity","opt_put_call")</f>
        <v>Put</v>
      </c>
      <c r="D32" s="385" t="str" cm="1">
        <f t="array" ref="D32">_xll.BDP(B32&amp;" Equity","OPT_UNDL_TICKER")</f>
        <v>TSM US</v>
      </c>
      <c r="E32" s="385" t="str" cm="1">
        <f t="array" ref="E32">_xll.BDP($B32&amp;" Equity","mifid_Maturity_date")</f>
        <v>16/01/2026</v>
      </c>
      <c r="F32" s="385" cm="1">
        <f t="array" ref="F32">_xll.BDP($B32&amp;" Equity","opt_days_expire")</f>
        <v>0</v>
      </c>
      <c r="G32" s="385" t="str" cm="1">
        <f t="array" ref="G32">_xll.BDP(B32&amp;" Equity","QUOTED_CURRENCY_REALTIME")</f>
        <v>USD</v>
      </c>
      <c r="H32" s="542">
        <v>100</v>
      </c>
      <c r="I32" s="543">
        <v>5.75</v>
      </c>
      <c r="J32" s="123">
        <f>VLOOKUP(B32,Precificação!$B:$O,14,FALSE)</f>
        <v>0.255</v>
      </c>
      <c r="K32" s="123">
        <f t="shared" si="19"/>
        <v>0.255</v>
      </c>
      <c r="L32" s="123" cm="1">
        <f t="array" ref="L32">_xll.BDP($B32&amp;" Equity","mid")</f>
        <v>0.01</v>
      </c>
      <c r="M32" s="413">
        <f t="shared" si="68"/>
        <v>2.9205607476635515E-5</v>
      </c>
      <c r="N32" s="544"/>
      <c r="O32" s="413">
        <f t="shared" si="69"/>
        <v>-0.96078431372549022</v>
      </c>
      <c r="P32" s="123" t="str" cm="1">
        <f t="array" ref="P32">_xll.BDP($B32&amp;" Equity","bid")</f>
        <v>#N/A N/A</v>
      </c>
      <c r="Q32" s="123" cm="1">
        <f t="array" ref="Q32">_xll.BDP($B32&amp;" Equity","ask")</f>
        <v>0.01</v>
      </c>
      <c r="R32" s="545" t="e">
        <f t="shared" si="70"/>
        <v>#VALUE!</v>
      </c>
      <c r="S32" s="123" cm="1">
        <f t="array" ref="S32">_xll.BDP(G32&amp;" Curncy","PX_LAST")</f>
        <v>1</v>
      </c>
      <c r="T32" s="542" cm="1">
        <f t="array" ref="T32">_xll.BDP(B32&amp;" Equity","OPT_MULTIPLIER")</f>
        <v>100</v>
      </c>
      <c r="U32" s="542">
        <f t="shared" si="71"/>
        <v>100</v>
      </c>
      <c r="V32" s="546">
        <f>U32/'Master P&amp;L'!$AD$7*10000</f>
        <v>4.4350749937142241E-4</v>
      </c>
      <c r="W32" s="546">
        <f>(Y32*H32*T32/S32)/'Master P&amp;L'!$AD$7*10000</f>
        <v>4.4350749937142241E-4</v>
      </c>
      <c r="X32" s="547">
        <f t="shared" si="72"/>
        <v>0</v>
      </c>
      <c r="Y32" s="548">
        <f t="shared" si="73"/>
        <v>0.01</v>
      </c>
      <c r="Z32" s="549">
        <f>_xll.BDP(D32&amp;" Equity","LAST_PRICE")</f>
        <v>342.4</v>
      </c>
      <c r="AA32" s="549" cm="1">
        <f t="array" ref="AA32">_xll.BDP(B32&amp;" Equity","OPT_STRIKE_PX")</f>
        <v>325</v>
      </c>
      <c r="AB32" s="545">
        <f t="shared" si="74"/>
        <v>-5.0817757009345765E-2</v>
      </c>
      <c r="AC32" s="550" cm="1">
        <f t="array" ref="AC32">_xll.BDP($D32&amp;" Equity","volatility_10d")</f>
        <v>33.905858239920846</v>
      </c>
      <c r="AD32" s="549" cm="1">
        <f t="array" ref="AD32">_xll.BDP(B32&amp;" Equity","ivol_mid")</f>
        <v>50.461269999999999</v>
      </c>
      <c r="AE32" s="549">
        <f t="shared" si="75"/>
        <v>1.4882758502360152</v>
      </c>
      <c r="AF32" s="551" cm="1">
        <f t="array" ref="AF32">_xll.BDP(B32&amp;" Equity","DELTA_MID_RT")</f>
        <v>-3.8303020410239697E-3</v>
      </c>
      <c r="AG32" s="413">
        <f>AL32/'Master P&amp;L'!$AE$7</f>
        <v>-5.8165805364973481E-6</v>
      </c>
      <c r="AH32" s="413">
        <f>AM32/'Master P&amp;L'!$AE$7</f>
        <v>-1.5185696778477501E-3</v>
      </c>
      <c r="AI32" s="552">
        <f>AO32/'Master P&amp;L'!$AD$7*10000</f>
        <v>0</v>
      </c>
      <c r="AJ32" s="544">
        <f t="shared" si="76"/>
        <v>0</v>
      </c>
      <c r="AK32" s="551">
        <f>AP32/'Master P&amp;L'!$AD$7*10000</f>
        <v>-1.0865933734599847E-2</v>
      </c>
      <c r="AL32" s="542">
        <f t="shared" si="77"/>
        <v>-13114.954188466068</v>
      </c>
      <c r="AM32" s="542">
        <f t="shared" si="78"/>
        <v>-3424000</v>
      </c>
      <c r="AN32" s="551" cm="1">
        <f t="array" ref="AN32">_xll.BDP($B32&amp;" Equity","theta_mid_rt")</f>
        <v>0</v>
      </c>
      <c r="AO32" s="542">
        <f t="shared" si="79"/>
        <v>0</v>
      </c>
      <c r="AP32" s="542">
        <f t="shared" si="80"/>
        <v>-2450</v>
      </c>
      <c r="AQ32" s="123" t="str" cm="1">
        <f t="array" ref="AQ32">_xll.BDP($D32&amp;" Equity","EXPECTED_REPORT_DT")</f>
        <v>17/04/2026</v>
      </c>
      <c r="AR32" s="553" cm="1">
        <f t="array" ref="AR32">_xll.BDP($B32&amp;" Equity","GAMMA_LAST")</f>
        <v>3.5601000000000001E-2</v>
      </c>
      <c r="AS32" s="385">
        <f t="shared" si="14"/>
        <v>417378.14937599999</v>
      </c>
      <c r="AT32" s="385">
        <f t="shared" si="15"/>
        <v>2086890.7468799995</v>
      </c>
      <c r="AU32" s="385" t="s">
        <v>151</v>
      </c>
      <c r="AV32" s="369" cm="1">
        <f t="array" ref="AV32">_xll.BDP($D32&amp;" Equity","EST_PE_NXT_YR")*(AA32/Z32)</f>
        <v>19.98177138851619</v>
      </c>
      <c r="AX32" s="542"/>
      <c r="AY32" s="542">
        <v>0.01</v>
      </c>
      <c r="AZ32" s="554"/>
      <c r="BA32" s="542">
        <f t="shared" si="81"/>
        <v>0.01</v>
      </c>
      <c r="BB32" s="555">
        <f t="shared" si="82"/>
        <v>0.255</v>
      </c>
      <c r="BC32" s="555">
        <f t="shared" si="83"/>
        <v>2450</v>
      </c>
      <c r="BD32" s="555">
        <f>BC32/'Master P&amp;L'!$AD$7*10000</f>
        <v>1.0865933734599847E-2</v>
      </c>
    </row>
    <row r="33" spans="1:56" s="385" customFormat="1">
      <c r="A33" s="541"/>
      <c r="B33" s="385" t="s">
        <v>2354</v>
      </c>
      <c r="C33" s="385" t="str" cm="1">
        <f t="array" ref="C33">_xll.BDP($B33&amp;" Equity","opt_put_call")</f>
        <v>Put</v>
      </c>
      <c r="D33" s="385" t="str" cm="1">
        <f t="array" ref="D33">_xll.BDP(B33&amp;" Equity","OPT_UNDL_TICKER")</f>
        <v>TSM US</v>
      </c>
      <c r="E33" s="385" t="str" cm="1">
        <f t="array" ref="E33">_xll.BDP($B33&amp;" Equity","mifid_Maturity_date")</f>
        <v>16/01/2026</v>
      </c>
      <c r="F33" s="385" cm="1">
        <f t="array" ref="F33">_xll.BDP($B33&amp;" Equity","opt_days_expire")</f>
        <v>0</v>
      </c>
      <c r="G33" s="385" t="str" cm="1">
        <f t="array" ref="G33">_xll.BDP(B33&amp;" Equity","QUOTED_CURRENCY_REALTIME")</f>
        <v>USD</v>
      </c>
      <c r="H33" s="542">
        <v>-100</v>
      </c>
      <c r="I33" s="543">
        <v>2</v>
      </c>
      <c r="J33" s="123">
        <f>VLOOKUP(B33,Precificação!$B:$O,14,FALSE)</f>
        <v>0.125</v>
      </c>
      <c r="K33" s="123">
        <f t="shared" si="19"/>
        <v>0.125</v>
      </c>
      <c r="L33" s="123" cm="1">
        <f t="array" ref="L33">_xll.BDP($B33&amp;" Equity","mid")</f>
        <v>0.01</v>
      </c>
      <c r="M33" s="413">
        <f t="shared" si="68"/>
        <v>2.9205607476635515E-5</v>
      </c>
      <c r="N33" s="544"/>
      <c r="O33" s="413">
        <f t="shared" si="69"/>
        <v>-0.92</v>
      </c>
      <c r="P33" s="123" t="str" cm="1">
        <f t="array" ref="P33">_xll.BDP($B33&amp;" Equity","bid")</f>
        <v>#N/A N/A</v>
      </c>
      <c r="Q33" s="123" cm="1">
        <f t="array" ref="Q33">_xll.BDP($B33&amp;" Equity","ask")</f>
        <v>0.01</v>
      </c>
      <c r="R33" s="545" t="e">
        <f t="shared" si="70"/>
        <v>#VALUE!</v>
      </c>
      <c r="S33" s="123" cm="1">
        <f t="array" ref="S33">_xll.BDP(G33&amp;" Curncy","PX_LAST")</f>
        <v>1</v>
      </c>
      <c r="T33" s="542" cm="1">
        <f t="array" ref="T33">_xll.BDP(B33&amp;" Equity","OPT_MULTIPLIER")</f>
        <v>100</v>
      </c>
      <c r="U33" s="542">
        <f t="shared" si="71"/>
        <v>-100</v>
      </c>
      <c r="V33" s="546">
        <f>U33/'Master P&amp;L'!$AD$7*10000</f>
        <v>-4.4350749937142241E-4</v>
      </c>
      <c r="W33" s="546">
        <f>(Y33*H33*T33/S33)/'Master P&amp;L'!$AD$7*10000</f>
        <v>-4.4350749937142241E-4</v>
      </c>
      <c r="X33" s="547">
        <f t="shared" si="72"/>
        <v>0</v>
      </c>
      <c r="Y33" s="548">
        <f t="shared" si="73"/>
        <v>0.01</v>
      </c>
      <c r="Z33" s="549">
        <f>_xll.BDP(D33&amp;" Equity","LAST_PRICE")</f>
        <v>342.4</v>
      </c>
      <c r="AA33" s="549" cm="1">
        <f t="array" ref="AA33">_xll.BDP(B33&amp;" Equity","OPT_STRIKE_PX")</f>
        <v>315</v>
      </c>
      <c r="AB33" s="545">
        <f t="shared" si="74"/>
        <v>-8.0023364485981241E-2</v>
      </c>
      <c r="AC33" s="550" cm="1">
        <f t="array" ref="AC33">_xll.BDP($D33&amp;" Equity","volatility_10d")</f>
        <v>33.905858239920846</v>
      </c>
      <c r="AD33" s="549" cm="1">
        <f t="array" ref="AD33">_xll.BDP(B33&amp;" Equity","ivol_mid")</f>
        <v>65.517420000000001</v>
      </c>
      <c r="AE33" s="549">
        <f t="shared" si="75"/>
        <v>1.9323333312017337</v>
      </c>
      <c r="AF33" s="551" cm="1">
        <f t="array" ref="AF33">_xll.BDP(B33&amp;" Equity","DELTA_MID_RT")</f>
        <v>-2.6180646382272243E-3</v>
      </c>
      <c r="AG33" s="413">
        <f>AL33/'Master P&amp;L'!$AE$7</f>
        <v>3.9757135742573026E-6</v>
      </c>
      <c r="AH33" s="413">
        <f>AM33/'Master P&amp;L'!$AE$7</f>
        <v>1.5185696778477501E-3</v>
      </c>
      <c r="AI33" s="552">
        <f>AO33/'Master P&amp;L'!$AD$7*10000</f>
        <v>0</v>
      </c>
      <c r="AJ33" s="544">
        <f t="shared" si="76"/>
        <v>0</v>
      </c>
      <c r="AK33" s="551">
        <f>AP33/'Master P&amp;L'!$AD$7*10000</f>
        <v>5.1003362427713573E-3</v>
      </c>
      <c r="AL33" s="542">
        <f t="shared" si="77"/>
        <v>8964.2533212900162</v>
      </c>
      <c r="AM33" s="542">
        <f t="shared" si="78"/>
        <v>3424000</v>
      </c>
      <c r="AN33" s="551" cm="1">
        <f t="array" ref="AN33">_xll.BDP($B33&amp;" Equity","theta_mid_rt")</f>
        <v>0</v>
      </c>
      <c r="AO33" s="542">
        <f t="shared" si="79"/>
        <v>0</v>
      </c>
      <c r="AP33" s="542">
        <f t="shared" si="80"/>
        <v>1150</v>
      </c>
      <c r="AQ33" s="123" t="str" cm="1">
        <f t="array" ref="AQ33">_xll.BDP($D33&amp;" Equity","EXPECTED_REPORT_DT")</f>
        <v>17/04/2026</v>
      </c>
      <c r="AR33" s="553" cm="1">
        <f t="array" ref="AR33">_xll.BDP($B33&amp;" Equity","GAMMA_LAST")</f>
        <v>1.2768E-2</v>
      </c>
      <c r="AS33" s="385">
        <f t="shared" si="14"/>
        <v>-149689.17196799995</v>
      </c>
      <c r="AT33" s="385">
        <f t="shared" si="15"/>
        <v>-748445.85983999982</v>
      </c>
      <c r="AU33" s="385" t="s">
        <v>151</v>
      </c>
      <c r="AV33" s="369" cm="1">
        <f t="array" ref="AV33">_xll.BDP($D33&amp;" Equity","EST_PE_NXT_YR")*(AA33/Z33)</f>
        <v>19.366947653484925</v>
      </c>
      <c r="AX33" s="542"/>
      <c r="AY33" s="542">
        <v>0.01</v>
      </c>
      <c r="AZ33" s="554"/>
      <c r="BA33" s="542">
        <f t="shared" si="81"/>
        <v>0.01</v>
      </c>
      <c r="BB33" s="555">
        <f t="shared" si="82"/>
        <v>0.125</v>
      </c>
      <c r="BC33" s="555">
        <f t="shared" si="83"/>
        <v>-1150</v>
      </c>
      <c r="BD33" s="555">
        <f>BC33/'Master P&amp;L'!$AD$7*10000</f>
        <v>-5.1003362427713573E-3</v>
      </c>
    </row>
    <row r="34" spans="1:56">
      <c r="H34" s="336"/>
      <c r="I34" s="218"/>
      <c r="J34" s="218"/>
      <c r="K34" s="218"/>
      <c r="L34" s="218"/>
      <c r="AZ34">
        <v>-59.569999999999993</v>
      </c>
    </row>
    <row r="35" spans="1:56">
      <c r="I35" s="64"/>
      <c r="J35" s="64"/>
      <c r="K35" s="64"/>
      <c r="L35" s="64"/>
      <c r="AZ35">
        <v>18.100000000000001</v>
      </c>
    </row>
    <row r="36" spans="1:56">
      <c r="I36" s="64" t="e">
        <f>#REF!-#REF!</f>
        <v>#REF!</v>
      </c>
      <c r="J36" s="64" t="e">
        <f>#REF!-#REF!</f>
        <v>#REF!</v>
      </c>
      <c r="K36" s="64" t="e">
        <f>#REF!-#REF!</f>
        <v>#REF!</v>
      </c>
      <c r="L36" s="64" t="e">
        <f>#REF!-#REF!</f>
        <v>#REF!</v>
      </c>
      <c r="AY36" t="e">
        <v>#REF!</v>
      </c>
      <c r="AZ36">
        <v>-62.749999999999993</v>
      </c>
    </row>
    <row r="37" spans="1:56">
      <c r="I37" s="218"/>
      <c r="J37" s="218"/>
      <c r="K37" s="218"/>
      <c r="L37" s="218"/>
      <c r="AZ37">
        <v>-0.52999999999999936</v>
      </c>
    </row>
    <row r="38" spans="1:56">
      <c r="I38" s="218"/>
      <c r="J38" s="218"/>
      <c r="K38" s="218"/>
      <c r="L38" s="218"/>
      <c r="AZ38" t="e">
        <v>#REF!</v>
      </c>
    </row>
    <row r="40" spans="1:56">
      <c r="H40" s="42">
        <v>-100</v>
      </c>
      <c r="I40" s="410">
        <v>4.71</v>
      </c>
      <c r="J40" s="408">
        <f>H40*I40</f>
        <v>-471</v>
      </c>
    </row>
    <row r="41" spans="1:56">
      <c r="H41" s="15">
        <v>100</v>
      </c>
      <c r="I41" s="411">
        <v>5.85</v>
      </c>
      <c r="J41" s="408">
        <f t="shared" ref="J41:J47" si="84">H41*I41</f>
        <v>585</v>
      </c>
    </row>
    <row r="42" spans="1:56">
      <c r="H42" s="42">
        <v>-150</v>
      </c>
      <c r="I42" s="410">
        <v>2.72</v>
      </c>
      <c r="J42" s="408">
        <f t="shared" si="84"/>
        <v>-408.00000000000006</v>
      </c>
    </row>
    <row r="43" spans="1:56">
      <c r="H43" s="405"/>
      <c r="I43" s="406"/>
      <c r="J43" s="408">
        <f t="shared" si="84"/>
        <v>0</v>
      </c>
    </row>
    <row r="44" spans="1:56">
      <c r="H44" s="405">
        <v>-50</v>
      </c>
      <c r="I44" s="412">
        <v>4.08</v>
      </c>
      <c r="J44" s="408">
        <f t="shared" si="84"/>
        <v>-204</v>
      </c>
    </row>
    <row r="45" spans="1:56">
      <c r="H45" s="405">
        <v>50</v>
      </c>
      <c r="I45" s="412">
        <v>6.05</v>
      </c>
      <c r="J45" s="408">
        <f t="shared" si="84"/>
        <v>302.5</v>
      </c>
    </row>
    <row r="46" spans="1:56">
      <c r="H46" s="405">
        <v>-75</v>
      </c>
      <c r="I46" s="412">
        <v>2.8</v>
      </c>
      <c r="J46" s="408">
        <f t="shared" si="84"/>
        <v>-210</v>
      </c>
    </row>
    <row r="47" spans="1:56">
      <c r="H47" s="349"/>
      <c r="I47" s="407"/>
      <c r="J47" s="408">
        <f t="shared" si="84"/>
        <v>0</v>
      </c>
    </row>
    <row r="49" spans="8:10">
      <c r="H49" s="349">
        <f>H40+H44</f>
        <v>-150</v>
      </c>
      <c r="I49" s="407">
        <f>J49/H49</f>
        <v>4.5</v>
      </c>
      <c r="J49" s="409">
        <f>J40+J44</f>
        <v>-675</v>
      </c>
    </row>
    <row r="50" spans="8:10">
      <c r="H50" s="349">
        <f>H41+H45</f>
        <v>150</v>
      </c>
      <c r="I50" s="407">
        <f>J50/H50</f>
        <v>5.916666666666667</v>
      </c>
      <c r="J50" s="409">
        <f>J41+J45</f>
        <v>887.5</v>
      </c>
    </row>
    <row r="51" spans="8:10">
      <c r="H51" s="349">
        <f>H42+H46</f>
        <v>-225</v>
      </c>
      <c r="I51" s="407">
        <f>J51/H51</f>
        <v>2.7466666666666666</v>
      </c>
      <c r="J51" s="409">
        <f>J42+J46</f>
        <v>-618</v>
      </c>
    </row>
    <row r="52" spans="8:10">
      <c r="H52" s="349">
        <f>H43+H47</f>
        <v>0</v>
      </c>
      <c r="I52" s="407" t="e">
        <f>J52/H52</f>
        <v>#DIV/0!</v>
      </c>
      <c r="J52" s="409">
        <f>J43+J47</f>
        <v>0</v>
      </c>
    </row>
  </sheetData>
  <autoFilter ref="A3:BD36" xr:uid="{0428720F-9028-4D6D-9843-ED7DFFC9E1CA}">
    <sortState xmlns:xlrd2="http://schemas.microsoft.com/office/spreadsheetml/2017/richdata2" ref="A4:BD36">
      <sortCondition ref="D3:D36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61"/>
  <sheetViews>
    <sheetView zoomScale="90" zoomScaleNormal="90" workbookViewId="0">
      <pane xSplit="2" ySplit="3" topLeftCell="C193" activePane="bottomRight" state="frozen"/>
      <selection pane="topRight" activeCell="C1" sqref="C1"/>
      <selection pane="bottomLeft" activeCell="A4" sqref="A4"/>
      <selection pane="bottomRight" activeCell="AD213" sqref="AD213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5.4500000000000028</v>
      </c>
      <c r="P5" s="267"/>
      <c r="Q5">
        <f>Q9/Q15-1</f>
        <v>-10.03614457831325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2141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20/03/2026</v>
      </c>
      <c r="E7" s="59" cm="1">
        <f t="array" ref="E7">_xll.BDP($B7&amp;" Index","opt_days_expire")</f>
        <v>63</v>
      </c>
      <c r="F7" s="59" t="str" cm="1">
        <f t="array" ref="F7">_xll.BDP(B7&amp;" Equity","QUOTED_CURRENCY_REALTIME")</f>
        <v>USD</v>
      </c>
      <c r="G7" s="105" t="s">
        <v>248</v>
      </c>
      <c r="H7" s="96">
        <v>375</v>
      </c>
      <c r="I7" s="97">
        <f>IF(G7="Buy",L7,K7)</f>
        <v>48.75</v>
      </c>
      <c r="J7" s="19">
        <f>I7/S7</f>
        <v>0.14237733644859815</v>
      </c>
      <c r="K7" s="36" cm="1">
        <f t="array" ref="K7">_xll.BDP($B7&amp;" Equity","bid")</f>
        <v>48.75</v>
      </c>
      <c r="L7" s="36" cm="1">
        <f t="array" ref="L7">_xll.BDP($B7&amp;" Equity","ask")</f>
        <v>50.15</v>
      </c>
      <c r="M7" s="40">
        <f>(L7/K7-1)</f>
        <v>2.8717948717948749E-2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-1828125</v>
      </c>
      <c r="Q7" s="58">
        <f>P7/'Master P&amp;L'!$AD$5*10000</f>
        <v>-8.6726982392020897</v>
      </c>
      <c r="R7" s="37" cm="1">
        <f t="array" ref="R7">_xll.BDP($C7&amp;" Equity","EST_PE_NXT_YR")*(T7/S7)</f>
        <v>18.444712050938023</v>
      </c>
      <c r="S7" s="36" cm="1">
        <f t="array" ref="S7">_xll.BDP(C7&amp;" Equity","LAST_PRICE")</f>
        <v>342.4</v>
      </c>
      <c r="T7" s="53" cm="1">
        <f t="array" ref="T7">_xll.BDP(B7&amp;" Equity","OPT_STRIKE_PX")</f>
        <v>300</v>
      </c>
      <c r="U7" s="40">
        <f>T7/S7-1</f>
        <v>-0.12383177570093451</v>
      </c>
      <c r="V7" s="37" cm="1">
        <f t="array" ref="V7">_xll.BDP($B7&amp;" Equity","ivol_mid")</f>
        <v>38.269060000000003</v>
      </c>
      <c r="W7" s="38" cm="1">
        <f t="array" ref="W7">_xll.BDP(B7&amp;" Equity","DELTA_MID_RT")</f>
        <v>0.83159583806991577</v>
      </c>
      <c r="X7" s="48">
        <f>Y7/'Master P&amp;L'!$AE$5</f>
        <v>-5.0655391795171884E-3</v>
      </c>
      <c r="Y7" s="15">
        <f>IF(G7="Sell", S7*W7*-H7*O7/N7, S7*W7*H7*O7/N7)</f>
        <v>-10677690.560817719</v>
      </c>
      <c r="Z7" s="15" cm="1">
        <f t="array" ref="Z7">_xll.BDP($B7&amp;" Equity","opt_theta")*H7*O7/N7</f>
        <v>-5152.9125000000004</v>
      </c>
      <c r="AA7" s="19" cm="1">
        <f t="array" ref="AA7">_xll.BDP($B7&amp;" Equity","opt_theta")/I7</f>
        <v>-2.8186871794871797E-3</v>
      </c>
      <c r="AB7" s="36" t="str" cm="1">
        <f t="array" ref="AB7">_xll.BDP($C7&amp;" Equity","EXPECTED_REPORT_DT")</f>
        <v>17/04/2026</v>
      </c>
      <c r="AC7" s="15">
        <f>S7*H7*O7/N7</f>
        <v>12839999.999999998</v>
      </c>
      <c r="AD7" s="19">
        <f>AC7/'Master P&amp;L'!$AE$5</f>
        <v>6.0913474402108621E-3</v>
      </c>
      <c r="AE7" t="str">
        <f>B7  &amp; " - Buy to open " &amp;  "-" &amp; H7 &amp;"x"</f>
        <v>TSM US 03/20/26 C300 - Buy to open -375x</v>
      </c>
      <c r="AF7">
        <f>H7*$AF$3</f>
        <v>93.75</v>
      </c>
      <c r="AK7" t="s">
        <v>1841</v>
      </c>
      <c r="AO7" t="s">
        <v>151</v>
      </c>
    </row>
    <row r="8" spans="1:41">
      <c r="A8" s="98" t="s">
        <v>246</v>
      </c>
      <c r="B8" t="s">
        <v>2142</v>
      </c>
      <c r="C8" s="59" t="str" cm="1">
        <f t="array" ref="C8">_xll.BDP(B8&amp;" Equity","OPT_UNDL_TICKER")</f>
        <v>TSM US</v>
      </c>
      <c r="D8" s="59" t="str" cm="1">
        <f t="array" ref="D8">_xll.BDP($B8&amp;" Index","mifid_Maturity_date")</f>
        <v>20/03/2026</v>
      </c>
      <c r="E8" s="59" cm="1">
        <f t="array" ref="E8">_xll.BDP($B8&amp;" Index","opt_days_expire")</f>
        <v>63</v>
      </c>
      <c r="F8" s="59" t="str" cm="1">
        <f t="array" ref="F8">_xll.BDP(B8&amp;" Equity","QUOTED_CURRENCY_REALTIME")</f>
        <v>USD</v>
      </c>
      <c r="G8" s="105" t="s">
        <v>247</v>
      </c>
      <c r="H8" s="96">
        <f>H7</f>
        <v>375</v>
      </c>
      <c r="I8" s="97">
        <f>IF(G8="Buy",L8,K8)</f>
        <v>28.75</v>
      </c>
      <c r="J8" s="19">
        <f>I8/S8</f>
        <v>8.3966121495327103E-2</v>
      </c>
      <c r="K8" s="36" cm="1">
        <f t="array" ref="K8">_xll.BDP($B8&amp;" Equity","bid")</f>
        <v>27.6</v>
      </c>
      <c r="L8" s="36" cm="1">
        <f t="array" ref="L8">_xll.BDP($B8&amp;" Equity","ask")</f>
        <v>28.75</v>
      </c>
      <c r="M8" s="40">
        <f>(L8/K8-1)</f>
        <v>4.1666666666666519E-2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1078125</v>
      </c>
      <c r="Q8" s="58">
        <f>P8/'Master P&amp;L'!$AD$5*10000</f>
        <v>5.1146681923499511</v>
      </c>
      <c r="R8" s="37" cm="1">
        <f t="array" ref="R8">_xll.BDP($C8&amp;" Equity","EST_PE_NXT_YR")*(T8/S8)</f>
        <v>20.289183256031826</v>
      </c>
      <c r="S8" s="36" cm="1">
        <f t="array" ref="S8">_xll.BDP(C8&amp;" Equity","LAST_PRICE")</f>
        <v>342.4</v>
      </c>
      <c r="T8" s="53" cm="1">
        <f t="array" ref="T8">_xll.BDP(B8&amp;" Equity","OPT_STRIKE_PX")</f>
        <v>330</v>
      </c>
      <c r="U8" s="40">
        <f>T8/S8-1</f>
        <v>-3.6214953271027972E-2</v>
      </c>
      <c r="V8" s="37" cm="1">
        <f t="array" ref="V8">_xll.BDP($B8&amp;" Equity","ivol_mid")</f>
        <v>37.7607</v>
      </c>
      <c r="W8" s="38" cm="1">
        <f t="array" ref="W8">_xll.BDP(B8&amp;" Equity","DELTA_MID_RT")</f>
        <v>0.640880286693573</v>
      </c>
      <c r="X8" s="48">
        <f>Y8/'Master P&amp;L'!$AE$5</f>
        <v>3.9038244938324998E-3</v>
      </c>
      <c r="Y8" s="15">
        <f>IF(G8="Sell", S8*W8*-H8*O8/N8, S8*W8*H8*O8/N8)</f>
        <v>8228902.8811454773</v>
      </c>
      <c r="Z8" s="15" cm="1">
        <f t="array" ref="Z8">_xll.BDP($B8&amp;" Equity","opt_theta")*H8*O8/N8</f>
        <v>-6373.875</v>
      </c>
      <c r="AA8" s="19" cm="1">
        <f t="array" ref="AA8">_xll.BDP($B8&amp;" Equity","opt_theta")/I8</f>
        <v>-5.9120000000000006E-3</v>
      </c>
      <c r="AB8" s="36" t="str" cm="1">
        <f t="array" ref="AB8">_xll.BDP($C8&amp;" Equity","EXPECTED_REPORT_DT")</f>
        <v>17/04/2026</v>
      </c>
      <c r="AC8" s="15">
        <f>S8*H8*O8/N8</f>
        <v>12839999.999999998</v>
      </c>
      <c r="AD8" s="19">
        <f>AC8/'Master P&amp;L'!$AE$5</f>
        <v>6.0913474402108621E-3</v>
      </c>
      <c r="AE8" t="str">
        <f>B8  &amp; " - Buy to open " &amp;  "-" &amp; H8 &amp;"x"</f>
        <v>TSM US 03/20/26 C330 - Buy to open -375x</v>
      </c>
      <c r="AF8">
        <f>H8*$AF$3</f>
        <v>93.75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20</v>
      </c>
      <c r="J9" s="100" t="s">
        <v>249</v>
      </c>
      <c r="K9" s="101">
        <f>K8/L7</f>
        <v>0.5503489531405783</v>
      </c>
      <c r="P9" s="100" t="s">
        <v>250</v>
      </c>
      <c r="Q9" s="108">
        <f>Q7+Q8</f>
        <v>-3.5580300468521386</v>
      </c>
      <c r="S9" s="100" t="s">
        <v>251</v>
      </c>
      <c r="T9" s="102">
        <f>T8-T7</f>
        <v>30</v>
      </c>
      <c r="W9" s="100" t="s">
        <v>252</v>
      </c>
      <c r="X9" s="122">
        <f>X7+X8</f>
        <v>-1.1617146856846886E-3</v>
      </c>
      <c r="Y9" s="13">
        <f>Y7+Y8</f>
        <v>-2448787.6796722412</v>
      </c>
      <c r="AC9" s="100" t="s">
        <v>229</v>
      </c>
      <c r="AD9" s="122">
        <f>AD7</f>
        <v>6.0913474402108621E-3</v>
      </c>
      <c r="AO9" t="s">
        <v>151</v>
      </c>
    </row>
    <row r="10" spans="1:41">
      <c r="H10" s="100" t="s">
        <v>253</v>
      </c>
      <c r="I10" s="102">
        <f>(T9-I9)/I9</f>
        <v>0.5</v>
      </c>
      <c r="J10" s="100" t="s">
        <v>145</v>
      </c>
      <c r="K10" s="223">
        <f>AVERAGE(K7:L7)-AVERAGE(K8:L8)</f>
        <v>21.275000000000002</v>
      </c>
      <c r="L10" s="18"/>
      <c r="P10" s="130">
        <f>P7+P8</f>
        <v>-750000</v>
      </c>
      <c r="Q10" s="108"/>
      <c r="S10" s="100"/>
      <c r="T10" s="102"/>
      <c r="W10" s="100"/>
      <c r="X10" s="122"/>
      <c r="Y10" s="13">
        <f>Y9/S7</f>
        <v>-7151.8331766128549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5.8411214953271048E-2</v>
      </c>
      <c r="K11" s="167">
        <f>K7-K8</f>
        <v>21.15</v>
      </c>
      <c r="L11" s="167">
        <f>L7-L8</f>
        <v>21.4</v>
      </c>
      <c r="P11" s="40">
        <f>P10/Y9</f>
        <v>0.30627400089679641</v>
      </c>
      <c r="Q11" s="64">
        <f>Q9*I10</f>
        <v>-1.7790150234260693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5.6985881673091154E-4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2331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153</v>
      </c>
      <c r="F13" s="59" t="str" cm="1">
        <f t="array" ref="F13">_xll.BDP(B13&amp;" Equity","QUOTED_CURRENCY_REALTIME")</f>
        <v>USD</v>
      </c>
      <c r="G13" s="105" t="s">
        <v>247</v>
      </c>
      <c r="H13" s="96">
        <v>50</v>
      </c>
      <c r="I13" s="97">
        <f>IF(G13="Buy",L13,K13)</f>
        <v>38.700000000000003</v>
      </c>
      <c r="J13" s="19">
        <f>I13/S13</f>
        <v>0.11302570093457945</v>
      </c>
      <c r="K13" s="36" cm="1">
        <f t="array" ref="K13">_xll.BDP($B13&amp;" Equity","bid")</f>
        <v>37.799999999999997</v>
      </c>
      <c r="L13" s="36" cm="1">
        <f t="array" ref="L13">_xll.BDP($B13&amp;" Equity","ask")</f>
        <v>38.700000000000003</v>
      </c>
      <c r="M13" s="40">
        <f>(L13/K13-1)</f>
        <v>2.3809523809523947E-2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193500.00000000003</v>
      </c>
      <c r="Q13" s="58">
        <f>P13/'Master P&amp;L'!$AD$5*10000</f>
        <v>0.91797175208785209</v>
      </c>
      <c r="R13" s="37" cm="1">
        <f t="array" ref="R13">_xll.BDP($C13&amp;" Equity","EST_PE_NXT_YR")*(T13/S13)</f>
        <v>20.904006991063092</v>
      </c>
      <c r="S13" s="36" cm="1">
        <f t="array" ref="S13">_xll.BDP(C13&amp;" Equity","LAST_PRICE")</f>
        <v>342.4</v>
      </c>
      <c r="T13" s="53" cm="1">
        <f t="array" ref="T13">_xll.BDP(B13&amp;" Equity","OPT_STRIKE_PX")</f>
        <v>340</v>
      </c>
      <c r="U13" s="40">
        <f>T13/S13-1</f>
        <v>-7.0093457943924964E-3</v>
      </c>
      <c r="V13" s="37" cm="1">
        <f t="array" ref="V13">_xll.BDP($B13&amp;" Equity","ivol_mid")</f>
        <v>40.91686</v>
      </c>
      <c r="W13" s="38" cm="1">
        <f t="array" ref="W13">_xll.BDP(B13&amp;" Equity","DELTA_MID_RT")</f>
        <v>0.58431905508041382</v>
      </c>
      <c r="X13" s="48">
        <f>Y13/'Master P&amp;L'!$AE$5</f>
        <v>4.7457205072406789E-4</v>
      </c>
      <c r="Y13" s="15">
        <f>IF(G13="Sell", S13*W13*-H13*O13/N13, S13*W13*H13*O13/N13)</f>
        <v>1000354.2222976685</v>
      </c>
      <c r="Z13" s="15" cm="1">
        <f t="array" ref="Z13">_xll.BDP($B13&amp;" Equity","opt_theta")*H13*O13/N13</f>
        <v>-546.26499999999999</v>
      </c>
      <c r="AA13" s="19" cm="1">
        <f t="array" ref="AA13">_xll.BDP($B13&amp;" Equity","opt_theta")/I13</f>
        <v>-2.8230749354005167E-3</v>
      </c>
      <c r="AB13" s="36" t="str" cm="1">
        <f t="array" ref="AB13">_xll.BDP($C13&amp;" Equity","EXPECTED_REPORT_DT")</f>
        <v>17/04/2026</v>
      </c>
      <c r="AC13" s="15">
        <f>S13*H13*O13/N13</f>
        <v>1712000</v>
      </c>
      <c r="AD13" s="19">
        <f>AC13/'Master P&amp;L'!$AE$5</f>
        <v>8.1217965869478177E-4</v>
      </c>
      <c r="AE13" t="str">
        <f>B13  &amp; " - Buy to open " &amp;  "-" &amp; H13 &amp;"x"</f>
        <v>TSM US 06/18/26 C340 - Buy to open -50x</v>
      </c>
      <c r="AF13">
        <f>H13*$AF$3</f>
        <v>12.5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2332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153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50</v>
      </c>
      <c r="I14" s="97">
        <f>IF(G14="Buy",L14,K14)</f>
        <v>22.1</v>
      </c>
      <c r="J14" s="19">
        <f>I14/S14</f>
        <v>6.4544392523364497E-2</v>
      </c>
      <c r="K14" s="36" cm="1">
        <f t="array" ref="K14">_xll.BDP($B14&amp;" Equity","bid")</f>
        <v>22.1</v>
      </c>
      <c r="L14" s="36" cm="1">
        <f t="array" ref="L14">_xll.BDP($B14&amp;" Equity","ask")</f>
        <v>22.75</v>
      </c>
      <c r="M14" s="40">
        <f>(L14/K14-1)</f>
        <v>2.9411764705882248E-2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-110500</v>
      </c>
      <c r="Q14" s="58">
        <f>P14/'Master P&amp;L'!$AD$5*10000</f>
        <v>-0.52421642690288195</v>
      </c>
      <c r="R14" s="37" cm="1">
        <f t="array" ref="R14">_xll.BDP($C14&amp;" Equity","EST_PE_NXT_YR")*(T14/S14)</f>
        <v>23.363301931188161</v>
      </c>
      <c r="S14" s="36" cm="1">
        <f t="array" ref="S14">_xll.BDP(C14&amp;" Equity","LAST_PRICE")</f>
        <v>342.4</v>
      </c>
      <c r="T14" s="53" cm="1">
        <f t="array" ref="T14">_xll.BDP(B14&amp;" Equity","OPT_STRIKE_PX")</f>
        <v>380</v>
      </c>
      <c r="U14" s="40">
        <f>T14/S14-1</f>
        <v>0.10981308411214963</v>
      </c>
      <c r="V14" s="37" cm="1">
        <f t="array" ref="V14">_xll.BDP($B14&amp;" Equity","ivol_mid")</f>
        <v>39.557130000000001</v>
      </c>
      <c r="W14" s="38" cm="1">
        <f t="array" ref="W14">_xll.BDP(B14&amp;" Equity","DELTA_MID_RT")</f>
        <v>0.41076299548149109</v>
      </c>
      <c r="X14" s="48">
        <f>Y14/'Master P&amp;L'!$AE$5</f>
        <v>-3.3361334947460357E-4</v>
      </c>
      <c r="Y14" s="15">
        <f>IF(G14="Sell", S14*W14*-H14*O14/N14, S14*W14*H14*O14/N14)</f>
        <v>-703226.24826431263</v>
      </c>
      <c r="Z14" s="15" cm="1">
        <f t="array" ref="Z14">_xll.BDP($B14&amp;" Equity","opt_theta")*H14*O14/N14</f>
        <v>-558.505</v>
      </c>
      <c r="AA14" s="19" cm="1">
        <f t="array" ref="AA14">_xll.BDP($B14&amp;" Equity","opt_theta")/I14</f>
        <v>-5.054343891402714E-3</v>
      </c>
      <c r="AB14" s="36" t="str" cm="1">
        <f t="array" ref="AB14">_xll.BDP($C14&amp;" Equity","EXPECTED_REPORT_DT")</f>
        <v>17/04/2026</v>
      </c>
      <c r="AC14" s="15">
        <f>S14*H14*O14/N14</f>
        <v>1712000</v>
      </c>
      <c r="AD14" s="19">
        <f>AC14/'Master P&amp;L'!$AE$5</f>
        <v>8.1217965869478177E-4</v>
      </c>
      <c r="AE14" t="str">
        <f>B14  &amp; " - Buy to open " &amp;  "-" &amp; H14 &amp;"x"</f>
        <v>TSM US 06/18/26 C380 - Buy to open -50x</v>
      </c>
      <c r="AF14">
        <f>H14*$AF$3</f>
        <v>12.5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16.600000000000001</v>
      </c>
      <c r="J15" s="100" t="s">
        <v>249</v>
      </c>
      <c r="K15" s="101">
        <f>K14/L13</f>
        <v>0.57105943152454774</v>
      </c>
      <c r="P15" s="100" t="s">
        <v>250</v>
      </c>
      <c r="Q15" s="108">
        <f>Q13+Q14</f>
        <v>0.39375532518497014</v>
      </c>
      <c r="S15" s="100" t="s">
        <v>251</v>
      </c>
      <c r="T15" s="102">
        <f>T14-T13</f>
        <v>40</v>
      </c>
      <c r="W15" s="100" t="s">
        <v>252</v>
      </c>
      <c r="X15" s="122">
        <f>X13+X14</f>
        <v>1.4095870124946431E-4</v>
      </c>
      <c r="Y15" s="13">
        <f>Y13+Y14</f>
        <v>297127.97403335583</v>
      </c>
      <c r="AC15" s="100" t="s">
        <v>229</v>
      </c>
      <c r="AD15" s="104">
        <f>AD13</f>
        <v>8.1217965869478177E-4</v>
      </c>
    </row>
    <row r="16" spans="1:41">
      <c r="H16" s="100" t="s">
        <v>253</v>
      </c>
      <c r="I16" s="102">
        <f>(T15-I15)/I15</f>
        <v>1.4096385542168672</v>
      </c>
      <c r="J16" s="100" t="s">
        <v>145</v>
      </c>
      <c r="K16" s="223">
        <f>AVERAGE(K13:L13)-AVERAGE(K14:L14)</f>
        <v>15.824999999999999</v>
      </c>
      <c r="P16" s="130">
        <f>P13+P14</f>
        <v>83000.000000000029</v>
      </c>
      <c r="Q16" s="108"/>
      <c r="S16" s="100"/>
      <c r="T16" s="102"/>
      <c r="W16" s="108">
        <f>1/(W13-W14)</f>
        <v>5.7618270564043561</v>
      </c>
      <c r="X16" s="122"/>
      <c r="Y16" s="13">
        <f>Y15/S13</f>
        <v>867.78029799461399</v>
      </c>
      <c r="AC16" s="100"/>
      <c r="AD16" s="104"/>
    </row>
    <row r="17" spans="1:38">
      <c r="I17" s="21"/>
      <c r="J17" s="43">
        <f>J13-J14</f>
        <v>4.8481308411214952E-2</v>
      </c>
      <c r="K17" s="167">
        <f>K13-K14</f>
        <v>15.699999999999996</v>
      </c>
      <c r="L17" s="167">
        <f>L13-L14</f>
        <v>15.950000000000003</v>
      </c>
      <c r="P17" s="40">
        <f>P16/Y15</f>
        <v>0.27934091453362242</v>
      </c>
      <c r="Q17" s="64">
        <f>Q15*I16</f>
        <v>0.55505268730893376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>
        <f>K10-K16</f>
        <v>5.4500000000000028</v>
      </c>
      <c r="AK18">
        <v>13</v>
      </c>
      <c r="AL18" s="1">
        <v>16</v>
      </c>
    </row>
    <row r="19" spans="1:38">
      <c r="A19" s="98" t="s">
        <v>246</v>
      </c>
      <c r="B19" s="73" t="s">
        <v>2333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182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43.35</v>
      </c>
      <c r="J19" s="19">
        <f>I19/S19</f>
        <v>0.12660630841121498</v>
      </c>
      <c r="K19" s="36">
        <f>_xll.BDP($B19&amp;" Equity","bid")</f>
        <v>41.75</v>
      </c>
      <c r="L19" s="36">
        <f>_xll.BDP($B19&amp;" Equity","ask")</f>
        <v>43.35</v>
      </c>
      <c r="M19" s="40">
        <f>(L19/K19-1)</f>
        <v>3.8323353293413298E-2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2167500</v>
      </c>
      <c r="Q19" s="58">
        <f>P19/'Master P&amp;L'!$AD$5*10000</f>
        <v>10.282706835402685</v>
      </c>
      <c r="R19" s="37" cm="1">
        <f t="array" ref="R19">_xll.BDP($C19&amp;" Equity","EST_PE_NXT_YR")*(T19/S19)</f>
        <v>20.904006991063092</v>
      </c>
      <c r="S19" s="36" cm="1">
        <f t="array" ref="S19">_xll.BDP(C19&amp;" Equity","LAST_PRICE")</f>
        <v>342.4</v>
      </c>
      <c r="T19" s="53">
        <f>_xll.BDP(B19&amp;" Equity","OPT_STRIKE_PX")</f>
        <v>340</v>
      </c>
      <c r="U19" s="40">
        <f>T19/S19-1</f>
        <v>-7.0093457943924964E-3</v>
      </c>
      <c r="V19" s="37">
        <f>_xll.BDP($B19&amp;" Equity","ivol_mid")</f>
        <v>39.669220000000003</v>
      </c>
      <c r="W19" s="38">
        <f>_xll.BDP(B19&amp;" Equity","DELTA_MID_RT")</f>
        <v>0.58935725688934326</v>
      </c>
      <c r="X19" s="48">
        <f>Y19/'Master P&amp;L'!$AE$5</f>
        <v>4.7866397574967958E-3</v>
      </c>
      <c r="Y19" s="15">
        <f>IF(G19="Sell", S19*W19*-H19*O19/N19, S19*W19*H19*O19/N19)</f>
        <v>10089796.237945557</v>
      </c>
      <c r="Z19" s="15" cm="1">
        <f t="array" ref="Z19">_xll.BDP($B19&amp;" Equity","opt_theta")*H19*O19/N19</f>
        <v>-4865.4999999999991</v>
      </c>
      <c r="AA19" s="19" cm="1">
        <f t="array" ref="AA19">_xll.BDP($B19&amp;" Equity","opt_theta")/I19</f>
        <v>-2.2447520184544403E-3</v>
      </c>
      <c r="AB19" s="36" t="str" cm="1">
        <f t="array" ref="AB19">_xll.BDP($C19&amp;" Equity","EXPECTED_REPORT_DT")</f>
        <v>17/04/2026</v>
      </c>
      <c r="AC19" s="15">
        <f>S19*H19*O19/N19</f>
        <v>17120000</v>
      </c>
      <c r="AD19" s="19">
        <f>AC19/'Master P&amp;L'!$AE$5</f>
        <v>8.1217965869478173E-3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2334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182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26.1</v>
      </c>
      <c r="J20" s="19">
        <f>I20/S20</f>
        <v>7.6226635514018704E-2</v>
      </c>
      <c r="K20" s="36" cm="1">
        <f t="array" ref="K20">_xll.BDP($B20&amp;" Equity","bid")</f>
        <v>26.1</v>
      </c>
      <c r="L20" s="36" cm="1">
        <f t="array" ref="L20">_xll.BDP($B20&amp;" Equity","ask")</f>
        <v>27.55</v>
      </c>
      <c r="M20" s="40">
        <f>(L20/K20-1)</f>
        <v>5.555555555555558E-2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-1305000</v>
      </c>
      <c r="Q20" s="58">
        <f>P20/'Master P&amp;L'!$AD$5*10000</f>
        <v>-6.1909722815227237</v>
      </c>
      <c r="R20" s="37" cm="1">
        <f t="array" ref="R20">_xll.BDP($C20&amp;" Equity","EST_PE_NXT_YR")*(T20/S20)</f>
        <v>23.363301931188161</v>
      </c>
      <c r="S20" s="36" cm="1">
        <f t="array" ref="S20">_xll.BDP(C20&amp;" Equity","LAST_PRICE")</f>
        <v>342.4</v>
      </c>
      <c r="T20" s="53" cm="1">
        <f t="array" ref="T20">_xll.BDP(B20&amp;" Equity","OPT_STRIKE_PX")</f>
        <v>380</v>
      </c>
      <c r="U20" s="40">
        <f>T20/S20-1</f>
        <v>0.10981308411214963</v>
      </c>
      <c r="V20" s="37" cm="1">
        <f t="array" ref="V20">_xll.BDP($B20&amp;" Equity","ivol_mid")</f>
        <v>39.875030000000002</v>
      </c>
      <c r="W20" s="38" cm="1">
        <f t="array" ref="W20">_xll.BDP(B20&amp;" Equity","DELTA_MID_RT")</f>
        <v>0.43491151928901672</v>
      </c>
      <c r="X20" s="48">
        <f>Y20/'Master P&amp;L'!$AE$5</f>
        <v>-3.532262892985825E-3</v>
      </c>
      <c r="Y20" s="15">
        <f>IF(G20="Sell", S20*W20*-H20*O20/N20, S20*W20*H20*O20/N20)</f>
        <v>-7445685.2102279644</v>
      </c>
      <c r="Z20" s="15" cm="1">
        <f t="array" ref="Z20">_xll.BDP($B20&amp;" Equity","opt_theta")*H20*O20/N20</f>
        <v>-5117.5</v>
      </c>
      <c r="AA20" s="19" cm="1">
        <f t="array" ref="AA20">_xll.BDP($B20&amp;" Equity","opt_theta")/I20</f>
        <v>-3.9214559386973177E-3</v>
      </c>
      <c r="AB20" s="36" t="str" cm="1">
        <f t="array" ref="AB20">_xll.BDP($C20&amp;" Equity","EXPECTED_REPORT_DT")</f>
        <v>17/04/2026</v>
      </c>
      <c r="AC20" s="15">
        <f>S20*H20*O20/N20</f>
        <v>17120000</v>
      </c>
      <c r="AD20" s="19">
        <f>AC20/'Master P&amp;L'!$AE$5</f>
        <v>8.1217965869478173E-3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17.25</v>
      </c>
      <c r="J21" s="100" t="s">
        <v>249</v>
      </c>
      <c r="K21" s="101">
        <f>K20/L19</f>
        <v>0.60207612456747406</v>
      </c>
      <c r="P21" s="100" t="s">
        <v>250</v>
      </c>
      <c r="Q21" s="108">
        <f>Q19+Q20</f>
        <v>4.0917345538799612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1.2543768645109708E-3</v>
      </c>
      <c r="Y21" s="13">
        <f>Y19+Y20</f>
        <v>2644111.0277175922</v>
      </c>
      <c r="AC21" s="100" t="s">
        <v>229</v>
      </c>
      <c r="AD21" s="104">
        <f>AD19</f>
        <v>8.1217965869478173E-3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1.318840579710145</v>
      </c>
      <c r="J22" s="100" t="s">
        <v>145</v>
      </c>
      <c r="K22" s="223">
        <f>AVERAGE(K19:L19)-AVERAGE(K20:L20)</f>
        <v>15.724999999999994</v>
      </c>
      <c r="P22" s="130">
        <f>P19+P20</f>
        <v>862500</v>
      </c>
      <c r="Q22" s="108"/>
      <c r="S22" s="100"/>
      <c r="T22" s="102"/>
      <c r="W22" s="100"/>
      <c r="X22" s="122"/>
      <c r="Y22" s="3">
        <f>Y21/S19</f>
        <v>7722.2868800163333</v>
      </c>
      <c r="AC22" s="100"/>
      <c r="AD22" s="104"/>
    </row>
    <row r="23" spans="1:38">
      <c r="I23" s="64">
        <f>I20*2</f>
        <v>52.2</v>
      </c>
      <c r="K23" s="167">
        <f>K19-K20</f>
        <v>15.649999999999999</v>
      </c>
      <c r="L23" s="167">
        <f>L19-L20</f>
        <v>15.8</v>
      </c>
      <c r="P23" s="40">
        <f>P22/Y21</f>
        <v>0.3261965896887899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8"/>
      <c r="L25" s="238"/>
      <c r="W25" s="50"/>
    </row>
    <row r="26" spans="1:38">
      <c r="A26" s="438">
        <f>A24-H26</f>
        <v>195</v>
      </c>
      <c r="B26" s="132" t="s">
        <v>2387</v>
      </c>
      <c r="C26" t="str" cm="1">
        <f t="array" ref="C26">_xll.BDP(B26&amp;" Equity","OPT_UNDL_TICKER")</f>
        <v>#N/A Invalid Security</v>
      </c>
      <c r="D26" t="str" cm="1">
        <f t="array" ref="D26">_xll.BDP($B26&amp;" Index","mifid_Maturity_date")</f>
        <v>#N/A Invalid Security</v>
      </c>
      <c r="E26" t="str" cm="1">
        <f t="array" ref="E26">_xll.BDP($B26&amp;" Index","opt_days_expire")</f>
        <v>#N/A Invalid Security</v>
      </c>
      <c r="F26" t="str" cm="1">
        <f t="array" ref="F26">_xll.BDP(B26&amp;" Equity","QUOTED_CURRENCY_REALTIME")</f>
        <v>#N/A Invalid Security</v>
      </c>
      <c r="G26" s="105" t="s">
        <v>248</v>
      </c>
      <c r="H26" s="96">
        <v>90</v>
      </c>
      <c r="I26" s="97" t="str">
        <f>IF(G26="Buy",L26,K26)</f>
        <v>#N/A Invalid Security</v>
      </c>
      <c r="J26" s="19" t="e">
        <f>I26/S26</f>
        <v>#VALUE!</v>
      </c>
      <c r="K26" s="36" t="str" cm="1">
        <f t="array" ref="K26">_xll.BDP($B26&amp;" Equity","bid")</f>
        <v>#N/A Invalid Security</v>
      </c>
      <c r="L26" s="36" t="str" cm="1">
        <f t="array" ref="L26">_xll.BDP($B26&amp;" Equity","ask")</f>
        <v>#N/A Invalid Security</v>
      </c>
      <c r="M26" s="40" t="e">
        <f>(L26/K26-1)</f>
        <v>#VALUE!</v>
      </c>
      <c r="N26" s="36" t="str" cm="1">
        <f t="array" ref="N26">_xll.BDP(F26&amp;" Curncy","PX_LAST")</f>
        <v>#N/A Invalid Security Curncy</v>
      </c>
      <c r="O26" s="162" t="str" cm="1">
        <f t="array" ref="O26">_xll.BDP(B26&amp;" Equity","OPT_MULTIPLIER")</f>
        <v>#N/A Invalid Security</v>
      </c>
      <c r="P26" s="15" t="e">
        <f>IF(G26="Buy",((I26/N26)*H26*O26),((I26/N26)*-H26*O26))</f>
        <v>#VALUE!</v>
      </c>
      <c r="Q26" s="58" t="e">
        <f>P26/'Master P&amp;L'!$AD$5*10000</f>
        <v>#VALUE!</v>
      </c>
      <c r="R26" s="37" t="e" cm="1">
        <f t="array" ref="R26">_xll.BDP($C26&amp;" Equity","EST_PE_NXT_YR")*(T26/S26)</f>
        <v>#VALUE!</v>
      </c>
      <c r="S26" s="36" t="str" cm="1">
        <f t="array" ref="S26">_xll.BDP(C26&amp;" Equity","LAST_PRICE")</f>
        <v>#N/A Invalid Security Equity</v>
      </c>
      <c r="T26" s="53" t="str" cm="1">
        <f t="array" ref="T26">_xll.BDP(B26&amp;" Equity","OPT_STRIKE_PX")</f>
        <v>#N/A Invalid Security</v>
      </c>
      <c r="U26" s="40" t="e">
        <f>T26/S26-1</f>
        <v>#VALUE!</v>
      </c>
      <c r="V26" s="37" t="str" cm="1">
        <f t="array" ref="V26">_xll.BDP($B26&amp;" Equity","ivol_mid")</f>
        <v>#N/A Invalid Security</v>
      </c>
      <c r="W26" s="38" t="str" cm="1">
        <f t="array" ref="W26">_xll.BDP(B26&amp;" Equity","DELTA_MID_RT")</f>
        <v>#N/A Invalid Security</v>
      </c>
      <c r="X26" s="48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9" t="e" cm="1">
        <f t="array" ref="AA26">_xll.BDP($B26&amp;" Equity","opt_theta")/I26</f>
        <v>#VALUE!</v>
      </c>
      <c r="AB26" s="36" t="str" cm="1">
        <f t="array" ref="AB26">_xll.BDP($C26&amp;" Equity","EXPECTED_REPORT_DT")</f>
        <v>#N/A Invalid Security Equity</v>
      </c>
      <c r="AC26" s="15" t="e">
        <f>S26*H26*O26/N26</f>
        <v>#VALUE!</v>
      </c>
      <c r="AD26" s="19" t="e">
        <f>AC26/'Master P&amp;L'!$AE$5</f>
        <v>#VALUE!</v>
      </c>
      <c r="AE26" t="str">
        <f>B26  &amp; " - Buy to open " &amp;  "-" &amp; H26 &amp;"x"</f>
        <v>KLAC US 01/23/26 C1600 - Buy to open -90x</v>
      </c>
    </row>
    <row r="27" spans="1:38">
      <c r="A27" s="438">
        <f>A25-H27</f>
        <v>240</v>
      </c>
      <c r="B27" s="132" t="s">
        <v>2388</v>
      </c>
      <c r="C27" t="str" cm="1">
        <f t="array" ref="C27">_xll.BDP(B27&amp;" Equity","OPT_UNDL_TICKER")</f>
        <v>#N/A Invalid Security</v>
      </c>
      <c r="D27" t="str" cm="1">
        <f t="array" ref="D27">_xll.BDP($B27&amp;" Index","mifid_Maturity_date")</f>
        <v>#N/A Invalid Security</v>
      </c>
      <c r="E27" t="str" cm="1">
        <f t="array" ref="E27">_xll.BDP($B27&amp;" Index","opt_days_expire")</f>
        <v>#N/A Invalid Security</v>
      </c>
      <c r="F27" t="str" cm="1">
        <f t="array" ref="F27">_xll.BDP(B27&amp;" Equity","QUOTED_CURRENCY_REALTIME")</f>
        <v>#N/A Invalid Security</v>
      </c>
      <c r="G27" s="105" t="s">
        <v>247</v>
      </c>
      <c r="H27" s="96">
        <f>H26/2</f>
        <v>45</v>
      </c>
      <c r="I27" s="97" t="str">
        <f>IF(G27="Buy",L27,K27)</f>
        <v>#N/A Invalid Security</v>
      </c>
      <c r="J27" s="19" t="e">
        <f>I27/S27</f>
        <v>#VALUE!</v>
      </c>
      <c r="K27" s="36" t="str" cm="1">
        <f t="array" ref="K27">_xll.BDP($B27&amp;" Equity","bid")</f>
        <v>#N/A Invalid Security</v>
      </c>
      <c r="L27" s="36" t="str" cm="1">
        <f t="array" ref="L27">_xll.BDP($B27&amp;" Equity","ask")</f>
        <v>#N/A Invalid Security</v>
      </c>
      <c r="M27" s="40" t="e">
        <f>(L27/K27-1)</f>
        <v>#VALUE!</v>
      </c>
      <c r="N27" s="36" t="str" cm="1">
        <f t="array" ref="N27">_xll.BDP(F27&amp;" Curncy","PX_LAST")</f>
        <v>#N/A Invalid Security Curncy</v>
      </c>
      <c r="O27" s="162" t="str" cm="1">
        <f t="array" ref="O27">_xll.BDP(B27&amp;" Equity","OPT_MULTIPLIER")</f>
        <v>#N/A Invalid Security</v>
      </c>
      <c r="P27" s="15" t="e">
        <f>IF(G27="Buy",((I27/N27)*H27*O27),((I27/N27)*-H27*O27))</f>
        <v>#VALUE!</v>
      </c>
      <c r="Q27" s="58" t="e">
        <f>P27/'Master P&amp;L'!$AD$5*10000</f>
        <v>#VALUE!</v>
      </c>
      <c r="R27" s="37" t="e" cm="1">
        <f t="array" ref="R27">_xll.BDP($C27&amp;" Equity","EST_PE_NXT_YR")*(T27/S27)</f>
        <v>#VALUE!</v>
      </c>
      <c r="S27" s="36" t="str" cm="1">
        <f t="array" ref="S27">_xll.BDP(C27&amp;" Equity","LAST_PRICE")</f>
        <v>#N/A Invalid Security Equity</v>
      </c>
      <c r="T27" s="53" t="str" cm="1">
        <f t="array" ref="T27">_xll.BDP(B27&amp;" Equity","OPT_STRIKE_PX")</f>
        <v>#N/A Invalid Security</v>
      </c>
      <c r="U27" s="40" t="e">
        <f>T27/S27-1</f>
        <v>#VALUE!</v>
      </c>
      <c r="V27" s="37" t="str" cm="1">
        <f t="array" ref="V27">_xll.BDP($B27&amp;" Equity","ivol_mid")</f>
        <v>#N/A Invalid Security</v>
      </c>
      <c r="W27" s="38" t="str" cm="1">
        <f t="array" ref="W27">_xll.BDP(B27&amp;" Equity","DELTA_MID_RT")</f>
        <v>#N/A Invalid Security</v>
      </c>
      <c r="X27" s="48" t="e">
        <f>Y27/'Master P&amp;L'!$AE$5</f>
        <v>#VALUE!</v>
      </c>
      <c r="Y27" s="15" t="e">
        <f>IF(G27="Sell", S27*W27*-H27*O27/N27, S27*W27*H27*O27/N27)</f>
        <v>#VALUE!</v>
      </c>
      <c r="Z27" s="15" t="e" cm="1">
        <f t="array" ref="Z27">_xll.BDP($B27&amp;" Equity","opt_theta")*H27*O27/N27</f>
        <v>#VALUE!</v>
      </c>
      <c r="AA27" s="19" t="e" cm="1">
        <f t="array" ref="AA27">_xll.BDP($B27&amp;" Equity","opt_theta")/I27</f>
        <v>#VALUE!</v>
      </c>
      <c r="AB27" s="36" t="str" cm="1">
        <f t="array" ref="AB27">_xll.BDP($C27&amp;" Equity","EXPECTED_REPORT_DT")</f>
        <v>#N/A Invalid Security Equity</v>
      </c>
      <c r="AC27" s="15" t="e">
        <f>S27*H27*O27/N27</f>
        <v>#VALUE!</v>
      </c>
      <c r="AD27" s="19" t="e">
        <f>AC27/'Master P&amp;L'!$AE$5</f>
        <v>#VALUE!</v>
      </c>
      <c r="AE27" t="str">
        <f>B27  &amp; " - Buy to open " &amp;  "-" &amp; H27 &amp;"x"</f>
        <v>KLAC US 02/06/26 C1600 - Buy to open -45x</v>
      </c>
    </row>
    <row r="28" spans="1:38">
      <c r="H28" s="100" t="s">
        <v>116</v>
      </c>
      <c r="I28" s="102" t="e">
        <f>I26-I27</f>
        <v>#VALUE!</v>
      </c>
      <c r="J28" s="100" t="s">
        <v>249</v>
      </c>
      <c r="K28" s="101" t="e">
        <f>K27/L26</f>
        <v>#VALUE!</v>
      </c>
      <c r="P28" s="100" t="s">
        <v>250</v>
      </c>
      <c r="Q28" s="103" t="e">
        <f>Q26+Q27</f>
        <v>#VALUE!</v>
      </c>
      <c r="S28" s="100" t="s">
        <v>251</v>
      </c>
      <c r="T28" s="102" t="e">
        <f>T27-T26</f>
        <v>#VALUE!</v>
      </c>
      <c r="W28" s="100" t="s">
        <v>252</v>
      </c>
      <c r="X28" s="122" t="e">
        <f>X26+X27</f>
        <v>#VALUE!</v>
      </c>
      <c r="Y28" s="13" t="e">
        <f>Y26+Y27</f>
        <v>#VALUE!</v>
      </c>
      <c r="AC28" s="100" t="s">
        <v>229</v>
      </c>
      <c r="AD28" s="104" t="e">
        <f>AD26</f>
        <v>#VALUE!</v>
      </c>
    </row>
    <row r="29" spans="1:38">
      <c r="A29" s="13">
        <f>A27-A26</f>
        <v>45</v>
      </c>
      <c r="H29" s="100" t="s">
        <v>253</v>
      </c>
      <c r="I29" s="102" t="e">
        <f>(T28-I28)/I28</f>
        <v>#VALUE!</v>
      </c>
      <c r="J29" s="100" t="s">
        <v>145</v>
      </c>
      <c r="K29" s="109" t="e">
        <f>AVERAGE(K26:L26)-AVERAGE(K27:L27)</f>
        <v>#DIV/0!</v>
      </c>
      <c r="P29" s="130" t="e">
        <f>P26+P27</f>
        <v>#VALUE!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 t="e">
        <f>I28/S26</f>
        <v>#VALUE!</v>
      </c>
      <c r="K30" s="167" t="e">
        <f>K26-K27</f>
        <v>#VALUE!</v>
      </c>
      <c r="L30" s="167" t="e">
        <f>L26-L27</f>
        <v>#VALUE!</v>
      </c>
      <c r="P30" s="40" t="e">
        <f>P29/Y28</f>
        <v>#VALUE!</v>
      </c>
      <c r="X30" s="3" t="e">
        <f>Y30/I28</f>
        <v>#VALUE!</v>
      </c>
      <c r="Y30" s="8" t="e">
        <f>Y28/S26</f>
        <v>#VALUE!</v>
      </c>
      <c r="AG30" s="167"/>
      <c r="AH30" s="167"/>
    </row>
    <row r="31" spans="1:38">
      <c r="K31" s="64" t="e">
        <f>I27*2-I26</f>
        <v>#VALUE!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2385</v>
      </c>
      <c r="C33" t="str" cm="1">
        <f t="array" ref="C33">_xll.BDP(B33&amp;" Equity","OPT_UNDL_TICKER")</f>
        <v>AMAT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21</v>
      </c>
      <c r="F33" t="str" cm="1">
        <f t="array" ref="F33">_xll.BDP(B33&amp;" Equity","QUOTED_CURRENCY_REALTIME")</f>
        <v>USD</v>
      </c>
      <c r="G33" s="105" t="s">
        <v>248</v>
      </c>
      <c r="H33" s="96">
        <v>35</v>
      </c>
      <c r="I33" s="97">
        <f>IF(G33="Buy",L33,K33)</f>
        <v>7.85</v>
      </c>
      <c r="J33" s="19">
        <f>I33/S33</f>
        <v>2.4005382098406775E-2</v>
      </c>
      <c r="K33" s="36" cm="1">
        <f t="array" ref="K33">_xll.BDP($B33&amp;" Equity","bid")</f>
        <v>7.85</v>
      </c>
      <c r="L33" s="36" cm="1">
        <f t="array" ref="L33">_xll.BDP($B33&amp;" Equity","ask")</f>
        <v>10.9</v>
      </c>
      <c r="M33" s="40">
        <f>(L33/K33-1)</f>
        <v>0.38853503184713389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-27475</v>
      </c>
      <c r="Q33" s="58">
        <f>P33/'Master P&amp;L'!$AD$5*10000</f>
        <v>-0.13034250071635003</v>
      </c>
      <c r="R33" s="37" cm="1">
        <f t="array" ref="R33">_xll.BDP($C33&amp;" Equity","EST_PE_NXT_YR")*(T33/S33)</f>
        <v>28.538063845339639</v>
      </c>
      <c r="S33" s="36">
        <f>_xll.BDP(C33&amp;" Equity","LAST_PRICE")</f>
        <v>327.01</v>
      </c>
      <c r="T33" s="53" cm="1">
        <f t="array" ref="T33">_xll.BDP(B33&amp;" Equity","OPT_STRIKE_PX")</f>
        <v>340</v>
      </c>
      <c r="U33" s="40">
        <f>T33/S33-1</f>
        <v>3.9723555854560999E-2</v>
      </c>
      <c r="V33" s="37" cm="1">
        <f t="array" ref="V33">_xll.BDP($B33&amp;" Equity","ivol_mid")</f>
        <v>47.124830000000003</v>
      </c>
      <c r="W33" s="38" cm="1">
        <f t="array" ref="W33">_xll.BDP(B33&amp;" Equity","DELTA_MID_RT")</f>
        <v>0.39037880301475525</v>
      </c>
      <c r="X33" s="48">
        <f>Y33/'Master P&amp;L'!$AE$5</f>
        <v>-2.1196475524951417E-4</v>
      </c>
      <c r="Y33" s="15">
        <f>IF(G33="Sell", S33*W33*-H33*O33/N33, S33*W33*H33*O33/N33)</f>
        <v>-446802.2033084929</v>
      </c>
      <c r="Z33" s="15" cm="1">
        <f t="array" ref="Z33">_xll.BDP($B33&amp;" Equity","opt_theta")*H33*O33/N33</f>
        <v>-1161.9404999999999</v>
      </c>
      <c r="AA33" s="19" cm="1">
        <f t="array" ref="AA33">_xll.BDP($B33&amp;" Equity","opt_theta")/I33</f>
        <v>-4.2290828025477706E-2</v>
      </c>
      <c r="AB33" s="36" t="str" cm="1">
        <f t="array" ref="AB33">_xll.BDP($C33&amp;" Equity","EXPECTED_REPORT_DT")</f>
        <v>12/02/2026</v>
      </c>
      <c r="AC33" s="15">
        <f>S33*H33*O33/N33</f>
        <v>1144535</v>
      </c>
      <c r="AD33" s="19">
        <f>AC33/'Master P&amp;L'!$AE$5</f>
        <v>5.4297198928985517E-4</v>
      </c>
      <c r="AE33" t="str">
        <f>B33  &amp; " - Buy to open " &amp;  "-" &amp; H33 &amp;"x"</f>
        <v>AMAT US 02/06/26 C340 - Buy to open -35x</v>
      </c>
    </row>
    <row r="34" spans="1:38">
      <c r="A34" s="98" t="s">
        <v>246</v>
      </c>
      <c r="B34" s="73" t="s">
        <v>2386</v>
      </c>
      <c r="C34" t="str" cm="1">
        <f t="array" ref="C34">_xll.BDP(B34&amp;" Equity","OPT_UNDL_TICKER")</f>
        <v>AMAT US</v>
      </c>
      <c r="D34" t="str" cm="1">
        <f t="array" ref="D34">_xll.BDP($B34&amp;" Index","mifid_Maturity_date")</f>
        <v>20/02/2026</v>
      </c>
      <c r="E34" cm="1">
        <f t="array" ref="E34">_xll.BDP($B34&amp;" Index","opt_days_expire")</f>
        <v>35</v>
      </c>
      <c r="F34" t="str" cm="1">
        <f t="array" ref="F34">_xll.BDP(B34&amp;" Equity","QUOTED_CURRENCY_REALTIME")</f>
        <v>USD</v>
      </c>
      <c r="G34" s="105" t="s">
        <v>247</v>
      </c>
      <c r="H34" s="96">
        <f>H33</f>
        <v>35</v>
      </c>
      <c r="I34" s="97">
        <f>IF(G34="Buy",L34,K34)</f>
        <v>15.9</v>
      </c>
      <c r="J34" s="19">
        <f>I34/S34</f>
        <v>4.8622366288492709E-2</v>
      </c>
      <c r="K34" s="36" cm="1">
        <f t="array" ref="K34">_xll.BDP($B34&amp;" Equity","bid")</f>
        <v>14.6</v>
      </c>
      <c r="L34" s="36" cm="1">
        <f t="array" ref="L34">_xll.BDP($B34&amp;" Equity","ask")</f>
        <v>15.9</v>
      </c>
      <c r="M34" s="40">
        <f>(L34/K34-1)</f>
        <v>8.9041095890411093E-2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55650</v>
      </c>
      <c r="Q34" s="58">
        <f>P34/'Master P&amp;L'!$AD$5*10000</f>
        <v>0.26400582947642875</v>
      </c>
      <c r="R34" s="37" cm="1">
        <f t="array" ref="R34">_xll.BDP($C34&amp;" Equity","EST_PE_NXT_YR")*(T34/S34)</f>
        <v>28.538063845339639</v>
      </c>
      <c r="S34" s="36" cm="1">
        <f t="array" ref="S34">_xll.BDP(C34&amp;" Equity","LAST_PRICE")</f>
        <v>327.01</v>
      </c>
      <c r="T34" s="53" cm="1">
        <f t="array" ref="T34">_xll.BDP(B34&amp;" Equity","OPT_STRIKE_PX")</f>
        <v>340</v>
      </c>
      <c r="U34" s="40">
        <f>T34/S34-1</f>
        <v>3.9723555854560999E-2</v>
      </c>
      <c r="V34" s="37" cm="1">
        <f t="array" ref="V34">_xll.BDP($B34&amp;" Equity","ivol_mid")</f>
        <v>51.742139999999999</v>
      </c>
      <c r="W34" s="38" cm="1">
        <f t="array" ref="W34">_xll.BDP(B34&amp;" Equity","DELTA_MID_RT")</f>
        <v>0.43978363275527954</v>
      </c>
      <c r="X34" s="48">
        <f>Y34/'Master P&amp;L'!$AE$5</f>
        <v>2.3879019393425324E-4</v>
      </c>
      <c r="Y34" s="15">
        <f>IF(G34="Sell", S34*W34*-H34*O34/N34, S34*W34*H34*O34/N34)</f>
        <v>503347.76011556387</v>
      </c>
      <c r="Z34" s="15" cm="1">
        <f t="array" ref="Z34">_xll.BDP($B34&amp;" Equity","opt_theta")*H34*O34/N34</f>
        <v>-969.23399999999992</v>
      </c>
      <c r="AA34" s="19" cm="1">
        <f t="array" ref="AA34">_xll.BDP($B34&amp;" Equity","opt_theta")/I34</f>
        <v>-1.7416603773584907E-2</v>
      </c>
      <c r="AB34" s="36" t="str" cm="1">
        <f t="array" ref="AB34">_xll.BDP($C34&amp;" Equity","EXPECTED_REPORT_DT")</f>
        <v>12/02/2026</v>
      </c>
      <c r="AC34" s="15">
        <f>S34*H34*O34/N34</f>
        <v>1144535</v>
      </c>
      <c r="AD34" s="19">
        <f>AC34/'Master P&amp;L'!$AE$5</f>
        <v>5.4297198928985517E-4</v>
      </c>
      <c r="AE34" t="str">
        <f>B34  &amp; " - Buy to open " &amp;  "-" &amp; H34 &amp;"x"</f>
        <v>AMAT US 02/20/26 C340 - Buy to open -35x</v>
      </c>
    </row>
    <row r="35" spans="1:38">
      <c r="H35" s="100" t="s">
        <v>116</v>
      </c>
      <c r="I35" s="222">
        <f>I33-I34</f>
        <v>-8.0500000000000007</v>
      </c>
      <c r="J35" s="100" t="s">
        <v>249</v>
      </c>
      <c r="K35" s="101">
        <f>K34/L33</f>
        <v>1.3394495412844036</v>
      </c>
      <c r="P35" s="100" t="s">
        <v>250</v>
      </c>
      <c r="Q35" s="103">
        <f>Q33+Q34</f>
        <v>0.13366332876007872</v>
      </c>
      <c r="S35" s="100" t="s">
        <v>251</v>
      </c>
      <c r="T35" s="102">
        <f>T34-T33</f>
        <v>0</v>
      </c>
      <c r="W35" s="100" t="s">
        <v>252</v>
      </c>
      <c r="X35" s="122">
        <f>X33+X34</f>
        <v>2.6825438684739076E-5</v>
      </c>
      <c r="Y35" s="13">
        <f>Y33+Y34</f>
        <v>56545.556807070971</v>
      </c>
      <c r="AC35" s="100" t="s">
        <v>229</v>
      </c>
      <c r="AD35" s="104">
        <f>AD33</f>
        <v>5.4297198928985517E-4</v>
      </c>
    </row>
    <row r="36" spans="1:38">
      <c r="H36" s="100" t="s">
        <v>253</v>
      </c>
      <c r="I36" s="102">
        <f>(T35-I35)/I35</f>
        <v>-1</v>
      </c>
      <c r="J36" s="100" t="s">
        <v>145</v>
      </c>
      <c r="K36" s="109">
        <f>AVERAGE(K33:L33)-AVERAGE(K34:L34)</f>
        <v>-5.875</v>
      </c>
      <c r="P36" s="130">
        <f>P33+P34</f>
        <v>28175</v>
      </c>
      <c r="Q36" s="108"/>
      <c r="S36" s="100"/>
      <c r="T36" s="102"/>
      <c r="W36" s="100"/>
      <c r="X36" s="122"/>
      <c r="Y36" s="13">
        <f>Y35/S33</f>
        <v>172.91690409183502</v>
      </c>
      <c r="AC36" s="100"/>
      <c r="AD36" s="104"/>
    </row>
    <row r="37" spans="1:38">
      <c r="I37" s="21">
        <f>I35/S33</f>
        <v>-2.4616984190085935E-2</v>
      </c>
      <c r="K37" s="64">
        <f>(2*I33)-(I34*3)</f>
        <v>-32</v>
      </c>
      <c r="P37" s="267">
        <f>P36/I35/100</f>
        <v>-34.999999999999993</v>
      </c>
      <c r="W37" s="50">
        <f>W33-W34</f>
        <v>-4.9404829740524292E-2</v>
      </c>
    </row>
    <row r="38" spans="1:38">
      <c r="H38">
        <v>1</v>
      </c>
      <c r="J38" s="43">
        <f>J39-J40</f>
        <v>-7.9674667512059927E-4</v>
      </c>
      <c r="P38" s="13"/>
    </row>
    <row r="39" spans="1:38">
      <c r="A39" s="281">
        <f>S39-T39</f>
        <v>-1.7600000000000016</v>
      </c>
      <c r="B39" s="73" t="s">
        <v>2336</v>
      </c>
      <c r="C39" t="str" cm="1">
        <f t="array" ref="C39">_xll.BDP(B39&amp;" Equity","OPT_UNDL_TICKER")</f>
        <v>RKT US</v>
      </c>
      <c r="D39" t="str" cm="1">
        <f t="array" ref="D39">_xll.BDP($B39&amp;" Index","mifid_Maturity_date")</f>
        <v>15/05/2026</v>
      </c>
      <c r="E39" cm="1">
        <f t="array" ref="E39">_xll.BDP($B39&amp;" Index","opt_days_expire")</f>
        <v>119</v>
      </c>
      <c r="F39" t="str" cm="1">
        <f t="array" ref="F39">_xll.BDP(B39&amp;" Equity","QUOTED_CURRENCY_REALTIME")</f>
        <v>USD</v>
      </c>
      <c r="G39" s="105" t="s">
        <v>247</v>
      </c>
      <c r="H39" s="96">
        <v>450</v>
      </c>
      <c r="I39" s="224">
        <f>IF(G39="Buy",L39,K39)</f>
        <v>2.72</v>
      </c>
      <c r="J39" s="19">
        <f>I39/S39</f>
        <v>0.117039586919105</v>
      </c>
      <c r="K39" s="36" cm="1">
        <f t="array" ref="K39">_xll.BDP($B39&amp;" Equity","bid")</f>
        <v>2.57</v>
      </c>
      <c r="L39" s="36" cm="1">
        <f t="array" ref="L39">_xll.BDP($B39&amp;" Equity","ask")</f>
        <v>2.72</v>
      </c>
      <c r="M39" s="40">
        <f>(L39/K39-1)</f>
        <v>5.836575875486405E-2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122400</v>
      </c>
      <c r="Q39" s="58">
        <f>P39/'Master P&amp;L'!$AD$5*10000</f>
        <v>0.58067050364626915</v>
      </c>
      <c r="R39" s="37" cm="1">
        <f t="array" ref="R39">_xll.BDP($C39&amp;" Equity","EST_PE_NXT_YR")*(T39/S39)</f>
        <v>30.976838205753872</v>
      </c>
      <c r="S39" s="36" cm="1">
        <f t="array" ref="S39">_xll.BDP(C39&amp;" Equity","LAST_PRICE")</f>
        <v>23.24</v>
      </c>
      <c r="T39" s="53" cm="1">
        <f t="array" ref="T39">_xll.BDP(B39&amp;" Equity","OPT_STRIKE_PX")</f>
        <v>25</v>
      </c>
      <c r="U39" s="40">
        <f>T39/S39-1</f>
        <v>7.5731497418244587E-2</v>
      </c>
      <c r="V39" s="37" cm="1">
        <f t="array" ref="V39">_xll.BDP($B39&amp;" Equity","ivol_mid")</f>
        <v>62.74859</v>
      </c>
      <c r="W39" s="38" cm="1">
        <f t="array" ref="W39">_xll.BDP(B39&amp;" Equity","DELTA_MID_RT")</f>
        <v>0.50413370132446289</v>
      </c>
      <c r="X39" s="48">
        <f>Y39/'Master P&amp;L'!$AE$5</f>
        <v>2.5011671517216274E-4</v>
      </c>
      <c r="Y39" s="15">
        <f>IF(G39="Sell", S39*W39*-H39*O39/N39, S39*W39*H39*O39/N39)</f>
        <v>527223.02484512317</v>
      </c>
      <c r="Z39" s="15" cm="1">
        <f t="array" ref="Z39">_xll.BDP($B39&amp;" Equity","opt_theta")*H39*O39/N39</f>
        <v>-621.99</v>
      </c>
      <c r="AA39" s="19" cm="1">
        <f t="array" ref="AA39">_xll.BDP($B39&amp;" Equity","opt_theta")/I39</f>
        <v>-5.0816176470588233E-3</v>
      </c>
      <c r="AB39" s="36" t="str" cm="1">
        <f t="array" ref="AB39">_xll.BDP($C39&amp;" Equity","EXPECTED_REPORT_DT")</f>
        <v>11/02/2026</v>
      </c>
      <c r="AC39" s="15">
        <f>S39*H39*O39/N39</f>
        <v>1045800</v>
      </c>
      <c r="AD39" s="19">
        <f>AC39/'Master P&amp;L'!$AE$5</f>
        <v>4.9613170973306238E-4</v>
      </c>
      <c r="AE39" t="str">
        <f>B39  &amp; " - Buy to open " &amp;  "-" &amp; H39 &amp;"x"</f>
        <v>RKT US 05/15/26 C25 - Buy to open -450x</v>
      </c>
    </row>
    <row r="40" spans="1:38">
      <c r="A40" s="281">
        <f>S40-T40</f>
        <v>-10.010000000000005</v>
      </c>
      <c r="B40" s="73" t="s">
        <v>2335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119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13.55</v>
      </c>
      <c r="J40" s="19">
        <f>I40/S40</f>
        <v>0.1178363335942256</v>
      </c>
      <c r="K40" s="36" cm="1">
        <f t="array" ref="K40">_xll.BDP($B40&amp;" Equity","bid")</f>
        <v>12.75</v>
      </c>
      <c r="L40" s="36" cm="1">
        <f t="array" ref="L40">_xll.BDP($B40&amp;" Equity","ask")</f>
        <v>13.55</v>
      </c>
      <c r="M40" s="40">
        <f>(L40/K40-1)</f>
        <v>6.2745098039215685E-2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135500</v>
      </c>
      <c r="Q40" s="58">
        <f>P40/'Master P&amp;L'!$AD$5*10000</f>
        <v>0.64281742846461987</v>
      </c>
      <c r="R40" s="37" cm="1">
        <f t="array" ref="R40">_xll.BDP($C40&amp;" Equity","EST_PE_NXT_YR")*(T40/S40)</f>
        <v>44.898283763957423</v>
      </c>
      <c r="S40" s="36" cm="1">
        <f t="array" ref="S40">_xll.BDP(C40&amp;" Equity","LAST_PRICE")</f>
        <v>114.99</v>
      </c>
      <c r="T40" s="53" cm="1">
        <f t="array" ref="T40">_xll.BDP(B40&amp;" Equity","OPT_STRIKE_PX")</f>
        <v>125</v>
      </c>
      <c r="U40" s="40">
        <f>T40/S40-1</f>
        <v>8.7051047917210189E-2</v>
      </c>
      <c r="V40" s="37" cm="1">
        <f t="array" ref="V40">_xll.BDP($B40&amp;" Equity","ivol_mid")</f>
        <v>65.549790000000002</v>
      </c>
      <c r="W40" s="38" cm="1">
        <f t="array" ref="W40">_xll.BDP(B40&amp;" Equity","DELTA_MID_RT")</f>
        <v>0.49329280853271484</v>
      </c>
      <c r="X40" s="48">
        <f>Y40/'Master P&amp;L'!$AE$5</f>
        <v>2.6909969530537802E-4</v>
      </c>
      <c r="Y40" s="15">
        <f>IF(G40="Sell", S40*W40*-H40*O40/N40, S40*W40*H40*O40/N40)</f>
        <v>567237.4005317688</v>
      </c>
      <c r="Z40" s="15" cm="1">
        <f t="array" ref="Z40">_xll.BDP($B40&amp;" Equity","opt_theta")*H40*O40/N40</f>
        <v>-704.39</v>
      </c>
      <c r="AA40" s="19" cm="1">
        <f t="array" ref="AA40">_xll.BDP($B40&amp;" Equity","opt_theta")/I40</f>
        <v>-5.1984501845018447E-3</v>
      </c>
      <c r="AB40" s="36" t="str" cm="1">
        <f t="array" ref="AB40">_xll.BDP($C40&amp;" Equity","EXPECTED_REPORT_DT")</f>
        <v>20/02/2026</v>
      </c>
      <c r="AC40" s="15">
        <f>S40*H40*O40/N40</f>
        <v>1149900</v>
      </c>
      <c r="AD40" s="19">
        <f>AC40/'Master P&amp;L'!$AE$5</f>
        <v>5.4551716678337002E-4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-10.83</v>
      </c>
      <c r="J41" s="100" t="s">
        <v>249</v>
      </c>
      <c r="K41" s="101">
        <f>K40/L39</f>
        <v>4.6875</v>
      </c>
      <c r="P41" s="100" t="s">
        <v>250</v>
      </c>
      <c r="Q41" s="108">
        <f>Q39+Q40</f>
        <v>1.2234879321108889</v>
      </c>
      <c r="S41" s="100" t="s">
        <v>251</v>
      </c>
      <c r="T41" s="102">
        <f>T40-T39</f>
        <v>100</v>
      </c>
      <c r="W41" s="100" t="s">
        <v>252</v>
      </c>
      <c r="X41" s="122">
        <f>X39+X40</f>
        <v>5.1921641047754071E-4</v>
      </c>
      <c r="Y41" s="13">
        <f>Y39+Y40</f>
        <v>1094460.4253768921</v>
      </c>
      <c r="AC41" s="100" t="s">
        <v>229</v>
      </c>
      <c r="AD41" s="122">
        <f>AD39</f>
        <v>4.9613170973306238E-4</v>
      </c>
    </row>
    <row r="42" spans="1:38">
      <c r="B42" s="73"/>
      <c r="H42" s="100" t="s">
        <v>253</v>
      </c>
      <c r="I42" s="102">
        <f>(T41-K42)/I41</f>
        <v>-10.20360110803324</v>
      </c>
      <c r="J42" s="100" t="s">
        <v>145</v>
      </c>
      <c r="K42" s="223">
        <f>AVERAGE(K39:L39)-AVERAGE(K40:L40)</f>
        <v>-10.505000000000001</v>
      </c>
      <c r="P42" s="130">
        <f>P39+P40</f>
        <v>257900</v>
      </c>
      <c r="Q42" s="108"/>
      <c r="S42" s="100"/>
      <c r="T42" s="102"/>
      <c r="W42" s="100"/>
      <c r="X42" s="122"/>
      <c r="Y42" s="13">
        <f>Y41/S39</f>
        <v>47093.822090227717</v>
      </c>
      <c r="AC42" s="100"/>
      <c r="AD42" s="104"/>
    </row>
    <row r="43" spans="1:38">
      <c r="I43" s="278"/>
      <c r="K43" s="278">
        <f>K36-K42</f>
        <v>4.6300000000000008</v>
      </c>
      <c r="L43" s="278"/>
      <c r="P43" s="5">
        <f>P42/Y41</f>
        <v>0.23564122924882247</v>
      </c>
      <c r="W43" s="50">
        <f>W39-W40</f>
        <v>1.0840892791748047E-2</v>
      </c>
      <c r="Y43" s="13">
        <f>Y42+Y36</f>
        <v>47266.738994319552</v>
      </c>
    </row>
    <row r="44" spans="1:38">
      <c r="K44" s="338">
        <f>K36/K42</f>
        <v>0.55925749643027123</v>
      </c>
      <c r="L44" s="278">
        <f>K36-(K42*2)</f>
        <v>15.135000000000002</v>
      </c>
      <c r="P44" s="13">
        <f>P36+P42</f>
        <v>286075</v>
      </c>
    </row>
    <row r="45" spans="1:38" s="59" customFormat="1">
      <c r="O45" s="163"/>
      <c r="X45" s="127"/>
      <c r="AL45" s="14"/>
    </row>
    <row r="46" spans="1:38">
      <c r="K46" s="64">
        <f>K49*2+K50</f>
        <v>0.95000000000000007</v>
      </c>
      <c r="L46" s="64">
        <f>L49*2+L50</f>
        <v>4.1500000000000004</v>
      </c>
    </row>
    <row r="47" spans="1:38">
      <c r="A47" s="99" t="s">
        <v>255</v>
      </c>
      <c r="B47" s="99"/>
      <c r="K47" s="64"/>
      <c r="L47" s="64"/>
      <c r="P47" s="3">
        <f>P49+P50</f>
        <v>8550</v>
      </c>
      <c r="Q47" s="58"/>
    </row>
    <row r="48" spans="1:38">
      <c r="H48">
        <v>1</v>
      </c>
      <c r="I48" s="64">
        <f>I49-I50</f>
        <v>1.9</v>
      </c>
    </row>
    <row r="49" spans="1:36">
      <c r="A49" s="281">
        <v>4.3</v>
      </c>
      <c r="B49" s="73" t="s">
        <v>2355</v>
      </c>
      <c r="C49" t="str" cm="1">
        <f t="array" ref="C49">_xll.BDP(B49&amp;" Equity","OPT_UNDL_TICKER")</f>
        <v>ASML US</v>
      </c>
      <c r="D49" t="str" cm="1">
        <f t="array" ref="D49">_xll.BDP($B49&amp;" Index","mifid_Maturity_date")</f>
        <v>#N/A Field Not Applicable</v>
      </c>
      <c r="E49" t="str" cm="1">
        <f t="array" ref="E49">_xll.BDP($B49&amp;" Index","opt_days_expire")</f>
        <v>#N/A N/A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1.95</v>
      </c>
      <c r="J49" s="19">
        <f>I49/S49</f>
        <v>1.4353327395717557E-3</v>
      </c>
      <c r="K49" s="36" cm="1">
        <f t="array" ref="K49">_xll.BDP($B49&amp;" Equity","bid")</f>
        <v>0.45</v>
      </c>
      <c r="L49" s="36" cm="1">
        <f t="array" ref="L49">_xll.BDP($B49&amp;" Equity","ask")</f>
        <v>1.95</v>
      </c>
      <c r="M49" s="40">
        <f>(L49/K49-1)</f>
        <v>3.333333333333333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8775</v>
      </c>
      <c r="Q49" s="58">
        <f>P49/'Master P&amp;L'!$AD$5*10000</f>
        <v>4.1628951548170035E-2</v>
      </c>
      <c r="R49" s="37" cm="1">
        <f t="array" ref="R49">_xll.BDP($C49&amp;" Equity","EST_PE_NXT_YR")*(T49/S49)</f>
        <v>37.526016230257248</v>
      </c>
      <c r="S49" s="36" cm="1">
        <f t="array" ref="S49">_xll.BDP(C49&amp;" Equity","LAST_PRICE")</f>
        <v>1358.57</v>
      </c>
      <c r="T49" s="53" cm="1">
        <f t="array" ref="T49">_xll.BDP(B49&amp;" Equity","OPT_STRIKE_PX")</f>
        <v>1200</v>
      </c>
      <c r="U49" s="40">
        <f>T49/S49-1</f>
        <v>-0.1167183141096888</v>
      </c>
      <c r="V49" s="37" cm="1">
        <f t="array" ref="V49">_xll.BDP($B49&amp;" Equity","ivol_mid")</f>
        <v>43.02805</v>
      </c>
      <c r="W49" s="38" cm="1">
        <f t="array" ref="W49">_xll.BDP(B49&amp;" Equity","DELTA_MID_RT")</f>
        <v>-3.2105576246976852E-2</v>
      </c>
      <c r="X49" s="358">
        <f>Y49/'Master P&amp;L'!$AE$5</f>
        <v>-9.3115794070874558E-5</v>
      </c>
      <c r="Y49" s="15">
        <f>IF(G49="Sell", S49*W49*-H49*O49/N49, S49*W49*H49*O49/N49)</f>
        <v>-196279.52724834904</v>
      </c>
      <c r="Z49" s="15" cm="1">
        <f t="array" ref="Z49">_xll.BDP($B49&amp;" Equity","opt_theta")*H49*O49/N49</f>
        <v>-1845.6975</v>
      </c>
      <c r="AA49" s="19" cm="1">
        <f t="array" ref="AA49">_xll.BDP($B49&amp;" Equity","opt_theta")/I49</f>
        <v>-0.21033589743589742</v>
      </c>
      <c r="AB49" s="36" t="str" cm="1">
        <f t="array" ref="AB49">_xll.BDP($C49&amp;" Equity","EXPECTED_REPORT_DT")</f>
        <v>28/01/2026</v>
      </c>
      <c r="AC49" s="15">
        <f>S49*H49*O49/N49</f>
        <v>6113564.9999999991</v>
      </c>
      <c r="AD49" s="48">
        <f>AC49/'Master P&amp;L'!$AE$5</f>
        <v>2.9002997284511465E-3</v>
      </c>
      <c r="AE49" t="str">
        <f>B49&amp;" -&gt; Buy to open "&amp;H49&amp;"x"</f>
        <v>ASML US 01/23/26 P1200 -&gt; Buy to open 45x</v>
      </c>
      <c r="AJ49" t="s">
        <v>257</v>
      </c>
    </row>
    <row r="50" spans="1:36">
      <c r="A50" s="281">
        <v>2.0499999999999998</v>
      </c>
      <c r="B50" s="73" t="s">
        <v>2356</v>
      </c>
      <c r="C50" t="str" cm="1">
        <f t="array" ref="C50">_xll.BDP(B50&amp;" Equity","OPT_UNDL_TICKER")</f>
        <v>ASML US</v>
      </c>
      <c r="D50" t="str" cm="1">
        <f t="array" ref="D50">_xll.BDP($B50&amp;" Index","mifid_Maturity_date")</f>
        <v>#N/A Field Not Applicable</v>
      </c>
      <c r="E50" t="str" cm="1">
        <f t="array" ref="E50">_xll.BDP($B50&amp;" Index","opt_days_expire")</f>
        <v>#N/A N/A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>
        <f>IF(G50="Buy",L50,K50)</f>
        <v>0.05</v>
      </c>
      <c r="J50" s="19">
        <f>I50/S50</f>
        <v>3.6803403578762965E-5</v>
      </c>
      <c r="K50" s="36" cm="1">
        <f t="array" ref="K50">_xll.BDP($B50&amp;" Equity","bid")</f>
        <v>0.05</v>
      </c>
      <c r="L50" s="36" cm="1">
        <f t="array" ref="L50">_xll.BDP($B50&amp;" Equity","ask")</f>
        <v>0.25</v>
      </c>
      <c r="M50" s="40">
        <f>(L50/K50-1)</f>
        <v>4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-225</v>
      </c>
      <c r="Q50" s="58">
        <f>P50/'Master P&amp;L'!$AD$5*10000</f>
        <v>-1.0674090140556419E-3</v>
      </c>
      <c r="R50" s="37" cm="1">
        <f t="array" ref="R50">_xll.BDP($C50&amp;" Equity","EST_PE_NXT_YR")*(T50/S50)</f>
        <v>34.398848211069144</v>
      </c>
      <c r="S50" s="36" cm="1">
        <f t="array" ref="S50">_xll.BDP(C50&amp;" Equity","LAST_PRICE")</f>
        <v>1358.57</v>
      </c>
      <c r="T50" s="53" cm="1">
        <f t="array" ref="T50">_xll.BDP(B50&amp;" Equity","OPT_STRIKE_PX")</f>
        <v>1100</v>
      </c>
      <c r="U50" s="40">
        <f>T50/S50-1</f>
        <v>-0.19032512126721479</v>
      </c>
      <c r="V50" s="37" cm="1">
        <f t="array" ref="V50">_xll.BDP(B50&amp;" Equity","ivol_mid")</f>
        <v>61.603000000000002</v>
      </c>
      <c r="W50" s="38" cm="1">
        <f t="array" ref="W50">_xll.BDP(B50&amp;" Equity","DELTA_MID_RT")</f>
        <v>-4.1181640699505806E-3</v>
      </c>
      <c r="X50" s="358">
        <f>Y50/'Master P&amp;L'!$AE$5</f>
        <v>1.1943910133794937E-5</v>
      </c>
      <c r="Y50" s="15">
        <f>IF(G50="Sell", S50*W50*-H50*O50/N50, S50*W50*H50*O50/N50)</f>
        <v>25176.663722307418</v>
      </c>
      <c r="Z50" s="15" cm="1">
        <f t="array" ref="Z50">_xll.BDP($B50&amp;" Equity","opt_theta")*H50*O50/N50</f>
        <v>-433.82700000000006</v>
      </c>
      <c r="AA50" s="19" cm="1">
        <f t="array" ref="AA50">_xll.BDP($B50&amp;" Equity","opt_theta")/I50</f>
        <v>-1.9281200000000001</v>
      </c>
      <c r="AB50" s="36" t="str" cm="1">
        <f t="array" ref="AB50">_xll.BDP($C50&amp;" Equity","EXPECTED_REPORT_DT")</f>
        <v>28/01/2026</v>
      </c>
      <c r="AC50" s="15">
        <f>S50*H50*O50/N50</f>
        <v>6113564.9999999991</v>
      </c>
      <c r="AD50" s="19">
        <f>AC50/'Master P&amp;L'!$AE$5</f>
        <v>2.9002997284511465E-3</v>
      </c>
      <c r="AE50" t="str">
        <f>B50  &amp; " -&gt; Sell to open " &amp;   H50 &amp;"x"</f>
        <v>ASML US 01/23/26 P1100 -&gt;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2.5641025641025644E-2</v>
      </c>
      <c r="L51" s="64"/>
      <c r="P51" s="100" t="s">
        <v>250</v>
      </c>
      <c r="Q51" s="108">
        <f>Q49+Q50</f>
        <v>4.0561542534114391E-2</v>
      </c>
      <c r="S51" s="100" t="s">
        <v>251</v>
      </c>
      <c r="T51" s="102">
        <f>T49-T50</f>
        <v>100</v>
      </c>
      <c r="W51" s="100" t="s">
        <v>252</v>
      </c>
      <c r="X51" s="418">
        <f>X49+X50</f>
        <v>-8.1171883937079619E-5</v>
      </c>
      <c r="Y51" s="13">
        <f>Y49+Y50</f>
        <v>-171102.86352604162</v>
      </c>
      <c r="AC51" s="100" t="s">
        <v>229</v>
      </c>
      <c r="AD51" s="122">
        <f>AD49</f>
        <v>2.9002997284511465E-3</v>
      </c>
    </row>
    <row r="52" spans="1:36">
      <c r="A52" s="276"/>
      <c r="H52" s="100" t="s">
        <v>253</v>
      </c>
      <c r="I52" s="102">
        <f>(T51-I51)/I51</f>
        <v>54.555555555555557</v>
      </c>
      <c r="J52" s="100" t="s">
        <v>145</v>
      </c>
      <c r="K52" s="109">
        <f>AVERAGE(K49:L49)-AVERAGE(K50:L50)</f>
        <v>1.05</v>
      </c>
      <c r="L52" s="64"/>
      <c r="P52" s="100"/>
      <c r="Q52" s="108"/>
      <c r="S52" s="100"/>
      <c r="T52" s="102"/>
      <c r="W52" s="100"/>
      <c r="X52" s="122"/>
      <c r="Z52" s="3">
        <f>Y51/S49</f>
        <v>-125.94335479661822</v>
      </c>
      <c r="AC52" s="100"/>
      <c r="AD52" s="104"/>
    </row>
    <row r="54" spans="1:36">
      <c r="H54">
        <v>1</v>
      </c>
      <c r="I54" s="64"/>
      <c r="J54" s="43">
        <f>J55-J56</f>
        <v>8.5624292835081506E-4</v>
      </c>
      <c r="L54" s="64"/>
      <c r="P54" s="13">
        <f>P55+P56</f>
        <v>2800</v>
      </c>
    </row>
    <row r="55" spans="1:36">
      <c r="A55" s="98" t="s">
        <v>256</v>
      </c>
      <c r="B55" s="59" t="s">
        <v>2358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cm="1">
        <f t="array" ref="E55">_xll.BDP($B55&amp;" Index","opt_days_expire")</f>
        <v>7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0.31</v>
      </c>
      <c r="J55" s="19">
        <f>I55/S55</f>
        <v>9.4798324210268806E-4</v>
      </c>
      <c r="K55" s="36" cm="1">
        <f t="array" ref="K55">_xll.BDP($B55&amp;" Equity","bid")</f>
        <v>0.11</v>
      </c>
      <c r="L55" s="36" cm="1">
        <f t="array" ref="L55">_xll.BDP($B55&amp;" Equity","ask")</f>
        <v>0.31</v>
      </c>
      <c r="M55" s="40">
        <f>(L55/K55-1)</f>
        <v>1.8181818181818183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3100</v>
      </c>
      <c r="Q55" s="58">
        <f>P55/'Master P&amp;L'!$AD$5*10000</f>
        <v>1.470652419365551E-2</v>
      </c>
      <c r="R55" s="37" cm="1">
        <f t="array" ref="R55">_xll.BDP($C55&amp;" Equity","EST_PE_NXT_YR")*(T55/S55)</f>
        <v>24.341289750436754</v>
      </c>
      <c r="S55" s="36" cm="1">
        <f t="array" ref="S55">_xll.BDP(C55&amp;" Equity","LAST_PRICE")</f>
        <v>327.01</v>
      </c>
      <c r="T55" s="53" cm="1">
        <f t="array" ref="T55">_xll.BDP(B55&amp;" Equity","OPT_STRIKE_PX")</f>
        <v>290</v>
      </c>
      <c r="U55" s="40">
        <f>T55/S55-1</f>
        <v>-0.11317696706522729</v>
      </c>
      <c r="V55" s="37" cm="1">
        <f t="array" ref="V55">_xll.BDP($B55&amp;" Equity","ivol_mid")</f>
        <v>46.712299999999999</v>
      </c>
      <c r="W55" s="38" cm="1">
        <f t="array" ref="W55">_xll.BDP(B55&amp;" Equity","DELTA_MID_RT")</f>
        <v>-2.6160674169659615E-2</v>
      </c>
      <c r="X55" s="48">
        <f>Y55/'Master P&amp;L'!$AE$5</f>
        <v>-4.0584323700182317E-5</v>
      </c>
      <c r="Y55" s="15">
        <f>IF(G55="Sell", S55*W55*-H55*O55/N55, S55*W55*H55*O55/N55)</f>
        <v>-85548.020602203906</v>
      </c>
      <c r="Z55" s="15" cm="1">
        <f t="array" ref="Z55">_xll.BDP($B55&amp;" Equity","opt_theta")*H55*O55/N55</f>
        <v>-1668.6899999999998</v>
      </c>
      <c r="AA55" s="19" cm="1">
        <f t="array" ref="AA55">_xll.BDP($B55&amp;" Equity","opt_theta")/I55</f>
        <v>-0.53828709677419351</v>
      </c>
      <c r="AB55" s="36" t="str" cm="1">
        <f t="array" ref="AB55">_xll.BDP($C55&amp;" Equity","EXPECTED_REPORT_DT")</f>
        <v>12/02/2026</v>
      </c>
      <c r="AC55" s="15">
        <f>S55*H55*O55/N55</f>
        <v>3270100</v>
      </c>
      <c r="AD55" s="48">
        <f>AC55/'Master P&amp;L'!$AE$5</f>
        <v>1.5513485408281576E-3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2357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cm="1">
        <f t="array" ref="E56">_xll.BDP($B56&amp;" Index","opt_days_expire")</f>
        <v>7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>
        <f>IF(G56="Buy",L56,K56)</f>
        <v>0.03</v>
      </c>
      <c r="J56" s="19">
        <f>I56/S56</f>
        <v>9.1740313751873033E-5</v>
      </c>
      <c r="K56" s="36" cm="1">
        <f t="array" ref="K56">_xll.BDP($B56&amp;" Equity","bid")</f>
        <v>0.03</v>
      </c>
      <c r="L56" s="36" cm="1">
        <f t="array" ref="L56">_xll.BDP($B56&amp;" Equity","ask")</f>
        <v>0.28000000000000003</v>
      </c>
      <c r="M56" s="40">
        <f>(L56/K56-1)</f>
        <v>8.3333333333333339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-300</v>
      </c>
      <c r="Q56" s="58">
        <f>P56/'Master P&amp;L'!$AD$5*10000</f>
        <v>-1.4232120187408557E-3</v>
      </c>
      <c r="R56" s="37" cm="1">
        <f t="array" ref="R56">_xll.BDP($C56&amp;" Equity","EST_PE_NXT_YR")*(T56/S56)</f>
        <v>23.501934931456173</v>
      </c>
      <c r="S56" s="36" cm="1">
        <f t="array" ref="S56">_xll.BDP(C56&amp;" Equity","LAST_PRICE")</f>
        <v>327.01</v>
      </c>
      <c r="T56" s="53" cm="1">
        <f t="array" ref="T56">_xll.BDP(B56&amp;" Equity","OPT_STRIKE_PX")</f>
        <v>280</v>
      </c>
      <c r="U56" s="40">
        <f>T56/S56-1</f>
        <v>-0.14375707164918505</v>
      </c>
      <c r="V56" s="37" cm="1">
        <f t="array" ref="V56">_xll.BDP(B56&amp;" Equity","ivol_mid")</f>
        <v>53.114150000000002</v>
      </c>
      <c r="W56" s="38" cm="1">
        <f t="array" ref="W56">_xll.BDP(B56&amp;" Equity","DELTA_MID_RT")</f>
        <v>-1.7135964706540108E-2</v>
      </c>
      <c r="X56" s="48">
        <f>Y56/'Master P&amp;L'!$AE$5</f>
        <v>2.6583853843173804E-5</v>
      </c>
      <c r="Y56" s="15">
        <f>IF(G56="Sell", S56*W56*-H56*O56/N56, S56*W56*H56*O56/N56)</f>
        <v>56036.318186856806</v>
      </c>
      <c r="Z56" s="15" cm="1">
        <f t="array" ref="Z56">_xll.BDP($B56&amp;" Equity","opt_theta")*H56*O56/N56</f>
        <v>-909.58</v>
      </c>
      <c r="AA56" s="19" cm="1">
        <f t="array" ref="AA56">_xll.BDP($B56&amp;" Equity","opt_theta")/I56</f>
        <v>-3.0319333333333334</v>
      </c>
      <c r="AB56" s="36" t="str" cm="1">
        <f t="array" ref="AB56">_xll.BDP($C56&amp;" Equity","EXPECTED_REPORT_DT")</f>
        <v>12/02/2026</v>
      </c>
      <c r="AC56" s="15">
        <f>S56*H56*O56/N56</f>
        <v>3270100</v>
      </c>
      <c r="AD56" s="19">
        <f>AC56/'Master P&amp;L'!$AE$5</f>
        <v>1.5513485408281576E-3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>
        <f>I57/K58</f>
        <v>5.0909090909090944</v>
      </c>
      <c r="H57" s="100" t="s">
        <v>116</v>
      </c>
      <c r="I57" s="102">
        <f>I55-I56</f>
        <v>0.28000000000000003</v>
      </c>
      <c r="J57" s="100" t="s">
        <v>249</v>
      </c>
      <c r="K57" s="101">
        <f>K56/L55</f>
        <v>9.6774193548387094E-2</v>
      </c>
      <c r="L57" s="64"/>
      <c r="P57" s="100" t="s">
        <v>250</v>
      </c>
      <c r="Q57" s="108">
        <f>Q55+Q56</f>
        <v>1.3283312174914654E-2</v>
      </c>
      <c r="S57" s="100" t="s">
        <v>251</v>
      </c>
      <c r="T57" s="102">
        <f>T55-T56</f>
        <v>10</v>
      </c>
      <c r="W57" s="100" t="s">
        <v>252</v>
      </c>
      <c r="X57" s="122">
        <f>X55+X56</f>
        <v>-1.4000469857008513E-5</v>
      </c>
      <c r="Y57" s="13"/>
      <c r="AC57" s="100" t="s">
        <v>229</v>
      </c>
      <c r="AD57" s="122">
        <f>AD55</f>
        <v>1.5513485408281576E-3</v>
      </c>
    </row>
    <row r="58" spans="1:36">
      <c r="H58" s="100" t="s">
        <v>253</v>
      </c>
      <c r="I58" s="102">
        <f>(T57-I57)/I57</f>
        <v>34.714285714285715</v>
      </c>
      <c r="J58" s="100" t="s">
        <v>145</v>
      </c>
      <c r="K58" s="109">
        <f>AVERAGE(K55:L55)-AVERAGE(K56:L56)</f>
        <v>5.4999999999999966E-2</v>
      </c>
      <c r="L58" s="64"/>
      <c r="P58" s="100"/>
      <c r="Q58" s="108"/>
      <c r="S58" s="100"/>
      <c r="T58" s="102"/>
      <c r="W58" s="100"/>
      <c r="X58" s="122"/>
      <c r="Y58" s="13">
        <f>Y55+Y56</f>
        <v>-29511.702415347099</v>
      </c>
      <c r="Z58" s="3"/>
      <c r="AC58" s="100"/>
      <c r="AD58" s="104"/>
    </row>
    <row r="59" spans="1:36">
      <c r="K59" s="64">
        <f>K58-K52</f>
        <v>-0.99500000000000011</v>
      </c>
      <c r="Y59" s="64">
        <f>Y58/S55</f>
        <v>-90.247094631195068</v>
      </c>
    </row>
    <row r="60" spans="1:36">
      <c r="I60" s="64">
        <f>I51-I57</f>
        <v>1.52</v>
      </c>
      <c r="K60" s="64">
        <f>K52-K58</f>
        <v>0.99500000000000011</v>
      </c>
      <c r="Y60" s="64"/>
    </row>
    <row r="61" spans="1:36">
      <c r="H61">
        <v>1</v>
      </c>
      <c r="I61" s="64"/>
      <c r="L61" s="64">
        <f>AVERAGE(K62:L62)</f>
        <v>0.01</v>
      </c>
      <c r="T61" s="64">
        <f>T62-S62</f>
        <v>-37.009999999999991</v>
      </c>
    </row>
    <row r="62" spans="1:36">
      <c r="A62" s="98" t="s">
        <v>256</v>
      </c>
      <c r="B62" s="59" t="s">
        <v>2359</v>
      </c>
      <c r="C62" t="str" cm="1">
        <f t="array" ref="C62">_xll.BDP(B62&amp;" Equity","OPT_UNDL_TICKER")</f>
        <v>AMAT US</v>
      </c>
      <c r="D62" t="str" cm="1">
        <f t="array" ref="D62">_xll.BDP($B62&amp;" Index","mifid_Maturity_date")</f>
        <v>16/01/2026</v>
      </c>
      <c r="E62" cm="1">
        <f t="array" ref="E62">_xll.BDP($B62&amp;" Index","opt_days_expire")</f>
        <v>0</v>
      </c>
      <c r="F62" t="str" cm="1">
        <f t="array" ref="F62">_xll.BDP(B62&amp;" Equity","QUOTED_CURRENCY_REALTIME")</f>
        <v>USD</v>
      </c>
      <c r="G62" s="105" t="s">
        <v>247</v>
      </c>
      <c r="H62" s="96">
        <v>100</v>
      </c>
      <c r="I62" s="97">
        <f>IF(G62="Buy",L62,K62)</f>
        <v>0.01</v>
      </c>
      <c r="J62" s="19">
        <f>I62/S62</f>
        <v>3.058010458395768E-5</v>
      </c>
      <c r="K62" s="36" t="str" cm="1">
        <f t="array" ref="K62">_xll.BDP($B62&amp;" Equity","bid")</f>
        <v>#N/A N/A</v>
      </c>
      <c r="L62" s="36" cm="1">
        <f t="array" ref="L62">_xll.BDP($B62&amp;" Equity","ask")</f>
        <v>0.01</v>
      </c>
      <c r="M62" s="40" t="e">
        <f>(L62/K62-1)</f>
        <v>#VALUE!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100</v>
      </c>
      <c r="Q62" s="58">
        <f>P62/'Master P&amp;L'!$AD$5*10000</f>
        <v>4.74404006246952E-4</v>
      </c>
      <c r="R62" s="37" cm="1">
        <f t="array" ref="R62">_xll.BDP($C62&amp;" Equity","EST_PE_NXT_YR")*(T62/S62)</f>
        <v>24.341289750436754</v>
      </c>
      <c r="S62" s="36" cm="1">
        <f t="array" ref="S62">_xll.BDP(C62&amp;" Equity","LAST_PRICE")</f>
        <v>327.01</v>
      </c>
      <c r="T62" s="53" cm="1">
        <f t="array" ref="T62">_xll.BDP(B62&amp;" Equity","OPT_STRIKE_PX")</f>
        <v>290</v>
      </c>
      <c r="U62" s="40">
        <f>T62/S62-1</f>
        <v>-0.11317696706522729</v>
      </c>
      <c r="V62" s="37" cm="1">
        <f t="array" ref="V62">_xll.BDP($B62&amp;" Equity","ivol_mid")</f>
        <v>77.440839999999994</v>
      </c>
      <c r="W62" s="38" cm="1">
        <f t="array" ref="W62">_xll.BDP(B62&amp;" Equity","DELTA_MID_RT")</f>
        <v>-1.5119171002879739E-3</v>
      </c>
      <c r="X62" s="48">
        <f>Y62/'Master P&amp;L'!$AE$5</f>
        <v>-2.3455103873848874E-6</v>
      </c>
      <c r="Y62" s="15">
        <f>IF(G62="Sell", S62*W62*-H62*O62/N62, S62*W62*H62*O62/N62)</f>
        <v>-4944.1201096517034</v>
      </c>
      <c r="Z62" s="15" cm="1">
        <f t="array" ref="Z62">_xll.BDP($B62&amp;" Equity","opt_theta")*H62*O62/N62</f>
        <v>-1786.8400000000001</v>
      </c>
      <c r="AA62" s="19" cm="1">
        <f t="array" ref="AA62">_xll.BDP($B62&amp;" Equity","opt_theta")/I62</f>
        <v>-17.868400000000001</v>
      </c>
      <c r="AB62" s="36" t="str" cm="1">
        <f t="array" ref="AB62">_xll.BDP($C62&amp;" Equity","EXPECTED_REPORT_DT")</f>
        <v>12/02/2026</v>
      </c>
      <c r="AC62" s="15">
        <f>S62*H62*O62/N62</f>
        <v>3270100</v>
      </c>
      <c r="AD62" s="48">
        <f>AC62/'Master P&amp;L'!$AE$5</f>
        <v>1.5513485408281576E-3</v>
      </c>
      <c r="AE62" t="str">
        <f>B62&amp;" -&gt; Buy to open "&amp;H62&amp;"x"</f>
        <v>AMAT US 01/16/26 P290 -&gt; Buy to open 100x</v>
      </c>
      <c r="AJ62" t="s">
        <v>257</v>
      </c>
    </row>
    <row r="63" spans="1:36">
      <c r="A63" s="98" t="s">
        <v>256</v>
      </c>
      <c r="B63" s="59" t="s">
        <v>2360</v>
      </c>
      <c r="C63" t="str" cm="1">
        <f t="array" ref="C63">_xll.BDP(B63&amp;" Equity","OPT_UNDL_TICKER")</f>
        <v>AMAT US</v>
      </c>
      <c r="D63" t="str" cm="1">
        <f t="array" ref="D63">_xll.BDP($B63&amp;" Index","mifid_Maturity_date")</f>
        <v>16/01/2026</v>
      </c>
      <c r="E63" cm="1">
        <f t="array" ref="E63">_xll.BDP($B63&amp;" Index","opt_days_expire")</f>
        <v>0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100</v>
      </c>
      <c r="I63" s="97" t="str">
        <f>IF(G63="Buy",L63,K63)</f>
        <v>#N/A N/A</v>
      </c>
      <c r="J63" s="19" t="e">
        <f>I63/S63</f>
        <v>#VALUE!</v>
      </c>
      <c r="K63" s="36" t="str" cm="1">
        <f t="array" ref="K63">_xll.BDP($B63&amp;" Equity","bid")</f>
        <v>#N/A N/A</v>
      </c>
      <c r="L63" s="36" cm="1">
        <f t="array" ref="L63">_xll.BDP($B63&amp;" Equity","ask")</f>
        <v>1.95</v>
      </c>
      <c r="M63" s="40" t="e">
        <f>(L63/K63-1)</f>
        <v>#VALUE!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cm="1">
        <f t="array" ref="R63">_xll.BDP($C63&amp;" Equity","EST_PE_NXT_YR")*(T63/S63)</f>
        <v>23.501934931456173</v>
      </c>
      <c r="S63" s="36" cm="1">
        <f t="array" ref="S63">_xll.BDP(C63&amp;" Equity","LAST_PRICE")</f>
        <v>327.01</v>
      </c>
      <c r="T63" s="53" cm="1">
        <f t="array" ref="T63">_xll.BDP(B63&amp;" Equity","OPT_STRIKE_PX")</f>
        <v>280</v>
      </c>
      <c r="U63" s="40">
        <f>T63/S63-1</f>
        <v>-0.14375707164918505</v>
      </c>
      <c r="V63" s="37" cm="1">
        <f t="array" ref="V63">_xll.BDP($B63&amp;" Equity","ivol_mid")</f>
        <v>88.681629999999998</v>
      </c>
      <c r="W63" s="38" cm="1">
        <f t="array" ref="W63">_xll.BDP(B63&amp;" Equity","DELTA_MID_RT")</f>
        <v>-3.6987271159887314E-2</v>
      </c>
      <c r="X63" s="48">
        <f>Y63/'Master P&amp;L'!$AE$5</f>
        <v>5.7380149143106579E-5</v>
      </c>
      <c r="Y63" s="15">
        <f>IF(G63="Sell", S63*W63*-H63*O63/N63, S63*W63*H63*O63/N63)</f>
        <v>120952.0754199475</v>
      </c>
      <c r="Z63" s="15" cm="1">
        <f t="array" ref="Z63">_xll.BDP($B63&amp;" Equity","opt_theta")*H63*O63/N63</f>
        <v>-299.74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12/02/2026</v>
      </c>
      <c r="AC63" s="15">
        <f>S63*H63*O63/N63</f>
        <v>3270100</v>
      </c>
      <c r="AD63" s="48">
        <f>AC63/'Master P&amp;L'!$AE$5</f>
        <v>1.5513485408281576E-3</v>
      </c>
      <c r="AE63" t="str">
        <f>B63&amp;" -&gt; Buy to open "&amp;H63&amp;"x"</f>
        <v>AMAT US 01/16/26 P280 -&gt;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10</v>
      </c>
      <c r="W64" s="100" t="s">
        <v>252</v>
      </c>
      <c r="X64" s="122">
        <f>X62+X63</f>
        <v>5.5034638755721692E-5</v>
      </c>
      <c r="Y64" s="13">
        <f>Y62+Y63</f>
        <v>116007.9553102958</v>
      </c>
      <c r="AC64" s="100" t="s">
        <v>229</v>
      </c>
      <c r="AD64" s="122">
        <f>AD62</f>
        <v>1.5513485408281576E-3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>
        <f>AVERAGE(K62:L62)-AVERAGE(K63:L63)</f>
        <v>-1.94</v>
      </c>
      <c r="P65" s="100"/>
      <c r="Q65" s="108"/>
      <c r="S65" s="100"/>
      <c r="T65" s="102"/>
      <c r="W65" s="100"/>
      <c r="X65" s="122"/>
      <c r="Z65" s="3">
        <f>Y64/S62</f>
        <v>354.7535405959934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2382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USD</v>
      </c>
      <c r="G68" s="105" t="s">
        <v>247</v>
      </c>
      <c r="H68" s="96">
        <v>500</v>
      </c>
      <c r="I68" s="97">
        <f>IF(G68="Buy",L68,K68)</f>
        <v>1.8</v>
      </c>
      <c r="J68" s="19">
        <f>I68/S68</f>
        <v>2.8973376686089562E-3</v>
      </c>
      <c r="K68" s="36" cm="1">
        <f t="array" ref="K68">_xll.BDP($B68&amp;" Equity","bid")</f>
        <v>1.66</v>
      </c>
      <c r="L68" s="36" cm="1">
        <f t="array" ref="L68">_xll.BDP($B68&amp;" Equity","ask")</f>
        <v>1.8</v>
      </c>
      <c r="M68" s="40">
        <f>(L68/K68-1)</f>
        <v>8.4337349397590522E-2</v>
      </c>
      <c r="N68" s="36" cm="1">
        <f t="array" ref="N68">_xll.BDP(F68&amp;" Curncy","PX_LAST")</f>
        <v>1</v>
      </c>
      <c r="O68" s="162" cm="1">
        <f t="array" ref="O68">_xll.BDP(B68&amp;" Equity","OPT_MULTIPLIER")</f>
        <v>100</v>
      </c>
      <c r="P68" s="15">
        <f>IF(G68="Buy",((I68/N68)*H68*O68),((I68/N68)*-H68*O68))</f>
        <v>90000</v>
      </c>
      <c r="Q68" s="58">
        <f>P68/'Master P&amp;L'!$AD$5*10000</f>
        <v>0.42696360562225677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621.26</v>
      </c>
      <c r="T68" s="53" cm="1">
        <f t="array" ref="T68">_xll.BDP(B68&amp;" Equity","OPT_STRIKE_PX")</f>
        <v>623</v>
      </c>
      <c r="U68" s="40">
        <f>T68/S68-1</f>
        <v>2.8007597463219902E-3</v>
      </c>
      <c r="V68" s="37" cm="1">
        <f t="array" ref="V68">_xll.BDP($B68&amp;" Equity","ivol_mid")</f>
        <v>243.6644</v>
      </c>
      <c r="W68" s="38" cm="1">
        <f t="array" ref="W68">_xll.BDP(B68&amp;" Equity","DELTA_MID_RT")</f>
        <v>-0.6852993369102478</v>
      </c>
      <c r="X68" s="48">
        <f>Y68/'Master P&amp;L'!$AE$5</f>
        <v>-1.0098853129473879E-2</v>
      </c>
      <c r="Y68" s="15">
        <f>IF(G68="Sell", S68*W68*-H68*O68/N68, S68*W68*H68*O68/N68)</f>
        <v>-21287453.302443027</v>
      </c>
      <c r="Z68" s="15" cm="1">
        <f t="array" ref="Z68">_xll.BDP($B68&amp;" Equity","opt_theta")*H68*O68/N68</f>
        <v>0</v>
      </c>
      <c r="AA68" s="19" cm="1">
        <f t="array" ref="AA68">_xll.BDP($B68&amp;" Equity","opt_theta")/I68</f>
        <v>0</v>
      </c>
      <c r="AB68" s="36" t="str" cm="1">
        <f t="array" ref="AB68">_xll.BDP($C68&amp;" Equity","EXPECTED_REPORT_DT")</f>
        <v>#N/A N/A</v>
      </c>
      <c r="AC68" s="15">
        <f>S68*H68*O68/N68</f>
        <v>31063000</v>
      </c>
      <c r="AD68" s="48">
        <f>AC68/'Master P&amp;L'!$AE$5</f>
        <v>1.4736411646049068E-2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2383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USD</v>
      </c>
      <c r="G69" s="105" t="s">
        <v>248</v>
      </c>
      <c r="H69" s="96">
        <f>H68</f>
        <v>500</v>
      </c>
      <c r="I69" s="97">
        <f>IF(G69="Buy",L69,K69)</f>
        <v>0.7</v>
      </c>
      <c r="J69" s="19">
        <f>I69/S69</f>
        <v>1.1267424266812607E-3</v>
      </c>
      <c r="K69" s="36" cm="1">
        <f t="array" ref="K69">_xll.BDP($B69&amp;" Equity","bid")</f>
        <v>0.7</v>
      </c>
      <c r="L69" s="36" cm="1">
        <f t="array" ref="L69">_xll.BDP($B69&amp;" Equity","ask")</f>
        <v>0.81</v>
      </c>
      <c r="M69" s="40">
        <f>(L69/K69-1)</f>
        <v>0.15714285714285725</v>
      </c>
      <c r="N69" s="36" cm="1">
        <f t="array" ref="N69">_xll.BDP(F69&amp;" Curncy","PX_LAST")</f>
        <v>1</v>
      </c>
      <c r="O69" s="162" cm="1">
        <f t="array" ref="O69">_xll.BDP(B69&amp;" Equity","OPT_MULTIPLIER")</f>
        <v>100</v>
      </c>
      <c r="P69" s="15">
        <f>IF(G69="Buy",((I69/N69)*H69*O69),((I69/N69)*-H69*O69))</f>
        <v>-35000</v>
      </c>
      <c r="Q69" s="58">
        <f>P69/'Master P&amp;L'!$AD$5*10000</f>
        <v>-0.16604140218643318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621.26</v>
      </c>
      <c r="T69" s="53" cm="1">
        <f t="array" ref="T69">_xll.BDP(B69&amp;" Equity","OPT_STRIKE_PX")</f>
        <v>622</v>
      </c>
      <c r="U69" s="40">
        <f>T69/S69-1</f>
        <v>1.1911277082059524E-3</v>
      </c>
      <c r="V69" s="37" cm="1">
        <f t="array" ref="V69">_xll.BDP($B69&amp;" Equity","ivol_mid")</f>
        <v>156.3775</v>
      </c>
      <c r="W69" s="38" cm="1">
        <f t="array" ref="W69">_xll.BDP(B69&amp;" Equity","DELTA_MID_RT")</f>
        <v>-0.55325502157211304</v>
      </c>
      <c r="X69" s="48">
        <f>Y69/'Master P&amp;L'!$AE$5</f>
        <v>8.1529937431304156E-3</v>
      </c>
      <c r="Y69" s="15">
        <f>IF(G69="Sell", S69*W69*-H69*O69/N69, S69*W69*H69*O69/N69)</f>
        <v>17185760.735094547</v>
      </c>
      <c r="Z69" s="15" cm="1">
        <f t="array" ref="Z69">_xll.BDP($B69&amp;" Equity","opt_theta")*H69*O69/N69</f>
        <v>0</v>
      </c>
      <c r="AA69" s="19" cm="1">
        <f t="array" ref="AA69">_xll.BDP($B69&amp;" Equity","opt_theta")/I69</f>
        <v>0</v>
      </c>
      <c r="AB69" s="36" t="str" cm="1">
        <f t="array" ref="AB69">_xll.BDP($C69&amp;" Equity","EXPECTED_REPORT_DT")</f>
        <v>#N/A N/A</v>
      </c>
      <c r="AC69" s="15">
        <f>S69*H69*O69/N69</f>
        <v>31063000</v>
      </c>
      <c r="AD69" s="48">
        <f>AC69/'Master P&amp;L'!$AE$5</f>
        <v>1.4736411646049068E-2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>
        <f>I68-I69</f>
        <v>1.1000000000000001</v>
      </c>
      <c r="J70" s="100" t="s">
        <v>249</v>
      </c>
      <c r="K70" s="101">
        <f>K69/L68</f>
        <v>0.38888888888888884</v>
      </c>
      <c r="P70" s="100" t="s">
        <v>250</v>
      </c>
      <c r="Q70" s="108">
        <f>Q68+Q69</f>
        <v>0.26092220343582362</v>
      </c>
      <c r="S70" s="100" t="s">
        <v>251</v>
      </c>
      <c r="T70" s="102">
        <f>T68-T69</f>
        <v>1</v>
      </c>
      <c r="W70" s="100" t="s">
        <v>252</v>
      </c>
      <c r="X70" s="122">
        <f>X68+X69</f>
        <v>-1.9458593863434636E-3</v>
      </c>
      <c r="AC70" s="100" t="s">
        <v>229</v>
      </c>
      <c r="AD70" s="122">
        <f>AD68</f>
        <v>1.4736411646049068E-2</v>
      </c>
    </row>
    <row r="71" spans="1:31">
      <c r="H71" s="100" t="s">
        <v>253</v>
      </c>
      <c r="I71" s="102">
        <f>(T70-I70)/I70</f>
        <v>-9.0909090909090981E-2</v>
      </c>
      <c r="J71" s="100" t="s">
        <v>145</v>
      </c>
      <c r="K71" s="109">
        <f>AVERAGE(K68:L68)-AVERAGE(K69:L69)</f>
        <v>0.97499999999999998</v>
      </c>
      <c r="P71" s="100"/>
      <c r="Q71" s="108"/>
      <c r="S71" s="100"/>
      <c r="T71" s="102"/>
      <c r="W71" s="100"/>
      <c r="X71" s="122"/>
      <c r="Y71" s="13">
        <f>Y68+Y69</f>
        <v>-4101692.5673484802</v>
      </c>
      <c r="AC71" s="100"/>
      <c r="AD71" s="104"/>
    </row>
    <row r="72" spans="1:31">
      <c r="K72" s="64" t="e">
        <f>K62-K71</f>
        <v>#VALUE!</v>
      </c>
      <c r="L72" s="64">
        <f>L68-L69</f>
        <v>0.99</v>
      </c>
      <c r="P72" s="13">
        <f>-P62-P67</f>
        <v>-100</v>
      </c>
      <c r="Y72" s="64">
        <f>Y71/S68</f>
        <v>-6602.2157669067383</v>
      </c>
    </row>
    <row r="73" spans="1:31">
      <c r="I73" s="3"/>
      <c r="K73" s="64">
        <f>K71-K65</f>
        <v>2.915</v>
      </c>
    </row>
    <row r="74" spans="1:31">
      <c r="H74">
        <v>1</v>
      </c>
      <c r="I74" s="64"/>
      <c r="L74">
        <f>K75/L76</f>
        <v>4.9999999999999991</v>
      </c>
      <c r="P74" s="13"/>
    </row>
    <row r="75" spans="1:31">
      <c r="A75" s="98" t="s">
        <v>256</v>
      </c>
      <c r="B75" s="59" t="s">
        <v>2383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15/01/2026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USD</v>
      </c>
      <c r="G75" s="105" t="s">
        <v>247</v>
      </c>
      <c r="H75" s="96">
        <v>100</v>
      </c>
      <c r="I75" s="97">
        <f>IF(G75="Buy",L75,K75)</f>
        <v>0.81</v>
      </c>
      <c r="J75" s="19">
        <f>I75/S75</f>
        <v>1.3038019508740304E-3</v>
      </c>
      <c r="K75" s="36" cm="1">
        <f t="array" ref="K75">_xll.BDP($B75&amp;" Equity","bid")</f>
        <v>0.7</v>
      </c>
      <c r="L75" s="36" cm="1">
        <f t="array" ref="L75">_xll.BDP($B75&amp;" Equity","ask")</f>
        <v>0.81</v>
      </c>
      <c r="M75" s="40">
        <f>(L75/K75-1)</f>
        <v>0.15714285714285725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8100</v>
      </c>
      <c r="Q75" s="58">
        <f>P75/'Master P&amp;L'!$AD$5*10000</f>
        <v>3.842672450600311E-2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621.26</v>
      </c>
      <c r="T75" s="53" cm="1">
        <f t="array" ref="T75">_xll.BDP(B75&amp;" Equity","OPT_STRIKE_PX")</f>
        <v>622</v>
      </c>
      <c r="U75" s="19">
        <f>T75/S75-1</f>
        <v>1.1911277082059524E-3</v>
      </c>
      <c r="V75" s="37" cm="1">
        <f t="array" ref="V75">_xll.BDP($B75&amp;" Equity","ivol_mid")</f>
        <v>156.3775</v>
      </c>
      <c r="W75" s="38" cm="1">
        <f t="array" ref="W75">_xll.BDP(B75&amp;" Equity","DELTA_MID_RT")</f>
        <v>-0.55325502157211304</v>
      </c>
      <c r="X75" s="48">
        <f>Y75/'Master P&amp;L'!$AE$5</f>
        <v>-1.630598748626083E-3</v>
      </c>
      <c r="Y75" s="15">
        <f>IF(G75="Sell", S75*W75*-H75*O75/N75, S75*W75*H75*O75/N75)</f>
        <v>-3437152.1470189095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6212600</v>
      </c>
      <c r="AD75" s="48">
        <f>AC75/'Master P&amp;L'!$AE$5</f>
        <v>2.9472823292098138E-3</v>
      </c>
      <c r="AE75" t="str">
        <f>B75&amp;" -&gt; Buy to open "&amp;H75&amp;"x"</f>
        <v>QQQ US 01/15/26 P622 -&gt; Buy to open 100x</v>
      </c>
    </row>
    <row r="76" spans="1:31">
      <c r="A76" s="98" t="s">
        <v>256</v>
      </c>
      <c r="B76" s="59" t="s">
        <v>2384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15/01/2026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100</v>
      </c>
      <c r="I76" s="97">
        <f>IF(G76="Buy",L76,K76)</f>
        <v>0.12</v>
      </c>
      <c r="J76" s="19">
        <f>I76/S76</f>
        <v>1.9315584457393041E-4</v>
      </c>
      <c r="K76" s="36" cm="1">
        <f t="array" ref="K76">_xll.BDP($B76&amp;" Equity","bid")</f>
        <v>0.12</v>
      </c>
      <c r="L76" s="36" cm="1">
        <f t="array" ref="L76">_xll.BDP($B76&amp;" Equity","ask")</f>
        <v>0.14000000000000001</v>
      </c>
      <c r="M76" s="40">
        <f>(L76/K76-1)</f>
        <v>0.16666666666666674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-1200</v>
      </c>
      <c r="Q76" s="58">
        <f>P76/'Master P&amp;L'!$AD$5*10000</f>
        <v>-5.692848074963423E-3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621.26</v>
      </c>
      <c r="T76" s="53" cm="1">
        <f t="array" ref="T76">_xll.BDP(B76&amp;" Equity","OPT_STRIKE_PX")</f>
        <v>621</v>
      </c>
      <c r="U76" s="19">
        <f>T76/S76-1</f>
        <v>-4.1850432991019648E-4</v>
      </c>
      <c r="V76" s="37" cm="1">
        <f t="array" ref="V76">_xll.BDP($B76&amp;" Equity","ivol_mid")</f>
        <v>103.5667</v>
      </c>
      <c r="W76" s="38" cm="1">
        <f t="array" ref="W76">_xll.BDP(B76&amp;" Equity","DELTA_MID_RT")</f>
        <v>-0.22165763378143311</v>
      </c>
      <c r="X76" s="48">
        <f>Y76/'Master P&amp;L'!$AE$5</f>
        <v>6.53287627178478E-4</v>
      </c>
      <c r="Y76" s="15">
        <f>IF(G76="Sell", S76*W76*-H76*O76/N76, S76*W76*H76*O76/N76)</f>
        <v>1377070.2156305313</v>
      </c>
      <c r="Z76" s="15" cm="1">
        <f t="array" ref="Z76">_xll.BDP($B76&amp;" Equity","opt_theta")*H76*O76/N76</f>
        <v>0</v>
      </c>
      <c r="AA76" s="19" cm="1">
        <f t="array" ref="AA76">_xll.BDP($B76&amp;" Equity","opt_theta")/I76</f>
        <v>0</v>
      </c>
      <c r="AB76" s="36" t="str" cm="1">
        <f t="array" ref="AB76">_xll.BDP($C76&amp;" Equity","EXPECTED_REPORT_DT")</f>
        <v>#N/A N/A</v>
      </c>
      <c r="AC76" s="15">
        <f>S76*H76*O76/N76</f>
        <v>6212600</v>
      </c>
      <c r="AD76" s="48">
        <f>AC76/'Master P&amp;L'!$AE$5</f>
        <v>2.9472823292098138E-3</v>
      </c>
      <c r="AE76" t="str">
        <f>B76&amp;" -&gt; Buy to open "&amp;H76&amp;"x"</f>
        <v>QQQ US 01/15/26 P621 -&gt; Buy to open 100x</v>
      </c>
    </row>
    <row r="77" spans="1:31">
      <c r="H77" s="100" t="s">
        <v>116</v>
      </c>
      <c r="I77" s="102">
        <f>I75-I76*H74</f>
        <v>0.69000000000000006</v>
      </c>
      <c r="J77" s="100" t="s">
        <v>249</v>
      </c>
      <c r="K77" s="101">
        <f>K76/L75</f>
        <v>0.14814814814814814</v>
      </c>
      <c r="P77" s="100" t="s">
        <v>250</v>
      </c>
      <c r="Q77" s="108">
        <f>Q75+Q76</f>
        <v>3.2733876431039685E-2</v>
      </c>
      <c r="S77" s="100" t="s">
        <v>251</v>
      </c>
      <c r="T77" s="102">
        <f>T75-T76</f>
        <v>1</v>
      </c>
      <c r="W77" s="100" t="s">
        <v>252</v>
      </c>
      <c r="X77" s="122">
        <f>X75+X76</f>
        <v>-9.7731112144760503E-4</v>
      </c>
      <c r="AC77" s="100" t="s">
        <v>229</v>
      </c>
      <c r="AD77" s="122">
        <f>AD75</f>
        <v>2.9472823292098138E-3</v>
      </c>
    </row>
    <row r="78" spans="1:31">
      <c r="H78" s="100" t="s">
        <v>253</v>
      </c>
      <c r="I78" s="102">
        <f>(T77-I77)/I77</f>
        <v>0.44927536231884047</v>
      </c>
      <c r="J78" s="100" t="s">
        <v>145</v>
      </c>
      <c r="K78" s="109">
        <f>AVERAGE(K75:L75)-AVERAGE(K76:L76)</f>
        <v>0.625</v>
      </c>
      <c r="P78" s="100"/>
      <c r="Q78" s="108"/>
      <c r="S78" s="100"/>
      <c r="T78" s="102"/>
      <c r="W78" s="100"/>
      <c r="X78" s="122"/>
      <c r="Y78" s="15">
        <f>Y75+Y76</f>
        <v>-2060081.9313883781</v>
      </c>
      <c r="AC78" s="100"/>
      <c r="AD78" s="104"/>
    </row>
    <row r="79" spans="1:31">
      <c r="I79" s="64"/>
      <c r="K79" s="64">
        <f>K78-K71</f>
        <v>-0.35</v>
      </c>
      <c r="L79" s="64"/>
      <c r="N79" s="238">
        <f>K71-(K78*3)</f>
        <v>-0.9</v>
      </c>
      <c r="W79" s="50">
        <f>W75-W76</f>
        <v>-0.33159738779067993</v>
      </c>
      <c r="Y79" s="64">
        <f>Y78/S75</f>
        <v>-3315.9738779067993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2157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63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30.7</v>
      </c>
      <c r="J81" s="19">
        <f>I81/S81</f>
        <v>8.4631288766368024E-2</v>
      </c>
      <c r="K81" s="36">
        <f>_xll.BDP($B81&amp;" Equity","bid")</f>
        <v>30.2</v>
      </c>
      <c r="L81" s="36">
        <f>_xll.BDP($B81&amp;" Equity","ask")</f>
        <v>30.7</v>
      </c>
      <c r="M81" s="40">
        <f>(L81/K81-1)</f>
        <v>1.655629139072845E-2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307000</v>
      </c>
      <c r="Q81" s="58">
        <f>P81/'Master P&amp;L'!$AD$5*10000</f>
        <v>1.4564202991781423</v>
      </c>
      <c r="R81" s="37" cm="1">
        <f t="array" ref="R81">_xll.BDP($C81&amp;" Equity","EST_PE_NXT_YR")*(T81/S81)</f>
        <v>8.0086317757260908</v>
      </c>
      <c r="S81" s="36" cm="1">
        <f t="array" ref="S81">_xll.BDP(C81&amp;" Equity","LAST_PRICE")</f>
        <v>362.75</v>
      </c>
      <c r="T81" s="53" cm="1">
        <f t="array" ref="T81">_xll.BDP(B81&amp;" Equity","OPT_STRIKE_PX")</f>
        <v>350</v>
      </c>
      <c r="U81" s="19">
        <f>T81/S81-1</f>
        <v>-3.5148173673328786E-2</v>
      </c>
      <c r="V81" s="37" cm="1">
        <f t="array" ref="V81">_xll.BDP($B81&amp;" Equity","ivol_mid")</f>
        <v>62.599150000000002</v>
      </c>
      <c r="W81" s="38">
        <f>_xll.BDP(B81&amp;" Equity","DELTA_MID_RT")</f>
        <v>-0.38738715648651123</v>
      </c>
      <c r="X81" s="48">
        <f>Y81/'Master P&amp;L'!$AE$5</f>
        <v>-6.6665476394359689E-4</v>
      </c>
      <c r="Y81" s="15">
        <f>IF(G81="Sell", S81*W81*-H81*O81/N81, S81*W81*H81*O81/N81)</f>
        <v>-1405246.9101548195</v>
      </c>
      <c r="Z81" s="15" cm="1">
        <f t="array" ref="Z81">_xll.BDP($B81&amp;" Equity","opt_theta")*H81*O81/N81</f>
        <v>-2697.7</v>
      </c>
      <c r="AA81" s="19" cm="1">
        <f t="array" ref="AA81">_xll.BDP($B81&amp;" Equity","opt_theta")/I81</f>
        <v>-8.7872964169381108E-3</v>
      </c>
      <c r="AB81" s="36" t="str" cm="1">
        <f t="array" ref="AB81">_xll.BDP($C81&amp;" Equity","EXPECTED_REPORT_DT")</f>
        <v>20/03/2026</v>
      </c>
      <c r="AC81" s="15">
        <f>S81*H81*O81/N81</f>
        <v>3627500</v>
      </c>
      <c r="AD81" s="48">
        <f>AC81/'Master P&amp;L'!$AE$5</f>
        <v>1.7209005326608183E-3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>
        <f>AD81</f>
        <v>1.7209005326608183E-3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-234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-234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-291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-291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-291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-291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-420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-364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-238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-238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-393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-393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-389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-203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-203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-203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1901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-119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1902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-119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2057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-21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25683.5</v>
      </c>
      <c r="T153" s="53" cm="1">
        <f t="array" ref="T153">_xll.BDP(B153&amp;" Index","OPT_STRIKE_PX")</f>
        <v>25750</v>
      </c>
      <c r="U153" s="40">
        <f>T153/S153-1</f>
        <v>2.5892109720249135E-3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2057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-21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25683.5</v>
      </c>
      <c r="T154" s="53" cm="1">
        <f t="array" ref="T154">_xll.BDP(B154&amp;" Index","OPT_STRIKE_PX")</f>
        <v>25750</v>
      </c>
      <c r="U154" s="40">
        <f>T154/S154-1</f>
        <v>2.5892109720249135E-3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2176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6940.01</v>
      </c>
      <c r="T160" s="53" cm="1">
        <f t="array" ref="T160">_xll.BDP(B160&amp;" Index","OPT_STRIKE_PX")</f>
        <v>6950</v>
      </c>
      <c r="U160" s="40">
        <f>T160/S160-1</f>
        <v>1.4394791938339146E-3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69400100</v>
      </c>
      <c r="AD160" s="48">
        <f>AC160/'Master P&amp;L'!$AE$5</f>
        <v>3.2923685473939091E-2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3.2923685473939091E-2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-6.8000000000000007</v>
      </c>
    </row>
    <row r="168" spans="1:37">
      <c r="A168">
        <v>300</v>
      </c>
      <c r="H168" s="276">
        <v>1</v>
      </c>
      <c r="I168" s="64">
        <f>I170-I171</f>
        <v>-6.8000000000000007</v>
      </c>
      <c r="K168" s="129"/>
    </row>
    <row r="169" spans="1:37">
      <c r="A169" s="237">
        <v>1</v>
      </c>
      <c r="B169" s="385" t="s">
        <v>2106</v>
      </c>
      <c r="C169" t="str" cm="1">
        <f t="array" ref="C169">_xll.BDP(B169&amp;" Equity","OPT_UNDL_TICKER")</f>
        <v>META US</v>
      </c>
      <c r="D169" s="64">
        <f>A169*AVERAGE(K169:L169)</f>
        <v>7.7249999999999996</v>
      </c>
      <c r="E169" cm="1">
        <f t="array" ref="E169">_xll.BDP($B169&amp;" Index","opt_days_expire")</f>
        <v>91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7.65</v>
      </c>
      <c r="J169" s="19">
        <f>I169/S169</f>
        <v>1.2333736396614269E-2</v>
      </c>
      <c r="K169" s="36" cm="1">
        <f t="array" ref="K169">_xll.BDP($B169&amp;" Equity","bid")</f>
        <v>7.65</v>
      </c>
      <c r="L169" s="36" cm="1">
        <f t="array" ref="L169">_xll.BDP($B169&amp;" Equity","ask")</f>
        <v>7.8</v>
      </c>
      <c r="M169" s="40">
        <f>(L169/K169-1)</f>
        <v>1.9607843137254832E-2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-30600</v>
      </c>
      <c r="Q169" s="58">
        <f>P169/'Master P&amp;L'!$AD$5*10000</f>
        <v>-0.14516762591156729</v>
      </c>
      <c r="R169" s="37" cm="1">
        <f t="array" ref="R169">_xll.BDP($C169&amp;" Equity","EST_PE_NXT_YR")*(T169/S169)</f>
        <v>22.140899434094585</v>
      </c>
      <c r="S169" s="36" cm="1">
        <f t="array" ref="S169">_xll.BDP(C169&amp;" Equity","LAST_PRICE")</f>
        <v>620.25</v>
      </c>
      <c r="T169" s="53" cm="1">
        <f t="array" ref="T169">_xll.BDP(B169&amp;" Equity","OPT_STRIKE_PX")</f>
        <v>750</v>
      </c>
      <c r="U169" s="40">
        <f>T169/S169-1</f>
        <v>0.20918984280532049</v>
      </c>
      <c r="V169" s="37" cm="1">
        <f t="array" ref="V169">_xll.BDP($B169&amp;" Equity","ivol_mid")</f>
        <v>33.613669999999999</v>
      </c>
      <c r="W169" s="38" cm="1">
        <f t="array" ref="W169">_xll.BDP(B169&amp;" Equity","DELTA_MID_RT")</f>
        <v>0.15478511154651642</v>
      </c>
      <c r="X169" s="48">
        <f>Y169/'Master P&amp;L'!$AE$5</f>
        <v>-1.8218150969914591E-4</v>
      </c>
      <c r="Y169" s="15">
        <f>IF(G169="Sell", S169*W169*-H169*O169/N169, S169*W169*H169*O169/N169)</f>
        <v>-384021.86174690723</v>
      </c>
      <c r="Z169" s="15" cm="1">
        <f t="array" ref="Z169">_xll.BDP($B169&amp;" Equity","opt_theta")*H169*O169/N169</f>
        <v>-553.78400000000011</v>
      </c>
      <c r="AA169" s="19" cm="1">
        <f t="array" ref="AA169">_xll.BDP($B169&amp;" Equity","opt_theta")/I169</f>
        <v>-1.8097516339869283E-2</v>
      </c>
      <c r="AB169" s="36" t="str" cm="1">
        <f t="array" ref="AB169">_xll.BDP($C169&amp;" Equity","EXPECTED_REPORT_DT")</f>
        <v>28/01/2026</v>
      </c>
      <c r="AC169" s="15">
        <f>S169*H169*O169/N169</f>
        <v>2481000</v>
      </c>
      <c r="AD169" s="19">
        <f>AC169/'Master P&amp;L'!$AE$5</f>
        <v>1.1769963394986879E-3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2107</v>
      </c>
      <c r="C170" t="str" cm="1">
        <f t="array" ref="C170">_xll.BDP(B170&amp;" Equity","OPT_UNDL_TICKER")</f>
        <v>META US</v>
      </c>
      <c r="D170" s="64">
        <f>A170*AVERAGE(K170:L170)</f>
        <v>36.35</v>
      </c>
      <c r="E170" cm="1">
        <f t="array" ref="E170">_xll.BDP($B170&amp;" Index","opt_days_expire")</f>
        <v>91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18.25</v>
      </c>
      <c r="J170" s="19">
        <f>I170/S170</f>
        <v>2.9423619508262798E-2</v>
      </c>
      <c r="K170" s="36" cm="1">
        <f t="array" ref="K170">_xll.BDP($B170&amp;" Equity","bid")</f>
        <v>18.100000000000001</v>
      </c>
      <c r="L170" s="36" cm="1">
        <f t="array" ref="L170">_xll.BDP($B170&amp;" Equity","ask")</f>
        <v>18.25</v>
      </c>
      <c r="M170" s="40">
        <f>(L170/K170-1)</f>
        <v>8.2872928176793703E-3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73000</v>
      </c>
      <c r="Q170" s="58">
        <f>P170/'Master P&amp;L'!$AD$5*10000</f>
        <v>0.34631492456027496</v>
      </c>
      <c r="R170" s="37" cm="1">
        <f t="array" ref="R170">_xll.BDP($C170&amp;" Equity","EST_PE_NXT_YR")*(T170/S170)</f>
        <v>20.369627479367015</v>
      </c>
      <c r="S170" s="36" cm="1">
        <f t="array" ref="S170">_xll.BDP(C170&amp;" Equity","LAST_PRICE")</f>
        <v>620.25</v>
      </c>
      <c r="T170" s="53" cm="1">
        <f t="array" ref="T170">_xll.BDP(B170&amp;" Equity","OPT_STRIKE_PX")</f>
        <v>690</v>
      </c>
      <c r="U170" s="40">
        <f>T170/S170-1</f>
        <v>0.11245465538089472</v>
      </c>
      <c r="V170" s="37" cm="1">
        <f t="array" ref="V170">_xll.BDP($B170&amp;" Equity","ivol_mid")</f>
        <v>33.31944</v>
      </c>
      <c r="W170" s="38" cm="1">
        <f t="array" ref="W170">_xll.BDP(B170&amp;" Equity","DELTA_MID_RT")</f>
        <v>0.30412530899047852</v>
      </c>
      <c r="X170" s="48">
        <f>Y170/'Master P&amp;L'!$AE$5</f>
        <v>3.5795437543070059E-4</v>
      </c>
      <c r="Y170" s="15">
        <f>IF(G170="Sell", S170*W170*-H170*O170/N170, S170*W170*H170*O170/N170)</f>
        <v>754534.8916053772</v>
      </c>
      <c r="Z170" s="15" cm="1">
        <f t="array" ref="Z170">_xll.BDP($B170&amp;" Equity","opt_theta")*H170*O170/N170</f>
        <v>-789.60799999999995</v>
      </c>
      <c r="AA170" s="19" cm="1">
        <f t="array" ref="AA170">_xll.BDP($B170&amp;" Equity","opt_theta")/I170</f>
        <v>-1.0816547945205479E-2</v>
      </c>
      <c r="AB170" s="36" t="str" cm="1">
        <f t="array" ref="AB170">_xll.BDP($C170&amp;" Equity","EXPECTED_REPORT_DT")</f>
        <v>28/01/2026</v>
      </c>
      <c r="AC170" s="15">
        <f>S170*H170*O170/N170</f>
        <v>2481000</v>
      </c>
      <c r="AD170" s="48">
        <f>AC170/'Master P&amp;L'!$AE$5</f>
        <v>1.1769963394986879E-3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2108</v>
      </c>
      <c r="C171" t="str" cm="1">
        <f t="array" ref="C171">_xll.BDP(B171&amp;" Equity","OPT_UNDL_TICKER")</f>
        <v>META US</v>
      </c>
      <c r="D171" s="64">
        <f>A171*AVERAGE(K171:L171)</f>
        <v>50.3</v>
      </c>
      <c r="E171" cm="1">
        <f t="array" ref="E171">_xll.BDP($B171&amp;" Index","opt_days_expire")</f>
        <v>91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25.05</v>
      </c>
      <c r="J171" s="19">
        <f>I171/S171</f>
        <v>4.0386940749697703E-2</v>
      </c>
      <c r="K171" s="36" cm="1">
        <f t="array" ref="K171">_xll.BDP($B171&amp;" Equity","bid")</f>
        <v>25.05</v>
      </c>
      <c r="L171" s="36" cm="1">
        <f t="array" ref="L171">_xll.BDP($B171&amp;" Equity","ask")</f>
        <v>25.25</v>
      </c>
      <c r="M171" s="40">
        <f>(L171/K171-1)</f>
        <v>7.9840319361277334E-3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-100200</v>
      </c>
      <c r="Q171" s="58">
        <f>P171/'Master P&amp;L'!$AD$5*10000</f>
        <v>-0.47535281425944587</v>
      </c>
      <c r="R171" s="37" cm="1">
        <f t="array" ref="R171">_xll.BDP($C171&amp;" Equity","EST_PE_NXT_YR")*(T171/S171)</f>
        <v>17.417507554821071</v>
      </c>
      <c r="S171" s="36" cm="1">
        <f t="array" ref="S171">_xll.BDP(C171&amp;" Equity","LAST_PRICE")</f>
        <v>620.25</v>
      </c>
      <c r="T171" s="53" cm="1">
        <f t="array" ref="T171">_xll.BDP(B171&amp;" Equity","OPT_STRIKE_PX")</f>
        <v>590</v>
      </c>
      <c r="U171" s="40">
        <f>T171/S171-1</f>
        <v>-4.8770656993147976E-2</v>
      </c>
      <c r="V171" s="37" cm="1">
        <f t="array" ref="V171">_xll.BDP(B171&amp;" Equity","ivol_mid")</f>
        <v>34.075279999999999</v>
      </c>
      <c r="W171" s="38" cm="1">
        <f t="array" ref="W171">_xll.BDP(B171&amp;" Equity","DELTA_MID_RT")</f>
        <v>-0.33482342958450317</v>
      </c>
      <c r="X171" s="48">
        <f>Y171/'Master P&amp;L'!$AE$5</f>
        <v>3.9408595099935687E-4</v>
      </c>
      <c r="Y171" s="15">
        <f>IF(G171="Sell", S171*W171*-H171*O171/N171, S171*W171*H171*O171/N171)</f>
        <v>830696.92879915237</v>
      </c>
      <c r="Z171" s="15" cm="1">
        <f t="array" ref="Z171">_xll.BDP($B171&amp;" Equity","opt_theta")*H171*O171/N171</f>
        <v>-850.35199999999998</v>
      </c>
      <c r="AA171" s="19" cm="1">
        <f t="array" ref="AA171">_xll.BDP($B171&amp;" Equity","opt_theta")/I171</f>
        <v>-8.4865469061876243E-3</v>
      </c>
      <c r="AB171" s="36" t="str" cm="1">
        <f t="array" ref="AB171">_xll.BDP($C171&amp;" Equity","EXPECTED_REPORT_DT")</f>
        <v>28/01/2026</v>
      </c>
      <c r="AC171" s="15">
        <f>S171*H171*O171/N171</f>
        <v>2481000</v>
      </c>
      <c r="AD171" s="19">
        <f>AC171/'Master P&amp;L'!$AE$5</f>
        <v>1.1769963394986879E-3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-14.450000000000001</v>
      </c>
      <c r="J172" s="100" t="s">
        <v>249</v>
      </c>
      <c r="K172" s="101">
        <f>K171/L170</f>
        <v>1.3726027397260274</v>
      </c>
      <c r="P172" s="130">
        <f>P170+P171+P169</f>
        <v>-57800</v>
      </c>
      <c r="Q172" s="58">
        <f>P172/'Master P&amp;L'!$AD$5*10000</f>
        <v>-0.27420551561073825</v>
      </c>
      <c r="S172" s="100" t="s">
        <v>251</v>
      </c>
      <c r="T172" s="102"/>
      <c r="W172" s="100" t="s">
        <v>252</v>
      </c>
      <c r="X172" s="122">
        <f>X170+X171+X169</f>
        <v>5.6985881673091154E-4</v>
      </c>
      <c r="AC172" s="100" t="s">
        <v>229</v>
      </c>
      <c r="AD172" s="122">
        <f>AD170</f>
        <v>1.1769963394986879E-3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-14.699999999999998</v>
      </c>
      <c r="P173" s="100"/>
      <c r="Q173" s="108"/>
      <c r="S173" s="100"/>
      <c r="T173" s="102"/>
      <c r="W173" s="100"/>
      <c r="X173" s="122"/>
      <c r="Y173" s="13">
        <f>(Y169+Y170+Y171)/S170</f>
        <v>1936.6545081138611</v>
      </c>
      <c r="AC173" s="100"/>
      <c r="AD173" s="104"/>
    </row>
    <row r="174" spans="1:37">
      <c r="D174" s="64"/>
      <c r="H174" s="96"/>
      <c r="I174" s="64">
        <f>(I170*A170)-(I171*A171)-(I169*A169)</f>
        <v>-21.25</v>
      </c>
      <c r="K174" s="64"/>
      <c r="N174" s="36"/>
      <c r="O174" s="162"/>
      <c r="P174" s="15"/>
      <c r="Q174" s="58"/>
    </row>
    <row r="175" spans="1:37">
      <c r="I175" s="21">
        <f>I171/I170</f>
        <v>1.3726027397260274</v>
      </c>
    </row>
    <row r="176" spans="1:37">
      <c r="I176" s="21"/>
    </row>
    <row r="177" spans="1:37">
      <c r="H177" s="276">
        <v>1</v>
      </c>
      <c r="I177" s="64">
        <f>I179-I178</f>
        <v>17.350000000000001</v>
      </c>
      <c r="J177" s="18">
        <f>T178-T179</f>
        <v>-623.79999999999995</v>
      </c>
      <c r="K177" s="276">
        <f>(J177-I177)/I177</f>
        <v>-36.95389048991354</v>
      </c>
      <c r="Q177" s="276">
        <f>Q179+Q178</f>
        <v>0.16461819016769236</v>
      </c>
    </row>
    <row r="178" spans="1:37">
      <c r="A178" s="237"/>
      <c r="B178" t="s">
        <v>2381</v>
      </c>
      <c r="C178" t="str" cm="1">
        <f t="array" ref="C178">_xll.BDP(B178&amp;" Equity","OPT_UNDL_TICKER")</f>
        <v>EWT US</v>
      </c>
      <c r="D178" s="64">
        <f>A178*AVERAGE(K178:L178)</f>
        <v>0</v>
      </c>
      <c r="E178" cm="1">
        <f t="array" ref="E178">_xll.BDP($B178&amp;" Index","opt_days_expire")</f>
        <v>0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0.9</v>
      </c>
      <c r="J178" s="19">
        <f>I178/S178</f>
        <v>1.3365013365013365E-2</v>
      </c>
      <c r="K178" s="36" cm="1">
        <f t="array" ref="K178">_xll.BDP($B178&amp;" Equity","bid")</f>
        <v>0.9</v>
      </c>
      <c r="L178" s="36" cm="1">
        <f t="array" ref="L178">_xll.BDP($B178&amp;" Equity","ask")</f>
        <v>1.45</v>
      </c>
      <c r="M178" s="40">
        <f>(L178/K178-1)</f>
        <v>0.61111111111111094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-1800</v>
      </c>
      <c r="Q178" s="58">
        <f>P178/'Master P&amp;L'!$AD$5*10000</f>
        <v>-8.5392721124451353E-3</v>
      </c>
      <c r="R178" s="37" t="e" cm="1">
        <f t="array" ref="R178">_xll.BDP($C178&amp;" Equity","EST_PE_NXT_YR")*(T178/S178)</f>
        <v>#VALUE!</v>
      </c>
      <c r="S178" s="36" cm="1">
        <f t="array" ref="S178">_xll.BDP(C178&amp;" Equity","LAST_PRICE")</f>
        <v>67.34</v>
      </c>
      <c r="T178" s="53" cm="1">
        <f t="array" ref="T178">_xll.BDP(B178&amp;" Equity","OPT_STRIKE_PX")</f>
        <v>66.2</v>
      </c>
      <c r="U178" s="40">
        <f>T178/S178-1</f>
        <v>-1.6929016929016938E-2</v>
      </c>
      <c r="V178" s="37" cm="1">
        <f t="array" ref="V178">_xll.BDP($B178&amp;" Equity","ivol_mid")</f>
        <v>23.47166</v>
      </c>
      <c r="W178" s="38" cm="1">
        <f t="array" ref="W178">_xll.BDP(B178&amp;" Equity","DELTA_MID_RT")</f>
        <v>0.94442856311798096</v>
      </c>
      <c r="X178" s="48">
        <f>Y178/'Master P&amp;L'!$AE$5</f>
        <v>-6.0342120662158717E-5</v>
      </c>
      <c r="Y178" s="15">
        <f>IF(G178="Sell", S178*W178*-H178*O178/N178, S178*W178*H178*O178/N178)</f>
        <v>-127195.63888072966</v>
      </c>
      <c r="Z178" s="15" cm="1">
        <f t="array" ref="Z178">_xll.BDP($B178&amp;" Equity","opt_theta")*H178*O178/N178</f>
        <v>-141.73599999999999</v>
      </c>
      <c r="AA178" s="19" cm="1">
        <f t="array" ref="AA178">_xll.BDP($B178&amp;" Equity","opt_theta")/I178</f>
        <v>-7.8742222222222227E-2</v>
      </c>
      <c r="AB178" s="36" t="str" cm="1">
        <f t="array" ref="AB178">_xll.BDP($C178&amp;" Equity","EXPECTED_REPORT_DT")</f>
        <v>#N/A N/A</v>
      </c>
      <c r="AC178" s="15">
        <f>S178*H178*O178/N178</f>
        <v>134680.00000000003</v>
      </c>
      <c r="AD178" s="19">
        <f>AC178/'Master P&amp;L'!$AE$5</f>
        <v>6.3892731561339506E-5</v>
      </c>
      <c r="AE178" t="str">
        <f>B178  &amp; " - Buy to open " &amp;  "-" &amp; H178 &amp;"x"</f>
        <v>EWT US 01/16/26 C66.2 - Buy to open -20x</v>
      </c>
      <c r="AK178" s="59"/>
    </row>
    <row r="179" spans="1:37">
      <c r="A179" s="237"/>
      <c r="B179" s="73" t="s">
        <v>2107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91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18.25</v>
      </c>
      <c r="J179" s="19">
        <f>I179/S179</f>
        <v>2.9423619508262798E-2</v>
      </c>
      <c r="K179" s="36" cm="1">
        <f t="array" ref="K179">_xll.BDP($B179&amp;" Equity","bid")</f>
        <v>18.100000000000001</v>
      </c>
      <c r="L179" s="36" cm="1">
        <f t="array" ref="L179">_xll.BDP($B179&amp;" Equity","ask")</f>
        <v>18.25</v>
      </c>
      <c r="M179" s="40">
        <f>(L179/K179-1)</f>
        <v>8.2872928176793703E-3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36500</v>
      </c>
      <c r="Q179" s="58">
        <f>P179/'Master P&amp;L'!$AD$5*10000</f>
        <v>0.17315746228013748</v>
      </c>
      <c r="R179" s="37" cm="1">
        <f t="array" ref="R179">_xll.BDP($C179&amp;" Equity","EST_PE_NXT_YR")*(T179/S179)</f>
        <v>20.369627479367015</v>
      </c>
      <c r="S179" s="36" cm="1">
        <f t="array" ref="S179">_xll.BDP(C179&amp;" Equity","LAST_PRICE")</f>
        <v>620.25</v>
      </c>
      <c r="T179" s="53" cm="1">
        <f t="array" ref="T179">_xll.BDP(B179&amp;" Equity","OPT_STRIKE_PX")</f>
        <v>690</v>
      </c>
      <c r="U179" s="40">
        <f>T179/S179-1</f>
        <v>0.11245465538089472</v>
      </c>
      <c r="V179" s="37" cm="1">
        <f t="array" ref="V179">_xll.BDP($B179&amp;" Equity","ivol_mid")</f>
        <v>33.31944</v>
      </c>
      <c r="W179" s="38" cm="1">
        <f t="array" ref="W179">_xll.BDP(B179&amp;" Equity","DELTA_MID_RT")</f>
        <v>0.30412530899047852</v>
      </c>
      <c r="X179" s="48">
        <f>Y179/'Master P&amp;L'!$AE$5</f>
        <v>1.7897718771535029E-4</v>
      </c>
      <c r="Y179" s="15">
        <f>IF(G179="Sell", S179*W179*-H179*O179/N179, S179*W179*H179*O179/N179)</f>
        <v>377267.4458026886</v>
      </c>
      <c r="Z179" s="15" cm="1">
        <f t="array" ref="Z179">_xll.BDP($B179&amp;" Equity","opt_theta")*H179*O179/N179</f>
        <v>-394.80399999999997</v>
      </c>
      <c r="AA179" s="19" cm="1">
        <f t="array" ref="AA179">_xll.BDP($B179&amp;" Equity","opt_theta")/I179</f>
        <v>-1.0816547945205479E-2</v>
      </c>
      <c r="AB179" s="36" t="str" cm="1">
        <f t="array" ref="AB179">_xll.BDP($C179&amp;" Equity","EXPECTED_REPORT_DT")</f>
        <v>28/01/2026</v>
      </c>
      <c r="AC179" s="15">
        <f>S179*H179*O179/N179</f>
        <v>1240500</v>
      </c>
      <c r="AD179" s="48">
        <f>AC179/'Master P&amp;L'!$AE$5</f>
        <v>5.8849816974934394E-4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2155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91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28.95</v>
      </c>
      <c r="J180" s="19">
        <f>I180/S180</f>
        <v>4.6674727932285366E-2</v>
      </c>
      <c r="K180" s="36" cm="1">
        <f t="array" ref="K180">_xll.BDP($B180&amp;" Equity","bid")</f>
        <v>28.95</v>
      </c>
      <c r="L180" s="36" cm="1">
        <f t="array" ref="L180">_xll.BDP($B180&amp;" Equity","ask")</f>
        <v>29.25</v>
      </c>
      <c r="M180" s="40">
        <f>(L180/K180-1)</f>
        <v>1.0362694300518172E-2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-57900</v>
      </c>
      <c r="Q180" s="58">
        <f>P180/'Master P&amp;L'!$AD$5*10000</f>
        <v>-0.27467991961698518</v>
      </c>
      <c r="R180" s="37" cm="1">
        <f t="array" ref="R180">_xll.BDP($C180&amp;" Equity","EST_PE_NXT_YR")*(T180/S180)</f>
        <v>17.712719547275668</v>
      </c>
      <c r="S180" s="36" cm="1">
        <f t="array" ref="S180">_xll.BDP(C180&amp;" Equity","LAST_PRICE")</f>
        <v>620.25</v>
      </c>
      <c r="T180" s="53" cm="1">
        <f t="array" ref="T180">_xll.BDP(B180&amp;" Equity","OPT_STRIKE_PX")</f>
        <v>600</v>
      </c>
      <c r="U180" s="40">
        <f>T180/S180-1</f>
        <v>-3.2648125755743607E-2</v>
      </c>
      <c r="V180" s="37" cm="1">
        <f t="array" ref="V180">_xll.BDP(B180&amp;" Equity","ivol_mid")</f>
        <v>33.878639999999997</v>
      </c>
      <c r="W180" s="38" cm="1">
        <f t="array" ref="W180">_xll.BDP(B180&amp;" Equity","DELTA_MID_RT")</f>
        <v>-0.37214860320091248</v>
      </c>
      <c r="X180" s="48">
        <f>Y180/'Master P&amp;L'!$AE$5</f>
        <v>2.1900877185851181E-4</v>
      </c>
      <c r="Y180" s="15">
        <f>IF(G180="Sell", S180*W180*-H180*O180/N180, S180*W180*H180*O180/N180)</f>
        <v>461650.34227073193</v>
      </c>
      <c r="Z180" s="15" cm="1">
        <f t="array" ref="Z180">_xll.BDP($B180&amp;" Equity","opt_theta")*H180*O180/N180</f>
        <v>-439.65800000000002</v>
      </c>
      <c r="AA180" s="19" cm="1">
        <f t="array" ref="AA180">_xll.BDP($B180&amp;" Equity","opt_theta")/I180</f>
        <v>-7.5934024179620035E-3</v>
      </c>
      <c r="AB180" s="36" t="str" cm="1">
        <f t="array" ref="AB180">_xll.BDP($C180&amp;" Equity","EXPECTED_REPORT_DT")</f>
        <v>28/01/2026</v>
      </c>
      <c r="AC180" s="15">
        <f>S180*H180*O180/N180</f>
        <v>1240500</v>
      </c>
      <c r="AD180" s="19">
        <f>AC180/'Master P&amp;L'!$AE$5</f>
        <v>5.8849816974934394E-4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-11.599999999999998</v>
      </c>
      <c r="J181" s="100" t="s">
        <v>249</v>
      </c>
      <c r="K181" s="101">
        <f>K180/L179</f>
        <v>1.5863013698630137</v>
      </c>
      <c r="P181" s="130">
        <f>P179+P180+P178</f>
        <v>-23200</v>
      </c>
      <c r="Q181" s="58">
        <f>P181/'Master P&amp;L'!$AD$5*10000</f>
        <v>-0.11006172944929285</v>
      </c>
      <c r="S181" s="100" t="s">
        <v>251</v>
      </c>
      <c r="T181" s="102"/>
      <c r="W181" s="100" t="s">
        <v>252</v>
      </c>
      <c r="X181" s="122">
        <f>X179+X180+X178</f>
        <v>3.3764383891170339E-4</v>
      </c>
      <c r="AC181" s="100" t="s">
        <v>229</v>
      </c>
      <c r="AD181" s="122">
        <f>AD179</f>
        <v>5.8849816974934394E-4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-12.100000000000001</v>
      </c>
      <c r="P182" s="100"/>
      <c r="Q182" s="108"/>
      <c r="S182" s="100"/>
      <c r="T182" s="102"/>
      <c r="W182" s="100"/>
      <c r="X182" s="122"/>
      <c r="Y182" s="13">
        <f>(Y178+Y179+Y180)/S179</f>
        <v>1147.4762582711662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5.48</v>
      </c>
      <c r="J185" s="18">
        <f>T186-T187</f>
        <v>15</v>
      </c>
      <c r="K185" s="276">
        <f>(J185-I185)/I185</f>
        <v>1.7372262773722627</v>
      </c>
      <c r="Q185" s="276">
        <f>Q187+Q186</f>
        <v>5.1994679084665936E-2</v>
      </c>
    </row>
    <row r="186" spans="1:37">
      <c r="A186" s="237">
        <v>1</v>
      </c>
      <c r="B186" s="132" t="s">
        <v>2131</v>
      </c>
      <c r="C186" t="str" cm="1">
        <f t="array" ref="C186">_xll.BDP(B186&amp;" Equity","OPT_UNDL_TICKER")</f>
        <v>NFLX US</v>
      </c>
      <c r="D186" s="64">
        <f>A186*AVERAGE(K186:L186)</f>
        <v>1.2749999999999999</v>
      </c>
      <c r="E186" cm="1">
        <f t="array" ref="E186">_xll.BDP($B186&amp;" Index","opt_days_expire")</f>
        <v>63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1.22</v>
      </c>
      <c r="J186" s="19">
        <f>I186/S186</f>
        <v>1.3863636363636363E-2</v>
      </c>
      <c r="K186" s="36" cm="1">
        <f t="array" ref="K186">_xll.BDP($B186&amp;" Equity","bid")</f>
        <v>1.22</v>
      </c>
      <c r="L186" s="36" cm="1">
        <f t="array" ref="L186">_xll.BDP($B186&amp;" Equity","ask")</f>
        <v>1.33</v>
      </c>
      <c r="M186" s="40">
        <f>(L186/K186-1)</f>
        <v>9.0163934426229497E-2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-2440</v>
      </c>
      <c r="Q186" s="58">
        <f>P186/'Master P&amp;L'!$AD$5*10000</f>
        <v>-1.1575457752425628E-2</v>
      </c>
      <c r="R186" s="37" cm="1">
        <f t="array" ref="R186">_xll.BDP($C186&amp;" Equity","EST_PE_NXT_YR")*(T186/S186)</f>
        <v>32.769700277888049</v>
      </c>
      <c r="S186" s="36" cm="1">
        <f t="array" ref="S186">_xll.BDP(C186&amp;" Equity","LAST_PRICE")</f>
        <v>88</v>
      </c>
      <c r="T186" s="53" cm="1">
        <f t="array" ref="T186">_xll.BDP(B186&amp;" Equity","OPT_STRIKE_PX")</f>
        <v>105</v>
      </c>
      <c r="U186" s="40">
        <f>T186/S186-1</f>
        <v>0.19318181818181812</v>
      </c>
      <c r="V186" s="37" cm="1">
        <f t="array" ref="V186">_xll.BDP($B186&amp;" Equity","ivol_mid")</f>
        <v>40.990549999999999</v>
      </c>
      <c r="W186" s="38" cm="1">
        <f t="array" ref="W186">_xll.BDP(B186&amp;" Equity","DELTA_MID_RT")</f>
        <v>0.17449519038200378</v>
      </c>
      <c r="X186" s="48">
        <f>Y186/'Master P&amp;L'!$AE$5</f>
        <v>-1.4569494260296306E-5</v>
      </c>
      <c r="Y186" s="15">
        <f>IF(G186="Sell", S186*W186*-H186*O186/N186, S186*W186*H186*O186/N186)</f>
        <v>-30711.153507232666</v>
      </c>
      <c r="Z186" s="15" cm="1">
        <f t="array" ref="Z186">_xll.BDP($B186&amp;" Equity","opt_theta")*H186*O186/N186</f>
        <v>-63.24799999999999</v>
      </c>
      <c r="AA186" s="19" cm="1">
        <f t="array" ref="AA186">_xll.BDP($B186&amp;" Equity","opt_theta")/I186</f>
        <v>-2.5921311475409835E-2</v>
      </c>
      <c r="AB186" s="36" t="str" cm="1">
        <f t="array" ref="AB186">_xll.BDP($C186&amp;" Equity","EXPECTED_REPORT_DT")</f>
        <v>20/01/2026</v>
      </c>
      <c r="AC186" s="15">
        <f>S186*H186*O186/N186</f>
        <v>176000</v>
      </c>
      <c r="AD186" s="19">
        <f>AC186/'Master P&amp;L'!$AE$5</f>
        <v>8.3495105099463542E-5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2129</v>
      </c>
      <c r="C187" t="str" cm="1">
        <f t="array" ref="C187">_xll.BDP(B187&amp;" Equity","OPT_UNDL_TICKER")</f>
        <v>NFLX US</v>
      </c>
      <c r="D187" s="64">
        <f>A187*AVERAGE(K187:L187)</f>
        <v>13.2</v>
      </c>
      <c r="E187" cm="1">
        <f t="array" ref="E187">_xll.BDP($B187&amp;" Index","opt_days_expire")</f>
        <v>63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6.7</v>
      </c>
      <c r="J187" s="19">
        <f>I187/S187</f>
        <v>7.6136363636363641E-2</v>
      </c>
      <c r="K187" s="36" cm="1">
        <f t="array" ref="K187">_xll.BDP($B187&amp;" Equity","bid")</f>
        <v>6.5</v>
      </c>
      <c r="L187" s="36" cm="1">
        <f t="array" ref="L187">_xll.BDP($B187&amp;" Equity","ask")</f>
        <v>6.7</v>
      </c>
      <c r="M187" s="40">
        <f>(L187/K187-1)</f>
        <v>3.0769230769230882E-2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13400</v>
      </c>
      <c r="Q187" s="58">
        <f>P187/'Master P&amp;L'!$AD$5*10000</f>
        <v>6.3570136837091562E-2</v>
      </c>
      <c r="R187" s="37" cm="1">
        <f t="array" ref="R187">_xll.BDP($C187&amp;" Equity","EST_PE_NXT_YR")*(T187/S187)</f>
        <v>28.088314523904042</v>
      </c>
      <c r="S187" s="36" cm="1">
        <f t="array" ref="S187">_xll.BDP(C187&amp;" Equity","LAST_PRICE")</f>
        <v>88</v>
      </c>
      <c r="T187" s="53" cm="1">
        <f t="array" ref="T187">_xll.BDP(B187&amp;" Equity","OPT_STRIKE_PX")</f>
        <v>90</v>
      </c>
      <c r="U187" s="40">
        <f>T187/S187-1</f>
        <v>2.2727272727272707E-2</v>
      </c>
      <c r="V187" s="37" cm="1">
        <f t="array" ref="V187">_xll.BDP($B187&amp;" Equity","ivol_mid")</f>
        <v>40.539560000000002</v>
      </c>
      <c r="W187" s="38" cm="1">
        <f t="array" ref="W187">_xll.BDP(B187&amp;" Equity","DELTA_MID_RT")</f>
        <v>-0.51095777750015259</v>
      </c>
      <c r="X187" s="48">
        <f>Y187/'Master P&amp;L'!$AE$5</f>
        <v>-4.2662473333763548E-5</v>
      </c>
      <c r="Y187" s="15">
        <f>IF(G187="Sell", S187*W187*-H187*O187/N187, S187*W187*H187*O187/N187)</f>
        <v>-89928.568840026855</v>
      </c>
      <c r="Z187" s="15" cm="1">
        <f t="array" ref="Z187">_xll.BDP($B187&amp;" Equity","opt_theta")*H187*O187/N187</f>
        <v>-93.72</v>
      </c>
      <c r="AA187" s="19" cm="1">
        <f t="array" ref="AA187">_xll.BDP($B187&amp;" Equity","opt_theta")/I187</f>
        <v>-6.9940298507462683E-3</v>
      </c>
      <c r="AB187" s="36" t="str" cm="1">
        <f t="array" ref="AB187">_xll.BDP($C187&amp;" Equity","EXPECTED_REPORT_DT")</f>
        <v>20/01/2026</v>
      </c>
      <c r="AC187" s="15">
        <f>S187*H187*O187/N187</f>
        <v>176000</v>
      </c>
      <c r="AD187" s="48">
        <f>AC187/'Master P&amp;L'!$AE$5</f>
        <v>8.3495105099463542E-5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2130</v>
      </c>
      <c r="C188" t="str" cm="1">
        <f t="array" ref="C188">_xll.BDP(B188&amp;" Equity","OPT_UNDL_TICKER")</f>
        <v>NFLX US</v>
      </c>
      <c r="D188" s="64">
        <f>A188*AVERAGE(K188:L188)</f>
        <v>4.68</v>
      </c>
      <c r="E188" cm="1">
        <f t="array" ref="E188">_xll.BDP($B188&amp;" Index","opt_days_expire")</f>
        <v>63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2.29</v>
      </c>
      <c r="J188" s="19">
        <f>I188/S188</f>
        <v>2.6022727272727274E-2</v>
      </c>
      <c r="K188" s="36" cm="1">
        <f t="array" ref="K188">_xll.BDP($B188&amp;" Equity","bid")</f>
        <v>2.29</v>
      </c>
      <c r="L188" s="36" cm="1">
        <f t="array" ref="L188">_xll.BDP($B188&amp;" Equity","ask")</f>
        <v>2.39</v>
      </c>
      <c r="M188" s="40">
        <f>(L188/K188-1)</f>
        <v>4.366812227074246E-2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-6870</v>
      </c>
      <c r="Q188" s="58">
        <f>P188/'Master P&amp;L'!$AD$5*10000</f>
        <v>-3.2591555229165597E-2</v>
      </c>
      <c r="R188" s="37" cm="1">
        <f t="array" ref="R188">_xll.BDP($C188&amp;" Equity","EST_PE_NXT_YR")*(T188/S188)</f>
        <v>24.967390687914705</v>
      </c>
      <c r="S188" s="36" cm="1">
        <f t="array" ref="S188">_xll.BDP(C188&amp;" Equity","LAST_PRICE")</f>
        <v>88</v>
      </c>
      <c r="T188" s="53" cm="1">
        <f t="array" ref="T188">_xll.BDP(B188&amp;" Equity","OPT_STRIKE_PX")</f>
        <v>80</v>
      </c>
      <c r="U188" s="40">
        <f>T188/S188-1</f>
        <v>-9.0909090909090939E-2</v>
      </c>
      <c r="V188" s="37" cm="1">
        <f t="array" ref="V188">_xll.BDP(B188&amp;" Equity","ivol_mid")</f>
        <v>41.174680000000002</v>
      </c>
      <c r="W188" s="38" cm="1">
        <f t="array" ref="W188">_xll.BDP(B188&amp;" Equity","DELTA_MID_RT")</f>
        <v>-0.246100053191185</v>
      </c>
      <c r="X188" s="48">
        <f>Y188/'Master P&amp;L'!$AE$5</f>
        <v>3.0822224709272339E-5</v>
      </c>
      <c r="Y188" s="15">
        <f>IF(G188="Sell", S188*W188*-H188*O188/N188, S188*W188*H188*O188/N188)</f>
        <v>64970.414042472839</v>
      </c>
      <c r="Z188" s="15" cm="1">
        <f t="array" ref="Z188">_xll.BDP($B188&amp;" Equity","opt_theta")*H188*O188/N188</f>
        <v>-114.67800000000001</v>
      </c>
      <c r="AA188" s="19" cm="1">
        <f t="array" ref="AA188">_xll.BDP($B188&amp;" Equity","opt_theta")/I188</f>
        <v>-1.6692576419213973E-2</v>
      </c>
      <c r="AB188" s="36" t="str" cm="1">
        <f t="array" ref="AB188">_xll.BDP($C188&amp;" Equity","EXPECTED_REPORT_DT")</f>
        <v>20/01/2026</v>
      </c>
      <c r="AC188" s="15">
        <f>S188*H188*O188/N188</f>
        <v>264000</v>
      </c>
      <c r="AD188" s="19">
        <f>AC188/'Master P&amp;L'!$AE$5</f>
        <v>1.2524265764919532E-4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3.1900000000000004</v>
      </c>
      <c r="J189" s="100" t="s">
        <v>249</v>
      </c>
      <c r="K189" s="101">
        <f>K188/L187</f>
        <v>0.34179104477611938</v>
      </c>
      <c r="P189" s="130">
        <f>P187+P188+P186</f>
        <v>4090</v>
      </c>
      <c r="Q189" s="58">
        <f>P189/'Master P&amp;L'!$AD$5*10000</f>
        <v>1.9403123855500335E-2</v>
      </c>
      <c r="S189" s="100" t="s">
        <v>251</v>
      </c>
      <c r="T189" s="102"/>
      <c r="W189" s="100" t="s">
        <v>252</v>
      </c>
      <c r="X189" s="122">
        <f>X187+X188+X186</f>
        <v>-2.6409742884787517E-5</v>
      </c>
      <c r="AC189" s="100" t="s">
        <v>229</v>
      </c>
      <c r="AD189" s="122">
        <f>AD187</f>
        <v>8.3495105099463542E-5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2.9849999999999994</v>
      </c>
      <c r="P190" s="100"/>
      <c r="Q190" s="108"/>
      <c r="S190" s="100"/>
      <c r="T190" s="102"/>
      <c r="W190" s="100"/>
      <c r="X190" s="122"/>
      <c r="Y190" s="13">
        <f>(Y186+Y187+Y188)/S187</f>
        <v>-632.60577619075775</v>
      </c>
      <c r="AC190" s="100"/>
      <c r="AD190" s="104"/>
    </row>
    <row r="191" spans="1:37">
      <c r="D191" s="64"/>
      <c r="H191" s="96"/>
      <c r="I191" s="64">
        <f>I187-I186</f>
        <v>5.48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 t="e">
        <f>I196-I197</f>
        <v>#VALUE!</v>
      </c>
      <c r="Q193" s="64" t="e">
        <f>Q196+Q197</f>
        <v>#VALUE!</v>
      </c>
    </row>
    <row r="194" spans="1:37">
      <c r="A194">
        <v>300</v>
      </c>
      <c r="H194" s="276">
        <v>1</v>
      </c>
      <c r="I194" s="129" t="e">
        <f>(I196-I195)/I197</f>
        <v>#VALUE!</v>
      </c>
      <c r="K194" s="129"/>
      <c r="Q194" s="129" t="e">
        <f>(Q196+Q195)/Q197</f>
        <v>#VALUE!</v>
      </c>
    </row>
    <row r="195" spans="1:37">
      <c r="A195" s="237">
        <v>1</v>
      </c>
      <c r="B195" s="132" t="s">
        <v>2353</v>
      </c>
      <c r="C195" t="str" cm="1">
        <f t="array" ref="C195">_xll.BDP(B195&amp;" Equity","OPT_UNDL_TICKER")</f>
        <v>TSM US</v>
      </c>
      <c r="D195" t="str" cm="1">
        <f t="array" ref="D195">_xll.BDP($B195&amp;" Index","mifid_Maturity_date")</f>
        <v>16/01/2026</v>
      </c>
      <c r="E195" cm="1">
        <f t="array" ref="E195">_xll.BDP($B195&amp;" Index","opt_days_expire")</f>
        <v>0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100</v>
      </c>
      <c r="I195" s="97">
        <f>IF(G195="Buy",L195,K195)</f>
        <v>7.1</v>
      </c>
      <c r="J195" s="19">
        <f>I195/S195</f>
        <v>2.0735981308411214E-2</v>
      </c>
      <c r="K195" s="36" cm="1">
        <f t="array" ref="K195">_xll.BDP($B195&amp;" Equity","bid")</f>
        <v>7.1</v>
      </c>
      <c r="L195" s="36" cm="1">
        <f t="array" ref="L195">_xll.BDP($B195&amp;" Equity","ask")</f>
        <v>8.5</v>
      </c>
      <c r="M195" s="40">
        <f>(L195/K195-1)</f>
        <v>0.19718309859154926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-71000</v>
      </c>
      <c r="Q195" s="58">
        <f>P195/'Master P&amp;L'!$AD$5*10000</f>
        <v>-0.33682684443533589</v>
      </c>
      <c r="R195" s="37" cm="1">
        <f t="array" ref="R195">_xll.BDP($C195&amp;" Equity","EST_PE_NXT_YR")*(T195/S195)</f>
        <v>20.596595123547459</v>
      </c>
      <c r="S195" s="36" cm="1">
        <f t="array" ref="S195">_xll.BDP(C195&amp;" Equity","LAST_PRICE")</f>
        <v>342.4</v>
      </c>
      <c r="T195" s="53" cm="1">
        <f t="array" ref="T195">_xll.BDP(B195&amp;" Equity","OPT_STRIKE_PX")</f>
        <v>335</v>
      </c>
      <c r="U195" s="40">
        <f>T195/S195-1</f>
        <v>-2.1612149532710179E-2</v>
      </c>
      <c r="V195" s="37" cm="1">
        <f t="array" ref="V195">_xll.BDP($B195&amp;" Equity","ivol_mid")</f>
        <v>41.60568</v>
      </c>
      <c r="W195" s="38" cm="1">
        <f t="array" ref="W195">_xll.BDP(B195&amp;" Equity","DELTA_MID_RT")</f>
        <v>0.90913861989974976</v>
      </c>
      <c r="X195" s="48">
        <f>Y195/'Master P&amp;L'!$AE$5</f>
        <v>-1.4767677880328472E-3</v>
      </c>
      <c r="Y195" s="15">
        <f>IF(G195="Sell", S195*W195*-H195*O195/N195, S195*W195*H195*O195/N195)</f>
        <v>-3112890.6345367432</v>
      </c>
      <c r="Z195" s="15" cm="1">
        <f t="array" ref="Z195">_xll.BDP($B195&amp;" Equity","opt_theta")*H195*O195/N195</f>
        <v>-12543.429999999998</v>
      </c>
      <c r="AA195" s="19" cm="1">
        <f t="array" ref="AA195">_xll.BDP($B195&amp;" Equity","opt_theta")/I195</f>
        <v>-0.17666802816901409</v>
      </c>
      <c r="AB195" s="36" t="str" cm="1">
        <f t="array" ref="AB195">_xll.BDP($C195&amp;" Equity","EXPECTED_REPORT_DT")</f>
        <v>17/04/2026</v>
      </c>
      <c r="AC195" s="15">
        <f>S195*H195*O195/N195</f>
        <v>3424000</v>
      </c>
      <c r="AD195" s="19">
        <f>AC195/'Master P&amp;L'!$AE$5</f>
        <v>1.6243593173895635E-3</v>
      </c>
      <c r="AE195" t="str">
        <f>B195  &amp; " - Buy to open " &amp;  "-" &amp; H195 &amp;"x"</f>
        <v>TSM US 01/16/26 C335 - Buy to open -100x</v>
      </c>
      <c r="AK195" s="59" t="s">
        <v>1813</v>
      </c>
    </row>
    <row r="196" spans="1:37">
      <c r="A196" s="237">
        <v>2</v>
      </c>
      <c r="B196" s="132" t="s">
        <v>2352</v>
      </c>
      <c r="C196" t="str" cm="1">
        <f t="array" ref="C196">_xll.BDP(B196&amp;" Equity","OPT_UNDL_TICKER")</f>
        <v>TSM US</v>
      </c>
      <c r="D196" t="str" cm="1">
        <f t="array" ref="D196">_xll.BDP($B196&amp;" Index","mifid_Maturity_date")</f>
        <v>16/01/2026</v>
      </c>
      <c r="E196" cm="1">
        <f t="array" ref="E196">_xll.BDP($B196&amp;" Index","opt_days_expire")</f>
        <v>0</v>
      </c>
      <c r="F196" t="str" cm="1">
        <f t="array" ref="F196">_xll.BDP(B196&amp;" Equity","QUOTED_CURRENCY_REALTIME")</f>
        <v>USD</v>
      </c>
      <c r="G196" s="105" t="s">
        <v>247</v>
      </c>
      <c r="H196" s="131">
        <v>100</v>
      </c>
      <c r="I196" s="97">
        <f>IF(G196="Buy",L196,K196)</f>
        <v>0.01</v>
      </c>
      <c r="J196" s="19">
        <f>I196/S196</f>
        <v>2.9205607476635515E-5</v>
      </c>
      <c r="K196" s="36" t="str" cm="1">
        <f t="array" ref="K196">_xll.BDP($B196&amp;" Equity","bid")</f>
        <v>#N/A N/A</v>
      </c>
      <c r="L196" s="36" cm="1">
        <f t="array" ref="L196">_xll.BDP($B196&amp;" Equity","ask")</f>
        <v>0.01</v>
      </c>
      <c r="M196" s="40" t="e">
        <f>(L196/K196-1)</f>
        <v>#VALUE!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100</v>
      </c>
      <c r="Q196" s="58">
        <f>P196/'Master P&amp;L'!$AD$5*10000</f>
        <v>4.74404006246952E-4</v>
      </c>
      <c r="R196" s="37" cm="1">
        <f t="array" ref="R196">_xll.BDP($C196&amp;" Equity","EST_PE_NXT_YR")*(T196/S196)</f>
        <v>19.98177138851619</v>
      </c>
      <c r="S196" s="36">
        <f>_xll.BDP(C196&amp;" Equity","LAST_PRICE")</f>
        <v>342.4</v>
      </c>
      <c r="T196" s="53" cm="1">
        <f t="array" ref="T196">_xll.BDP(B196&amp;" Equity","OPT_STRIKE_PX")</f>
        <v>325</v>
      </c>
      <c r="U196" s="40">
        <f>T196/S196-1</f>
        <v>-5.0817757009345765E-2</v>
      </c>
      <c r="V196" s="37" cm="1">
        <f t="array" ref="V196">_xll.BDP($B196&amp;" Equity","ivol_mid")</f>
        <v>50.461269999999999</v>
      </c>
      <c r="W196" s="38" cm="1">
        <f t="array" ref="W196">_xll.BDP(B196&amp;" Equity","DELTA_MID_RT")</f>
        <v>-3.8303020410239697E-3</v>
      </c>
      <c r="X196" s="48">
        <f>Y196/'Master P&amp;L'!$AE$5</f>
        <v>-6.2217868087535458E-6</v>
      </c>
      <c r="Y196" s="15">
        <f>IF(G196="Sell", S196*W196*-H196*O196/N196, S196*W196*H196*O196/N196)</f>
        <v>-13114.954188466068</v>
      </c>
      <c r="Z196" s="15" cm="1">
        <f t="array" ref="Z196">_xll.BDP($B196&amp;" Equity","opt_theta")*H196*O196/N196</f>
        <v>-2752.54</v>
      </c>
      <c r="AA196" s="19" cm="1">
        <f t="array" ref="AA196">_xll.BDP($B196&amp;" Equity","opt_theta")/I196</f>
        <v>-27.525399999999998</v>
      </c>
      <c r="AB196" s="36" t="str" cm="1">
        <f t="array" ref="AB196">_xll.BDP($C196&amp;" Equity","EXPECTED_REPORT_DT")</f>
        <v>17/04/2026</v>
      </c>
      <c r="AC196" s="15">
        <f>S196*H196*O196/N196</f>
        <v>3424000</v>
      </c>
      <c r="AD196" s="19">
        <f>AC196/'Master P&amp;L'!$AE$5</f>
        <v>1.6243593173895635E-3</v>
      </c>
      <c r="AE196" t="str">
        <f>B196  &amp; " - Buy to open " &amp;  "-" &amp; H196 &amp;"x"</f>
        <v>TSM US 01/16/26 P325 - Buy to open -100x</v>
      </c>
      <c r="AK196" s="59" t="s">
        <v>1813</v>
      </c>
    </row>
    <row r="197" spans="1:37">
      <c r="A197" s="237">
        <v>2</v>
      </c>
      <c r="B197" s="132" t="s">
        <v>2354</v>
      </c>
      <c r="C197" t="str" cm="1">
        <f t="array" ref="C197">_xll.BDP(B197&amp;" Equity","OPT_UNDL_TICKER")</f>
        <v>TSM US</v>
      </c>
      <c r="D197" t="str" cm="1">
        <f t="array" ref="D197">_xll.BDP($B197&amp;" Index","mifid_Maturity_date")</f>
        <v>16/01/2026</v>
      </c>
      <c r="E197" cm="1">
        <f t="array" ref="E197">_xll.BDP($B197&amp;" Index","opt_days_expire")</f>
        <v>0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100</v>
      </c>
      <c r="I197" s="97" t="str">
        <f>IF(G197="Buy",L197,K197)</f>
        <v>#N/A N/A</v>
      </c>
      <c r="J197" s="19" t="e">
        <f>I197/S197</f>
        <v>#VALUE!</v>
      </c>
      <c r="K197" s="36" t="str" cm="1">
        <f t="array" ref="K197">_xll.BDP($B197&amp;" Equity","bid")</f>
        <v>#N/A N/A</v>
      </c>
      <c r="L197" s="36" cm="1">
        <f t="array" ref="L197">_xll.BDP($B197&amp;" Equity","ask")</f>
        <v>0.01</v>
      </c>
      <c r="M197" s="40" t="e">
        <f>(L197/K197-1)</f>
        <v>#VALUE!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 t="e">
        <f>IF(G197="Buy",((I197/N197)*H197*O197),((I197/N197)*-H197*O197))</f>
        <v>#VALUE!</v>
      </c>
      <c r="Q197" s="58" t="e">
        <f>P197/'Master P&amp;L'!$AD$5*10000</f>
        <v>#VALUE!</v>
      </c>
      <c r="R197" s="37" cm="1">
        <f t="array" ref="R197">_xll.BDP($C197&amp;" Equity","EST_PE_NXT_YR")*(T197/S197)</f>
        <v>19.366947653484925</v>
      </c>
      <c r="S197" s="36" cm="1">
        <f t="array" ref="S197">_xll.BDP(C197&amp;" Equity","LAST_PRICE")</f>
        <v>342.4</v>
      </c>
      <c r="T197" s="53" cm="1">
        <f t="array" ref="T197">_xll.BDP(B197&amp;" Equity","OPT_STRIKE_PX")</f>
        <v>315</v>
      </c>
      <c r="U197" s="40">
        <f>T197/S197-1</f>
        <v>-8.0023364485981241E-2</v>
      </c>
      <c r="V197" s="37" cm="1">
        <f t="array" ref="V197">_xll.BDP($B197&amp;" Equity","ivol_mid")</f>
        <v>65.517420000000001</v>
      </c>
      <c r="W197" s="38" cm="1">
        <f t="array" ref="W197">_xll.BDP(B197&amp;" Equity","DELTA_MID_RT")</f>
        <v>-2.6180646382272243E-3</v>
      </c>
      <c r="X197" s="48">
        <f>Y197/'Master P&amp;L'!$AE$5</f>
        <v>4.252677688632529E-6</v>
      </c>
      <c r="Y197" s="15">
        <f>IF(G197="Sell", S197*W197*-H197*O197/N197, S197*W197*H197*O197/N197)</f>
        <v>8964.2533212900162</v>
      </c>
      <c r="Z197" s="15" cm="1">
        <f t="array" ref="Z197">_xll.BDP($B197&amp;" Equity","opt_theta")*H197*O197/N197</f>
        <v>-1193.47</v>
      </c>
      <c r="AA197" s="19" t="e" cm="1">
        <f t="array" ref="AA197">_xll.BDP($B197&amp;" Equity","opt_theta")/I197</f>
        <v>#VALUE!</v>
      </c>
      <c r="AB197" s="36" t="str" cm="1">
        <f t="array" ref="AB197">_xll.BDP($C197&amp;" Equity","EXPECTED_REPORT_DT")</f>
        <v>17/04/2026</v>
      </c>
      <c r="AC197" s="15">
        <f>S197*H197*O197/N197</f>
        <v>3424000</v>
      </c>
      <c r="AD197" s="19">
        <f>AC197/'Master P&amp;L'!$AE$5</f>
        <v>1.6243593173895635E-3</v>
      </c>
      <c r="AE197" t="str">
        <f>B197  &amp; " - Buy to open " &amp;  "-" &amp; H197 &amp;"x"</f>
        <v>TSM US 01/16/26 P315 - Buy to open -100x</v>
      </c>
      <c r="AK197" s="59" t="s">
        <v>1813</v>
      </c>
    </row>
    <row r="198" spans="1:37">
      <c r="H198" s="100" t="s">
        <v>116</v>
      </c>
      <c r="I198" s="102" t="e">
        <f>I196-I195-I197</f>
        <v>#VALUE!</v>
      </c>
      <c r="J198" s="100" t="s">
        <v>249</v>
      </c>
      <c r="K198" s="101" t="e">
        <f>K197/L196</f>
        <v>#VALUE!</v>
      </c>
      <c r="P198" s="130" t="e">
        <f>P196+P197+P195</f>
        <v>#VALUE!</v>
      </c>
      <c r="Q198" s="58" t="e">
        <f>P198/'Master P&amp;L'!$AD$5*10000</f>
        <v>#VALUE!</v>
      </c>
      <c r="S198" s="100" t="s">
        <v>251</v>
      </c>
      <c r="T198" s="102"/>
      <c r="W198" s="100" t="s">
        <v>252</v>
      </c>
      <c r="X198" s="122">
        <f>X196+X197+X195</f>
        <v>-1.4787368971529683E-3</v>
      </c>
      <c r="AC198" s="100" t="s">
        <v>229</v>
      </c>
      <c r="AD198" s="122">
        <f>AD196</f>
        <v>1.6243593173895635E-3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-7.8</v>
      </c>
      <c r="P199" s="100"/>
      <c r="Q199" s="108"/>
      <c r="S199" s="100"/>
      <c r="T199" s="102"/>
      <c r="W199" s="100"/>
      <c r="X199" s="122"/>
      <c r="Y199" s="13">
        <f>(Y195+Y196+Y197)/S196</f>
        <v>-9103.508573025465</v>
      </c>
      <c r="AC199" s="100"/>
      <c r="AD199" s="104"/>
    </row>
    <row r="200" spans="1:37">
      <c r="D200" s="64"/>
      <c r="H200" s="96">
        <v>186</v>
      </c>
      <c r="I200" s="64" t="e">
        <f>(I196*A196)-(I197*A197)-(I195*A195)</f>
        <v>#VALUE!</v>
      </c>
      <c r="K200" s="64"/>
      <c r="N200" s="36"/>
      <c r="O200" s="162"/>
      <c r="P200" s="15"/>
      <c r="Q200" s="58"/>
      <c r="X200" s="71">
        <f>AD198+X198</f>
        <v>1.4562242023659529E-4</v>
      </c>
    </row>
    <row r="201" spans="1:37">
      <c r="I201" s="64"/>
      <c r="K201" s="64"/>
    </row>
    <row r="202" spans="1:37">
      <c r="H202" s="276">
        <v>1</v>
      </c>
      <c r="I202" s="64">
        <f>I204-I205</f>
        <v>-1</v>
      </c>
      <c r="K202" s="64"/>
      <c r="Q202" s="129" t="e">
        <f>(Q204+Q203)/Q205</f>
        <v>#VALUE!</v>
      </c>
    </row>
    <row r="203" spans="1:37">
      <c r="A203" s="237"/>
      <c r="B203" t="s">
        <v>2375</v>
      </c>
      <c r="C203" t="str" cm="1">
        <f t="array" ref="C203">_xll.BDP(B203&amp;" Equity","OPT_UNDL_TICKER")</f>
        <v>QQQ US</v>
      </c>
      <c r="D203" t="str" cm="1">
        <f t="array" ref="D203">_xll.BDP($B203&amp;" Index","mifid_Maturity_date")</f>
        <v>16/01/2026</v>
      </c>
      <c r="E203" cm="1">
        <f t="array" ref="E203">_xll.BDP($B203&amp;" Index","opt_days_expire")</f>
        <v>0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140</v>
      </c>
      <c r="I203" s="97" t="str">
        <f>IF(G203="Buy",L203,K203)</f>
        <v>#N/A N/A</v>
      </c>
      <c r="J203" s="19" t="e">
        <f>I203/S203</f>
        <v>#VALUE!</v>
      </c>
      <c r="K203" s="36" t="str" cm="1">
        <f t="array" ref="K203">_xll.BDP($B203&amp;" Equity","bid")</f>
        <v>#N/A N/A</v>
      </c>
      <c r="L203" s="36" cm="1">
        <f t="array" ref="L203">_xll.BDP($B203&amp;" Equity","ask")</f>
        <v>0.01</v>
      </c>
      <c r="M203" s="40" t="e">
        <f>(L203/K203-1)</f>
        <v>#VALUE!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cm="1">
        <f t="array" ref="S203">_xll.BDP(C203&amp;" Equity","LAST_PRICE")</f>
        <v>621.26</v>
      </c>
      <c r="T203" s="53" cm="1">
        <f t="array" ref="T203">_xll.BDP(B203&amp;" Equity","OPT_STRIKE_PX")</f>
        <v>635</v>
      </c>
      <c r="U203" s="40">
        <f>T203/S203-1</f>
        <v>2.211634420371511E-2</v>
      </c>
      <c r="V203" s="37" cm="1">
        <f t="array" ref="V203">_xll.BDP($B203&amp;" Equity","ivol_mid")</f>
        <v>13.848929999999999</v>
      </c>
      <c r="W203" s="38" cm="1">
        <f t="array" ref="W203">_xll.BDP(B203&amp;" Equity","DELTA_MID_RT")</f>
        <v>3.4514530561864376E-3</v>
      </c>
      <c r="X203" s="48">
        <f>Y203/'Master P&amp;L'!$AE$5</f>
        <v>-1.4241369243633693E-5</v>
      </c>
      <c r="Y203" s="15">
        <f>IF(G203="Sell", S203*W203*-H203*O203/N203, S203*W203*H203*O203/N203)</f>
        <v>-30019.496159609411</v>
      </c>
      <c r="Z203" s="15" cm="1">
        <f t="array" ref="Z203">_xll.BDP($B203&amp;" Equity","opt_theta")*H203*O203/N203</f>
        <v>-279.86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#N/A N/A</v>
      </c>
      <c r="AC203" s="15">
        <f>S203*H203*O203/N203</f>
        <v>8697640</v>
      </c>
      <c r="AD203" s="19">
        <f>AC203/'Master P&amp;L'!$AE$5</f>
        <v>4.1261952608937389E-3</v>
      </c>
      <c r="AE203" t="str">
        <f>B203  &amp; " - Buy to open " &amp;  "-" &amp; H203 &amp;"x"</f>
        <v>QQQ US 01/16/26 C635 - Buy to open -140x</v>
      </c>
      <c r="AK203" s="59" t="s">
        <v>1813</v>
      </c>
    </row>
    <row r="204" spans="1:37">
      <c r="A204" s="237"/>
      <c r="B204" t="s">
        <v>2376</v>
      </c>
      <c r="C204" t="str" cm="1">
        <f t="array" ref="C204">_xll.BDP(B204&amp;" Equity","OPT_UNDL_TICKER")</f>
        <v>QQQ US</v>
      </c>
      <c r="D204" t="str" cm="1">
        <f t="array" ref="D204">_xll.BDP($B204&amp;" Index","mifid_Maturity_date")</f>
        <v>16/01/2026</v>
      </c>
      <c r="E204" cm="1">
        <f t="array" ref="E204">_xll.BDP($B204&amp;" Index","opt_days_expire")</f>
        <v>0</v>
      </c>
      <c r="F204" t="str" cm="1">
        <f t="array" ref="F204">_xll.BDP(B204&amp;" Equity","QUOTED_CURRENCY_REALTIME")</f>
        <v>USD</v>
      </c>
      <c r="G204" s="105" t="s">
        <v>247</v>
      </c>
      <c r="H204" s="131">
        <v>140</v>
      </c>
      <c r="I204" s="97">
        <f>IF(G204="Buy",L204,K204)</f>
        <v>0.01</v>
      </c>
      <c r="J204" s="19">
        <f>I204/S204</f>
        <v>1.6096320381160867E-5</v>
      </c>
      <c r="K204" s="36" t="str" cm="1">
        <f t="array" ref="K204">_xll.BDP($B204&amp;" Equity","bid")</f>
        <v>#N/A N/A</v>
      </c>
      <c r="L204" s="36" cm="1">
        <f t="array" ref="L204">_xll.BDP($B204&amp;" Equity","ask")</f>
        <v>0.01</v>
      </c>
      <c r="M204" s="40" t="e">
        <f>(L204/K204-1)</f>
        <v>#VALUE!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140</v>
      </c>
      <c r="Q204" s="58">
        <f>P204/'Master P&amp;L'!$AD$5*10000</f>
        <v>6.6416560874573273E-4</v>
      </c>
      <c r="R204" s="37" t="e" cm="1">
        <f t="array" ref="R204">_xll.BDP($C204&amp;" Equity","EST_PE_NXT_YR")*(T204/S204)</f>
        <v>#VALUE!</v>
      </c>
      <c r="S204" s="36">
        <f>_xll.BDP(C204&amp;" Equity","LAST_PRICE")</f>
        <v>621.26</v>
      </c>
      <c r="T204" s="53" cm="1">
        <f t="array" ref="T204">_xll.BDP(B204&amp;" Equity","OPT_STRIKE_PX")</f>
        <v>633</v>
      </c>
      <c r="U204" s="40">
        <f>T204/S204-1</f>
        <v>1.8897080127482813E-2</v>
      </c>
      <c r="V204" s="37" cm="1">
        <f t="array" ref="V204">_xll.BDP($B204&amp;" Equity","ivol_mid")</f>
        <v>13.478899999999999</v>
      </c>
      <c r="W204" s="38" cm="1">
        <f t="array" ref="W204">_xll.BDP(B204&amp;" Equity","DELTA_MID_RT")</f>
        <v>3.9505497552454472E-3</v>
      </c>
      <c r="X204" s="48">
        <f>Y204/'Master P&amp;L'!$AE$5</f>
        <v>1.6300739678018684E-5</v>
      </c>
      <c r="Y204" s="15">
        <f>IF(G204="Sell", S204*W204*-H204*O204/N204, S204*W204*H204*O204/N204)</f>
        <v>34360.459573213011</v>
      </c>
      <c r="Z204" s="15" cm="1">
        <f t="array" ref="Z204">_xll.BDP($B204&amp;" Equity","opt_theta")*H204*O204/N204</f>
        <v>-558.8660000000001</v>
      </c>
      <c r="AA204" s="19" cm="1">
        <f t="array" ref="AA204">_xll.BDP($B204&amp;" Equity","opt_theta")/I204</f>
        <v>-3.9919000000000002</v>
      </c>
      <c r="AB204" s="36" t="str" cm="1">
        <f t="array" ref="AB204">_xll.BDP($C204&amp;" Equity","EXPECTED_REPORT_DT")</f>
        <v>#N/A N/A</v>
      </c>
      <c r="AC204" s="15">
        <f>S204*H204*O204/N204</f>
        <v>8697640</v>
      </c>
      <c r="AD204" s="19">
        <f>AC204/'Master P&amp;L'!$AE$5</f>
        <v>4.1261952608937389E-3</v>
      </c>
      <c r="AE204" t="str">
        <f>B204  &amp; " - Buy to open " &amp;  "-" &amp; H204 &amp;"x"</f>
        <v>QQQ US 01/16/26 C633 - Buy to open -140x</v>
      </c>
      <c r="AK204" s="59" t="s">
        <v>1813</v>
      </c>
    </row>
    <row r="205" spans="1:37">
      <c r="A205" s="237"/>
      <c r="B205" t="s">
        <v>2377</v>
      </c>
      <c r="C205" t="str" cm="1">
        <f t="array" ref="C205">_xll.BDP(B205&amp;" Equity","OPT_UNDL_TICKER")</f>
        <v>QQQ US</v>
      </c>
      <c r="D205" t="str" cm="1">
        <f t="array" ref="D205">_xll.BDP($B205&amp;" Index","mifid_Maturity_date")</f>
        <v>16/01/2026</v>
      </c>
      <c r="E205" cm="1">
        <f t="array" ref="E205">_xll.BDP($B205&amp;" Index","opt_days_expire")</f>
        <v>0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210</v>
      </c>
      <c r="I205" s="97">
        <f>IF(G205="Buy",L205,K205)</f>
        <v>1.01</v>
      </c>
      <c r="J205" s="19">
        <f>I205/S205</f>
        <v>1.6257283584972476E-3</v>
      </c>
      <c r="K205" s="36" cm="1">
        <f t="array" ref="K205">_xll.BDP($B205&amp;" Equity","bid")</f>
        <v>1.01</v>
      </c>
      <c r="L205" s="36" cm="1">
        <f t="array" ref="L205">_xll.BDP($B205&amp;" Equity","ask")</f>
        <v>1.53</v>
      </c>
      <c r="M205" s="40">
        <f>(L205/K205-1)</f>
        <v>0.51485148514851486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-21210</v>
      </c>
      <c r="Q205" s="58">
        <f>P205/'Master P&amp;L'!$AD$5*10000</f>
        <v>-0.1006210897249785</v>
      </c>
      <c r="R205" s="37" t="e" cm="1">
        <f t="array" ref="R205">_xll.BDP($C205&amp;" Equity","EST_PE_NXT_YR")*(T205/S205)</f>
        <v>#VALUE!</v>
      </c>
      <c r="S205" s="36" cm="1">
        <f t="array" ref="S205">_xll.BDP(C205&amp;" Equity","LAST_PRICE")</f>
        <v>621.26</v>
      </c>
      <c r="T205" s="53" cm="1">
        <f t="array" ref="T205">_xll.BDP(B205&amp;" Equity","OPT_STRIKE_PX")</f>
        <v>622</v>
      </c>
      <c r="U205" s="40">
        <f>T205/S205-1</f>
        <v>1.1911277082059524E-3</v>
      </c>
      <c r="V205" s="37" cm="1">
        <f t="array" ref="V205">_xll.BDP($B205&amp;" Equity","ivol_mid")</f>
        <v>14.94603</v>
      </c>
      <c r="W205" s="38" cm="1">
        <f t="array" ref="W205">_xll.BDP(B205&amp;" Equity","DELTA_MID_RT")</f>
        <v>-0.77327650785446167</v>
      </c>
      <c r="X205" s="48">
        <f>Y205/'Master P&amp;L'!$AE$5</f>
        <v>4.7860347931043103E-3</v>
      </c>
      <c r="Y205" s="15">
        <f>IF(G205="Sell", S205*W205*-H205*O205/N205, S205*W205*H205*O205/N205)</f>
        <v>10088521.02866292</v>
      </c>
      <c r="Z205" s="15" cm="1">
        <f t="array" ref="Z205">_xll.BDP($B205&amp;" Equity","opt_theta")*H205*O205/N205</f>
        <v>0</v>
      </c>
      <c r="AA205" s="19" cm="1">
        <f t="array" ref="AA205">_xll.BDP($B205&amp;" Equity","opt_theta")/I205</f>
        <v>0</v>
      </c>
      <c r="AB205" s="36" t="str" cm="1">
        <f t="array" ref="AB205">_xll.BDP($C205&amp;" Equity","EXPECTED_REPORT_DT")</f>
        <v>#N/A N/A</v>
      </c>
      <c r="AC205" s="15">
        <f>S205*H205*O205/N205</f>
        <v>13046460</v>
      </c>
      <c r="AD205" s="19">
        <f>AC205/'Master P&amp;L'!$AE$5</f>
        <v>6.1892928913406088E-3</v>
      </c>
      <c r="AE205" t="str">
        <f>B205  &amp; " - Buy to open " &amp;  "-" &amp; H205 &amp;"x"</f>
        <v>QQQ US 01/16/26 P622 - Buy to open -210x</v>
      </c>
      <c r="AK205" s="59" t="s">
        <v>1813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>
        <f>K205/L204</f>
        <v>101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>
        <f>X204+X205+X203</f>
        <v>4.7880941635386953E-3</v>
      </c>
      <c r="AC206" s="100" t="s">
        <v>229</v>
      </c>
      <c r="AD206" s="122">
        <f>AD204</f>
        <v>4.1261952608937389E-3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-1.27</v>
      </c>
      <c r="P207" s="100"/>
      <c r="Q207" s="108"/>
      <c r="S207" s="100"/>
      <c r="T207" s="102"/>
      <c r="W207" s="100"/>
      <c r="X207" s="122"/>
      <c r="Y207" s="13">
        <f>(Y203+Y204+Y205)/S204</f>
        <v>16245.794018730521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8.9142894244324342E-3</v>
      </c>
    </row>
    <row r="209" spans="1:37">
      <c r="B209" s="59"/>
    </row>
    <row r="210" spans="1:37">
      <c r="A210">
        <v>300</v>
      </c>
      <c r="H210" s="276">
        <v>1</v>
      </c>
      <c r="I210" s="64" t="e">
        <f>I212+I214-I211-I213</f>
        <v>#VALUE!</v>
      </c>
      <c r="K210" s="129"/>
      <c r="W210" s="50">
        <f>W212-W211+W214-W213</f>
        <v>0.77377560455352068</v>
      </c>
    </row>
    <row r="211" spans="1:37">
      <c r="A211" s="237">
        <v>9</v>
      </c>
      <c r="B211" t="s">
        <v>2375</v>
      </c>
      <c r="C211" t="str" cm="1">
        <f t="array" ref="C211">_xll.BDP(B211&amp;" Equity","OPT_UNDL_TICKER")</f>
        <v>QQQ US</v>
      </c>
      <c r="D211" s="64"/>
      <c r="E211" cm="1">
        <f t="array" ref="E211">_xll.BDP($B211&amp;" Index","opt_days_expire")</f>
        <v>0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0.01</v>
      </c>
      <c r="J211" s="19">
        <f>I211/S211</f>
        <v>1.6096320381160867E-5</v>
      </c>
      <c r="K211" s="36" t="str" cm="1">
        <f t="array" ref="K211">_xll.BDP($B211&amp;" Equity","bid")</f>
        <v>#N/A N/A</v>
      </c>
      <c r="L211" s="36" cm="1">
        <f t="array" ref="L211">_xll.BDP($B211&amp;" Equity","ask")</f>
        <v>0.01</v>
      </c>
      <c r="M211" s="40" t="e">
        <f>(L211/K211-1)</f>
        <v>#VALUE!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200</v>
      </c>
      <c r="Q211" s="58">
        <f>P211/'Master P&amp;L'!$AD$5*10000</f>
        <v>9.4880801249390401E-4</v>
      </c>
      <c r="R211" s="37" t="e" cm="1">
        <f t="array" ref="R211">_xll.BDP($C211&amp;" Equity","EST_PE_NXT_YR")*(T211/S211)</f>
        <v>#VALUE!</v>
      </c>
      <c r="S211" s="36" cm="1">
        <f t="array" ref="S211">_xll.BDP(C211&amp;" Equity","LAST_PRICE")</f>
        <v>621.26</v>
      </c>
      <c r="T211" s="53" cm="1">
        <f t="array" ref="T211">_xll.BDP(B211&amp;" Equity","OPT_STRIKE_PX")</f>
        <v>635</v>
      </c>
      <c r="U211" s="40">
        <f>T211/S211-1</f>
        <v>2.211634420371511E-2</v>
      </c>
      <c r="V211" s="37" cm="1">
        <f t="array" ref="V211">_xll.BDP($B211&amp;" Equity","ivol_mid")</f>
        <v>13.848929999999999</v>
      </c>
      <c r="W211" s="38" cm="1">
        <f t="array" ref="W211">_xll.BDP(B211&amp;" Equity","DELTA_MID_RT")</f>
        <v>3.4514530561864376E-3</v>
      </c>
      <c r="X211" s="48">
        <f>Y211/'Master P&amp;L'!$AE$5</f>
        <v>2.0344813205190991E-5</v>
      </c>
      <c r="Y211" s="15">
        <f>IF(G211="Sell", S211*W211*-H211*O211/N211, S211*W211*H211*O211/N211)</f>
        <v>42884.994513727732</v>
      </c>
      <c r="Z211" s="15" cm="1">
        <f t="array" ref="Z211">_xll.BDP($B211&amp;" Equity","opt_theta")*H211*O211/N211</f>
        <v>-399.8</v>
      </c>
      <c r="AA211" s="19" cm="1">
        <f t="array" ref="AA211">_xll.BDP($B211&amp;" Equity","opt_theta")/I211</f>
        <v>-1.9990000000000001</v>
      </c>
      <c r="AB211" s="36" t="str" cm="1">
        <f t="array" ref="AB211">_xll.BDP($C211&amp;" Equity","EXPECTED_REPORT_DT")</f>
        <v>#N/A N/A</v>
      </c>
      <c r="AC211" s="15">
        <f>S211*H211*O211/N211</f>
        <v>12425200</v>
      </c>
      <c r="AD211" s="19">
        <f>AC211/'Master P&amp;L'!$AE$5</f>
        <v>5.8945646584196276E-3</v>
      </c>
      <c r="AE211" t="s">
        <v>1878</v>
      </c>
      <c r="AK211" t="s">
        <v>1791</v>
      </c>
    </row>
    <row r="212" spans="1:37">
      <c r="A212" s="237">
        <v>3</v>
      </c>
      <c r="B212" t="s">
        <v>2376</v>
      </c>
      <c r="C212" t="str" cm="1">
        <f t="array" ref="C212">_xll.BDP(B212&amp;" Equity","OPT_UNDL_TICKER")</f>
        <v>QQQ US</v>
      </c>
      <c r="D212" s="64"/>
      <c r="E212" cm="1">
        <f t="array" ref="E212">_xll.BDP($B212&amp;" Index","opt_days_expire")</f>
        <v>0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 t="str">
        <f>IF(G212="Buy",L212,K212)</f>
        <v>#N/A N/A</v>
      </c>
      <c r="J212" s="19" t="e">
        <f>I212/S212</f>
        <v>#VALUE!</v>
      </c>
      <c r="K212" s="36" t="str" cm="1">
        <f t="array" ref="K212">_xll.BDP($B212&amp;" Equity","bid")</f>
        <v>#N/A N/A</v>
      </c>
      <c r="L212" s="36" cm="1">
        <f t="array" ref="L212">_xll.BDP($B212&amp;" Equity","ask")</f>
        <v>0.01</v>
      </c>
      <c r="M212" s="40" t="e">
        <f>(L212/K212-1)</f>
        <v>#VALUE!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 t="e">
        <f>IF(G212="Buy",((I212/N212)*H212*O212),((I212/N212)*-H212*O212))</f>
        <v>#VALUE!</v>
      </c>
      <c r="Q212" s="58" t="e">
        <f>P212/'Master P&amp;L'!$AD$5*10000</f>
        <v>#VALUE!</v>
      </c>
      <c r="R212" s="37" t="e" cm="1">
        <f t="array" ref="R212">_xll.BDP($C212&amp;" Equity","EST_PE_NXT_YR")*(T212/S212)</f>
        <v>#VALUE!</v>
      </c>
      <c r="S212" s="36" cm="1">
        <f t="array" ref="S212">_xll.BDP(C212&amp;" Equity","LAST_PRICE")</f>
        <v>621.26</v>
      </c>
      <c r="T212" s="53" cm="1">
        <f t="array" ref="T212">_xll.BDP(B212&amp;" Equity","OPT_STRIKE_PX")</f>
        <v>633</v>
      </c>
      <c r="U212" s="40">
        <f>T212/S212-1</f>
        <v>1.8897080127482813E-2</v>
      </c>
      <c r="V212" s="37" cm="1">
        <f t="array" ref="V212">_xll.BDP($B212&amp;" Equity","ivol_mid")</f>
        <v>13.478899999999999</v>
      </c>
      <c r="W212" s="38" cm="1">
        <f t="array" ref="W212">_xll.BDP(B212&amp;" Equity","DELTA_MID_RT")</f>
        <v>3.9505497552454472E-3</v>
      </c>
      <c r="X212" s="48">
        <f>Y212/'Master P&amp;L'!$AE$5</f>
        <v>-2.3286770968598123E-5</v>
      </c>
      <c r="Y212" s="15">
        <f>IF(G212="Sell", S212*W212*-H212*O212/N212, S212*W212*H212*O212/N212)</f>
        <v>-49086.37081887573</v>
      </c>
      <c r="Z212" s="15" cm="1">
        <f t="array" ref="Z212">_xll.BDP($B212&amp;" Equity","opt_theta")*H212*O212/N212</f>
        <v>-798.38</v>
      </c>
      <c r="AA212" s="19" t="e" cm="1">
        <f t="array" ref="AA212">_xll.BDP($B212&amp;" Equity","opt_theta")/I212</f>
        <v>#VALUE!</v>
      </c>
      <c r="AB212" s="36" t="str" cm="1">
        <f t="array" ref="AB212">_xll.BDP($C212&amp;" Equity","EXPECTED_REPORT_DT")</f>
        <v>#N/A N/A</v>
      </c>
      <c r="AC212" s="15">
        <f>S212*H212*O212/N212</f>
        <v>12425200</v>
      </c>
      <c r="AD212" s="48">
        <f>AC212/'Master P&amp;L'!$AE$5</f>
        <v>5.8945646584196276E-3</v>
      </c>
      <c r="AE212" t="s">
        <v>1879</v>
      </c>
      <c r="AK212" t="s">
        <v>1792</v>
      </c>
    </row>
    <row r="213" spans="1:37">
      <c r="A213" s="237">
        <v>20</v>
      </c>
      <c r="B213" t="s">
        <v>2377</v>
      </c>
      <c r="C213" t="str" cm="1">
        <f t="array" ref="C213">_xll.BDP(B213&amp;" Equity","OPT_UNDL_TICKER")</f>
        <v>QQQ US</v>
      </c>
      <c r="D213" s="64"/>
      <c r="E213" cm="1">
        <f t="array" ref="E213">_xll.BDP($B213&amp;" Index","opt_days_expire")</f>
        <v>0</v>
      </c>
      <c r="F213" t="str" cm="1">
        <f t="array" ref="F213">_xll.BDP(B213&amp;" Equity","QUOTED_CURRENCY_REALTIME")</f>
        <v>USD</v>
      </c>
      <c r="G213" s="105" t="s">
        <v>247</v>
      </c>
      <c r="H213" s="131">
        <f>H212</f>
        <v>200</v>
      </c>
      <c r="I213" s="97">
        <f>IF(G213="Buy",L213,K213)</f>
        <v>1.53</v>
      </c>
      <c r="J213" s="19">
        <f>I213/S213</f>
        <v>2.4627370183176126E-3</v>
      </c>
      <c r="K213" s="36" cm="1">
        <f t="array" ref="K213">_xll.BDP($B213&amp;" Equity","bid")</f>
        <v>1.01</v>
      </c>
      <c r="L213" s="36" cm="1">
        <f t="array" ref="L213">_xll.BDP($B213&amp;" Equity","ask")</f>
        <v>1.53</v>
      </c>
      <c r="M213" s="40">
        <f>(L213/K213-1)</f>
        <v>0.51485148514851486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30600</v>
      </c>
      <c r="Q213" s="58">
        <f>P213/'Master P&amp;L'!$AD$5*10000</f>
        <v>0.14516762591156729</v>
      </c>
      <c r="R213" s="37" t="e" cm="1">
        <f t="array" ref="R213">_xll.BDP($C213&amp;" Equity","EST_PE_NXT_YR")*(T213/S213)</f>
        <v>#VALUE!</v>
      </c>
      <c r="S213" s="36" cm="1">
        <f t="array" ref="S213">_xll.BDP(C213&amp;" Equity","LAST_PRICE")</f>
        <v>621.26</v>
      </c>
      <c r="T213" s="53" cm="1">
        <f t="array" ref="T213">_xll.BDP(B213&amp;" Equity","OPT_STRIKE_PX")</f>
        <v>622</v>
      </c>
      <c r="U213" s="40">
        <f>T213/S213-1</f>
        <v>1.1911277082059524E-3</v>
      </c>
      <c r="V213" s="37" cm="1">
        <f t="array" ref="V213">_xll.BDP(B213&amp;" Equity","ivol_mid")</f>
        <v>14.94603</v>
      </c>
      <c r="W213" s="38" cm="1">
        <f t="array" ref="W213">_xll.BDP(B213&amp;" Equity","DELTA_MID_RT")</f>
        <v>-0.77327650785446167</v>
      </c>
      <c r="X213" s="48">
        <f>Y213/'Master P&amp;L'!$AE$5</f>
        <v>-4.5581283743850575E-3</v>
      </c>
      <c r="Y213" s="15">
        <f>IF(G213="Sell", S213*W213*-H213*O213/N213, S213*W213*H213*O213/N213)</f>
        <v>-9608115.2653932571</v>
      </c>
      <c r="Z213" s="15" cm="1">
        <f t="array" ref="Z213">_xll.BDP($B213&amp;" Equity","opt_theta")*H213*O213/N213</f>
        <v>0</v>
      </c>
      <c r="AA213" s="19" cm="1">
        <f t="array" ref="AA213">_xll.BDP($B213&amp;" Equity","opt_theta")/I213</f>
        <v>0</v>
      </c>
      <c r="AB213" s="36" t="str" cm="1">
        <f t="array" ref="AB213">_xll.BDP($C213&amp;" Equity","EXPECTED_REPORT_DT")</f>
        <v>#N/A N/A</v>
      </c>
      <c r="AC213" s="15">
        <f>S213*H213*O213/N213</f>
        <v>12425200</v>
      </c>
      <c r="AD213" s="19">
        <f>AC213/'Master P&amp;L'!$AE$5</f>
        <v>5.8945646584196276E-3</v>
      </c>
      <c r="AE213" t="s">
        <v>1880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 t="e">
        <f>I212+I214-I213-I211</f>
        <v>#VALUE!</v>
      </c>
      <c r="J215" s="100" t="s">
        <v>249</v>
      </c>
      <c r="K215" s="101">
        <f>K214/L212</f>
        <v>0</v>
      </c>
      <c r="P215" s="130" t="e">
        <f>P212+P214+P211+P213</f>
        <v>#VALUE!</v>
      </c>
      <c r="Q215" s="58" t="e">
        <f>P215/'Master P&amp;L'!$AD$5*10000</f>
        <v>#VALUE!</v>
      </c>
      <c r="S215" s="100" t="s">
        <v>251</v>
      </c>
      <c r="T215" s="102"/>
      <c r="W215" s="100" t="s">
        <v>252</v>
      </c>
      <c r="X215" s="122">
        <f>X212+X214+X211+X213</f>
        <v>-4.5610703321484645E-3</v>
      </c>
      <c r="AC215" s="100" t="s">
        <v>229</v>
      </c>
      <c r="AD215" s="122">
        <f>AD212</f>
        <v>5.8945646584196276E-3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-9.9819339811801786</v>
      </c>
      <c r="AC216" s="100"/>
      <c r="AD216" s="104"/>
    </row>
    <row r="217" spans="1:37">
      <c r="D217" s="64"/>
      <c r="H217" s="96"/>
      <c r="I217" s="64" t="e">
        <f>I212-I211</f>
        <v>#VALUE!</v>
      </c>
      <c r="K217" s="64" t="e">
        <f>(I211/25*A211)+(I212/25*A212)-(I214/25*A214)</f>
        <v>#VALUE!</v>
      </c>
      <c r="N217" s="36"/>
      <c r="O217" s="162"/>
      <c r="P217" s="15"/>
      <c r="Q217" s="58"/>
    </row>
    <row r="218" spans="1:37">
      <c r="I218" s="64">
        <f>I213-I214</f>
        <v>1.53</v>
      </c>
      <c r="K218">
        <v>11.59</v>
      </c>
      <c r="M218" s="267" t="e">
        <f>(I215-K216)*500*100</f>
        <v>#VALUE!</v>
      </c>
      <c r="P218">
        <v>-7500</v>
      </c>
      <c r="S218">
        <v>521.79999999999995</v>
      </c>
    </row>
    <row r="219" spans="1:37">
      <c r="I219" s="40" t="e">
        <f>I218/I217</f>
        <v>#VALUE!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22.65</v>
      </c>
      <c r="J221" s="64">
        <f>I224-I225</f>
        <v>7.6</v>
      </c>
      <c r="K221" s="129"/>
      <c r="W221" s="50">
        <f>W223-W222+W225-W224</f>
        <v>0.28491649031639099</v>
      </c>
    </row>
    <row r="222" spans="1:37">
      <c r="A222" s="237">
        <v>9</v>
      </c>
      <c r="B222" s="59" t="s">
        <v>2154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153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25.15</v>
      </c>
      <c r="J222" s="19">
        <f>I222/S222</f>
        <v>7.1507776292968644E-2</v>
      </c>
      <c r="K222" s="36" cm="1">
        <f t="array" ref="K222">_xll.BDP($B222&amp;" Equity","bid")</f>
        <v>25.15</v>
      </c>
      <c r="L222" s="36" cm="1">
        <f t="array" ref="L222">_xll.BDP($B222&amp;" Equity","ask")</f>
        <v>25.65</v>
      </c>
      <c r="M222" s="40">
        <f>(L222/K222-1)</f>
        <v>1.9880715705765439E-2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-125750</v>
      </c>
      <c r="Q222" s="58">
        <f>P222/'Master P&amp;L'!$AD$5*10000</f>
        <v>-0.5965630378555421</v>
      </c>
      <c r="R222" s="37" cm="1">
        <f t="array" ref="R222">_xll.BDP($C222&amp;" Equity","EST_PE_NXT_YR")*(T222/S222)</f>
        <v>28.407912693901331</v>
      </c>
      <c r="S222" s="36" cm="1">
        <f t="array" ref="S222">_xll.BDP(C222&amp;" Equity","LAST_PRICE")</f>
        <v>351.71</v>
      </c>
      <c r="T222" s="53" cm="1">
        <f t="array" ref="T222">_xll.BDP(B222&amp;" Equity","OPT_STRIKE_PX")</f>
        <v>410</v>
      </c>
      <c r="U222" s="40">
        <f>T222/S222-1</f>
        <v>0.16573313241022447</v>
      </c>
      <c r="V222" s="37" cm="1">
        <f t="array" ref="V222">_xll.BDP($B222&amp;" Equity","ivol_mid")</f>
        <v>48.497860000000003</v>
      </c>
      <c r="W222" s="38" cm="1">
        <f t="array" ref="W222">_xll.BDP(B222&amp;" Equity","DELTA_MID_RT")</f>
        <v>0.38731756806373596</v>
      </c>
      <c r="X222" s="48">
        <f>Y222/'Master P&amp;L'!$AE$5</f>
        <v>-3.2312478026483266E-4</v>
      </c>
      <c r="Y222" s="15">
        <f>IF(G222="Sell", S222*W222*-H222*O222/N222, S222*W222*H222*O222/N222)</f>
        <v>-681117.30931848288</v>
      </c>
      <c r="Z222" s="15" cm="1">
        <f t="array" ref="Z222">_xll.BDP($B222&amp;" Equity","opt_theta")*H222*O222/N222</f>
        <v>-649.68500000000006</v>
      </c>
      <c r="AA222" s="19" cm="1">
        <f t="array" ref="AA222">_xll.BDP($B222&amp;" Equity","opt_theta")/I222</f>
        <v>-5.1664811133200796E-3</v>
      </c>
      <c r="AB222" s="36" t="str" cm="1">
        <f t="array" ref="AB222">_xll.BDP($C222&amp;" Equity","EXPECTED_REPORT_DT")</f>
        <v>06/03/2026</v>
      </c>
      <c r="AC222" s="15">
        <f>S222*H222*O222/N222</f>
        <v>1758550</v>
      </c>
      <c r="AD222" s="19">
        <f>AC222/'Master P&amp;L'!$AE$5</f>
        <v>8.3426316518557737E-4</v>
      </c>
      <c r="AE222" t="s">
        <v>1878</v>
      </c>
      <c r="AK222" t="s">
        <v>1791</v>
      </c>
    </row>
    <row r="223" spans="1:37">
      <c r="A223" s="237">
        <v>3</v>
      </c>
      <c r="B223" s="59" t="s">
        <v>2152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153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47.8</v>
      </c>
      <c r="J223" s="19">
        <f>I223/S223</f>
        <v>0.13590742372977738</v>
      </c>
      <c r="K223" s="36" cm="1">
        <f t="array" ref="K223">_xll.BDP($B223&amp;" Equity","bid")</f>
        <v>47.4</v>
      </c>
      <c r="L223" s="36" cm="1">
        <f t="array" ref="L223">_xll.BDP($B223&amp;" Equity","ask")</f>
        <v>47.8</v>
      </c>
      <c r="M223" s="40">
        <f>(L223/K223-1)</f>
        <v>8.4388185654007408E-3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239000</v>
      </c>
      <c r="Q223" s="58">
        <f>P223/'Master P&amp;L'!$AD$5*10000</f>
        <v>1.1338255749302153</v>
      </c>
      <c r="R223" s="37" cm="1">
        <f t="array" ref="R223">_xll.BDP($C223&amp;" Equity","EST_PE_NXT_YR")*(T223/S223)</f>
        <v>24.250657177720647</v>
      </c>
      <c r="S223" s="36" cm="1">
        <f t="array" ref="S223">_xll.BDP(C223&amp;" Equity","LAST_PRICE")</f>
        <v>351.71</v>
      </c>
      <c r="T223" s="53" cm="1">
        <f t="array" ref="T223">_xll.BDP(B223&amp;" Equity","OPT_STRIKE_PX")</f>
        <v>350</v>
      </c>
      <c r="U223" s="40">
        <f>T223/S223-1</f>
        <v>-4.8619601376133081E-3</v>
      </c>
      <c r="V223" s="37" cm="1">
        <f t="array" ref="V223">_xll.BDP($B223&amp;" Equity","ivol_mid")</f>
        <v>49.347000000000001</v>
      </c>
      <c r="W223" s="38" cm="1">
        <f t="array" ref="W223">_xll.BDP(B223&amp;" Equity","DELTA_MID_RT")</f>
        <v>0.58753734827041626</v>
      </c>
      <c r="X223" s="48">
        <f>Y223/'Master P&amp;L'!$AE$5</f>
        <v>4.9016076783281828E-4</v>
      </c>
      <c r="Y223" s="15">
        <f>IF(G223="Sell", S223*W223*-H223*O223/N223, S223*W223*H223*O223/N223)</f>
        <v>1033213.8038009403</v>
      </c>
      <c r="Z223" s="15" cm="1">
        <f t="array" ref="Z223">_xll.BDP($B223&amp;" Equity","opt_theta")*H223*O223/N223</f>
        <v>-676.01499999999999</v>
      </c>
      <c r="AA223" s="19" cm="1">
        <f t="array" ref="AA223">_xll.BDP($B223&amp;" Equity","opt_theta")/I223</f>
        <v>-2.8285146443514644E-3</v>
      </c>
      <c r="AB223" s="36" t="str" cm="1">
        <f t="array" ref="AB223">_xll.BDP($C223&amp;" Equity","EXPECTED_REPORT_DT")</f>
        <v>06/03/2026</v>
      </c>
      <c r="AC223" s="15">
        <f>S223*H223*O223/N223</f>
        <v>1758550</v>
      </c>
      <c r="AD223" s="48">
        <f>AC223/'Master P&amp;L'!$AE$5</f>
        <v>8.3426316518557737E-4</v>
      </c>
      <c r="AE223" t="s">
        <v>1879</v>
      </c>
      <c r="AK223" t="s">
        <v>1792</v>
      </c>
    </row>
    <row r="224" spans="1:37">
      <c r="A224" s="237"/>
      <c r="B224" s="59" t="s">
        <v>2151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153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19.45</v>
      </c>
      <c r="J224" s="19">
        <f>I224/S224</f>
        <v>5.530124250092406E-2</v>
      </c>
      <c r="K224" s="36" cm="1">
        <f t="array" ref="K224">_xll.BDP($B224&amp;" Equity","bid")</f>
        <v>19.45</v>
      </c>
      <c r="L224" s="36" cm="1">
        <f t="array" ref="L224">_xll.BDP($B224&amp;" Equity","ask")</f>
        <v>19.899999999999999</v>
      </c>
      <c r="M224" s="40">
        <f>(L224/K224-1)</f>
        <v>2.3136246786632286E-2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-97250</v>
      </c>
      <c r="Q224" s="58">
        <f>P224/'Master P&amp;L'!$AD$5*10000</f>
        <v>-0.46135789607516076</v>
      </c>
      <c r="R224" s="37" cm="1">
        <f t="array" ref="R224">_xll.BDP($C224&amp;" Equity","EST_PE_NXT_YR")*(T224/S224)</f>
        <v>20.786277580903413</v>
      </c>
      <c r="S224" s="36" cm="1">
        <f t="array" ref="S224">_xll.BDP(C224&amp;" Equity","LAST_PRICE")</f>
        <v>351.71</v>
      </c>
      <c r="T224" s="53" cm="1">
        <f t="array" ref="T224">_xll.BDP(B224&amp;" Equity","OPT_STRIKE_PX")</f>
        <v>300</v>
      </c>
      <c r="U224" s="40">
        <f>T224/S224-1</f>
        <v>-0.14702453726081144</v>
      </c>
      <c r="V224" s="37" cm="1">
        <f t="array" ref="V224">_xll.BDP(B224&amp;" Equity","ivol_mid")</f>
        <v>50.552379999999999</v>
      </c>
      <c r="W224" s="38" cm="1">
        <f t="array" ref="W224">_xll.BDP(B224&amp;" Equity","DELTA_MID_RT")</f>
        <v>-0.24449306726455688</v>
      </c>
      <c r="X224" s="48">
        <f>Y224/'Master P&amp;L'!$AE$5</f>
        <v>2.0397156016205951E-4</v>
      </c>
      <c r="Y224" s="15">
        <f>IF(G224="Sell", S224*W224*-H224*O224/N224, S224*W224*H224*O224/N224)</f>
        <v>429953.28343808651</v>
      </c>
      <c r="Z224" s="15" cm="1">
        <f t="array" ref="Z224">_xll.BDP($B224&amp;" Equity","opt_theta")*H224*O224/N224</f>
        <v>-605.13499999999999</v>
      </c>
      <c r="AA224" s="19" cm="1">
        <f t="array" ref="AA224">_xll.BDP($B224&amp;" Equity","opt_theta")/I224</f>
        <v>-6.2224678663239073E-3</v>
      </c>
      <c r="AB224" s="36" t="str" cm="1">
        <f t="array" ref="AB224">_xll.BDP($C224&amp;" Equity","EXPECTED_REPORT_DT")</f>
        <v>06/03/2026</v>
      </c>
      <c r="AC224" s="15">
        <f>S224*H224*O224/N224</f>
        <v>1758550</v>
      </c>
      <c r="AD224" s="19">
        <f>AC224/'Master P&amp;L'!$AE$5</f>
        <v>8.3426316518557737E-4</v>
      </c>
      <c r="AE224" t="s">
        <v>1880</v>
      </c>
      <c r="AK224" t="s">
        <v>1793</v>
      </c>
    </row>
    <row r="225" spans="1:37">
      <c r="A225" s="237"/>
      <c r="B225" s="59" t="s">
        <v>2153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153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11.85</v>
      </c>
      <c r="J225" s="19">
        <f>I225/S225</f>
        <v>3.3692530778197949E-2</v>
      </c>
      <c r="K225" s="36" cm="1">
        <f t="array" ref="K225">_xll.BDP($B225&amp;" Equity","bid")</f>
        <v>11.55</v>
      </c>
      <c r="L225" s="36" cm="1">
        <f t="array" ref="L225">_xll.BDP($B225&amp;" Equity","ask")</f>
        <v>11.85</v>
      </c>
      <c r="M225" s="40">
        <f>(L225/K225-1)</f>
        <v>2.5974025974025983E-2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59250</v>
      </c>
      <c r="Q225" s="58">
        <f>P225/'Master P&amp;L'!$AD$5*10000</f>
        <v>0.28108437370131906</v>
      </c>
      <c r="R225" s="37" cm="1">
        <f t="array" ref="R225">_xll.BDP($C225&amp;" Equity","EST_PE_NXT_YR")*(T225/S225)</f>
        <v>18.707649822813071</v>
      </c>
      <c r="S225" s="36" cm="1">
        <f t="array" ref="S225">_xll.BDP(C225&amp;" Equity","LAST_PRICE")</f>
        <v>351.71</v>
      </c>
      <c r="T225" s="53" cm="1">
        <f t="array" ref="T225">_xll.BDP(B225&amp;" Equity","OPT_STRIKE_PX")</f>
        <v>270</v>
      </c>
      <c r="U225" s="40">
        <f>T225/S225-1</f>
        <v>-0.23232208353473027</v>
      </c>
      <c r="V225" s="37" cm="1">
        <f t="array" ref="V225">_xll.BDP(B225&amp;" Equity","ivol_mid")</f>
        <v>52.261330000000001</v>
      </c>
      <c r="W225" s="38" cm="1">
        <f t="array" ref="W225">_xll.BDP(B225&amp;" Equity","DELTA_MID_RT")</f>
        <v>-0.15979635715484619</v>
      </c>
      <c r="X225" s="48">
        <f>Y225/'Master P&amp;L'!$AE$5</f>
        <v>-1.3331221470512693E-4</v>
      </c>
      <c r="Y225" s="15">
        <f>IF(G225="Sell", S225*W225*-H225*O225/N225, S225*W225*H225*O225/N225)</f>
        <v>-281009.88387465471</v>
      </c>
      <c r="Z225" s="15" cm="1">
        <f t="array" ref="Z225">_xll.BDP($B225&amp;" Equity","opt_theta")*H225*O225/N225</f>
        <v>-488.255</v>
      </c>
      <c r="AA225" s="19" cm="1">
        <f t="array" ref="AA225">_xll.BDP($B225&amp;" Equity","opt_theta")/I225</f>
        <v>-8.2405907172995781E-3</v>
      </c>
      <c r="AB225" s="36" t="str" cm="1">
        <f t="array" ref="AB225">_xll.BDP($C225&amp;" Equity","EXPECTED_REPORT_DT")</f>
        <v>06/03/2026</v>
      </c>
      <c r="AC225" s="15">
        <f>S225*H225*O225/N225</f>
        <v>1758550</v>
      </c>
      <c r="AD225" s="19">
        <f>AC225/'Master P&amp;L'!$AE$5</f>
        <v>8.3426316518557737E-4</v>
      </c>
      <c r="AE225" t="s">
        <v>1880</v>
      </c>
      <c r="AK225" t="s">
        <v>1793</v>
      </c>
    </row>
    <row r="226" spans="1:37">
      <c r="H226" s="100" t="s">
        <v>116</v>
      </c>
      <c r="I226" s="102">
        <f>I223+I225-I224-I222</f>
        <v>15.050000000000004</v>
      </c>
      <c r="J226" s="100" t="s">
        <v>249</v>
      </c>
      <c r="K226" s="101">
        <f>K225/L223</f>
        <v>0.24163179916317995</v>
      </c>
      <c r="P226" s="130">
        <f>P223+P225+P222+P224</f>
        <v>75250</v>
      </c>
      <c r="Q226" s="58">
        <f>P226/'Master P&amp;L'!$AD$5*10000</f>
        <v>0.35698901470083133</v>
      </c>
      <c r="S226" s="100" t="s">
        <v>251</v>
      </c>
      <c r="T226" s="102"/>
      <c r="W226" s="100" t="s">
        <v>252</v>
      </c>
      <c r="X226" s="122">
        <f>X223+X225+X222+X224</f>
        <v>2.3769533302491817E-4</v>
      </c>
      <c r="AC226" s="100" t="s">
        <v>229</v>
      </c>
      <c r="AD226" s="122">
        <f>AD223</f>
        <v>8.3426316518557737E-4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14.224999999999994</v>
      </c>
      <c r="P227" s="100"/>
      <c r="Q227" s="108"/>
      <c r="S227" s="100"/>
      <c r="T227" s="102"/>
      <c r="W227" s="100"/>
      <c r="X227" s="122"/>
      <c r="Y227" s="13">
        <f>(Y222+Y223+Y224)/S223</f>
        <v>2223.5642373561855</v>
      </c>
      <c r="AC227" s="100"/>
      <c r="AD227" s="104"/>
    </row>
    <row r="228" spans="1:37">
      <c r="D228" s="64"/>
      <c r="H228" s="96"/>
      <c r="I228" s="64">
        <f>I223-I222</f>
        <v>22.65</v>
      </c>
      <c r="K228" s="64">
        <f>(I222/25*A222)+(I223/25*A223)-(I225/25*A225)</f>
        <v>14.79</v>
      </c>
      <c r="N228" s="36"/>
      <c r="O228" s="162"/>
      <c r="P228" s="15"/>
      <c r="Q228" s="58"/>
    </row>
    <row r="229" spans="1:37">
      <c r="I229" s="64">
        <f>I224-I225</f>
        <v>7.6</v>
      </c>
      <c r="K229">
        <v>11.59</v>
      </c>
      <c r="M229" s="267">
        <f>(I226-K227)*500*100</f>
        <v>41250.000000000502</v>
      </c>
      <c r="P229">
        <v>-7500</v>
      </c>
      <c r="S229">
        <v>521.79999999999995</v>
      </c>
    </row>
    <row r="230" spans="1:37">
      <c r="I230" s="40">
        <f>I229/I228</f>
        <v>0.33554083885209712</v>
      </c>
    </row>
    <row r="231" spans="1:37">
      <c r="I231" s="64"/>
    </row>
    <row r="232" spans="1:37">
      <c r="I232" s="64"/>
    </row>
    <row r="233" spans="1:37">
      <c r="A233" s="518">
        <f>P233/Y233</f>
        <v>8.0018331953216601E-2</v>
      </c>
      <c r="B233" s="59" t="s">
        <v>2378</v>
      </c>
      <c r="C233" t="str" cm="1">
        <f t="array" ref="C233">_xll.BDP(B233&amp;" Equity","OPT_UNDL_TICKER")</f>
        <v>META US</v>
      </c>
      <c r="D233" s="43">
        <f>J233+U233</f>
        <v>5.3768641676743251E-2</v>
      </c>
      <c r="E233" cm="1">
        <f t="array" ref="E233">_xll.BDP($B233&amp;" Index","opt_days_expire")</f>
        <v>28</v>
      </c>
      <c r="F233" t="str" cm="1">
        <f t="array" ref="F233">_xll.BDP(B233&amp;" Equity","QUOTED_CURRENCY_REALTIME")</f>
        <v>USD</v>
      </c>
      <c r="G233" s="105" t="s">
        <v>247</v>
      </c>
      <c r="H233" s="131">
        <v>35</v>
      </c>
      <c r="I233" s="97">
        <f>IF(G233="Buy",L233,K233)</f>
        <v>23.6</v>
      </c>
      <c r="J233" s="19">
        <f>I233/S233</f>
        <v>3.8049173720274082E-2</v>
      </c>
      <c r="K233" s="36" cm="1">
        <f t="array" ref="K233">_xll.BDP($B233&amp;" Equity","bid")</f>
        <v>23.4</v>
      </c>
      <c r="L233" s="36" cm="1">
        <f t="array" ref="L233">_xll.BDP($B233&amp;" Equity","ask")</f>
        <v>23.6</v>
      </c>
      <c r="M233" s="40">
        <f>(L233/K233-1)</f>
        <v>8.5470085470087387E-3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82600</v>
      </c>
      <c r="Q233" s="58">
        <f>P233/'Master P&amp;L'!$AD$5*10000</f>
        <v>0.3918577091599823</v>
      </c>
      <c r="R233" s="37" cm="1">
        <f t="array" ref="R233">_xll.BDP($C233&amp;" Equity","EST_PE_NXT_YR")*(T233/S233)</f>
        <v>18.598355524639452</v>
      </c>
      <c r="S233" s="36" cm="1">
        <f t="array" ref="S233">_xll.BDP(C233&amp;" Equity","LAST_PRICE")</f>
        <v>620.25</v>
      </c>
      <c r="T233" s="53" cm="1">
        <f t="array" ref="T233">_xll.BDP(B233&amp;" Equity","OPT_STRIKE_PX")</f>
        <v>630</v>
      </c>
      <c r="U233" s="40">
        <f>T233/S233-1</f>
        <v>1.5719467956469169E-2</v>
      </c>
      <c r="V233" s="37" cm="1">
        <f t="array" ref="V233">_xll.BDP($B233&amp;" Equity","ivol_mid")</f>
        <v>38.508800000000001</v>
      </c>
      <c r="W233" s="38" cm="1">
        <f t="array" ref="W233">_xll.BDP(B233&amp;" Equity","DELTA_MID_RT")</f>
        <v>0.47550570964813232</v>
      </c>
      <c r="X233" s="48">
        <f>Y233/'Master P&amp;L'!$AE$5</f>
        <v>4.8970991970825536E-4</v>
      </c>
      <c r="Y233" s="15">
        <f>IF(G233="Sell", S233*W233*-H233*O233/N233, S233*W233*H233*O233/N233)</f>
        <v>1032263.4574323893</v>
      </c>
      <c r="Z233" s="15" cm="1">
        <f t="array" ref="Z233">_xll.BDP($B233&amp;" Equity","opt_theta")*H233*O233/N233</f>
        <v>-1683.1779999999999</v>
      </c>
      <c r="AA233" s="19" cm="1">
        <f t="array" ref="AA233">_xll.BDP($B233&amp;" Equity","opt_theta")/I233</f>
        <v>-2.0377457627118643E-2</v>
      </c>
      <c r="AB233" s="36" t="str" cm="1">
        <f t="array" ref="AB233">_xll.BDP($C233&amp;" Equity","EXPECTED_REPORT_DT")</f>
        <v>28/01/2026</v>
      </c>
      <c r="AC233" s="15">
        <f>S233*H233*O233/N233</f>
        <v>2170875</v>
      </c>
      <c r="AD233" s="48">
        <f>AC233/'Master P&amp;L'!$AE$5</f>
        <v>1.0298717970613517E-3</v>
      </c>
      <c r="AE233" t="str">
        <f>B233&amp;" -&gt; Buy to open "&amp;H233&amp;"x"</f>
        <v>META US 02/13/26 C630 -&gt; Buy to open 35x</v>
      </c>
    </row>
    <row r="234" spans="1:37">
      <c r="A234" s="518">
        <f t="shared" ref="A234:A235" si="0">P234/Y234</f>
        <v>8.2753570971163884E-2</v>
      </c>
      <c r="B234" s="59" t="s">
        <v>2379</v>
      </c>
      <c r="C234" t="str" cm="1">
        <f t="array" ref="C234">_xll.BDP(B234&amp;" Equity","OPT_UNDL_TICKER")</f>
        <v>AMZN US</v>
      </c>
      <c r="D234" s="43">
        <f>J234+U234</f>
        <v>4.6545667447306795E-2</v>
      </c>
      <c r="E234" cm="1">
        <f t="array" ref="E234">_xll.BDP($B234&amp;" Index","opt_days_expire")</f>
        <v>28</v>
      </c>
      <c r="F234" t="str" cm="1">
        <f t="array" ref="F234">_xll.BDP(B234&amp;" Equity","QUOTED_CURRENCY_REALTIME")</f>
        <v>USD</v>
      </c>
      <c r="G234" s="105" t="s">
        <v>247</v>
      </c>
      <c r="H234" s="131">
        <v>85</v>
      </c>
      <c r="I234" s="97">
        <f>IF(G234="Buy",L234,K234)</f>
        <v>10.25</v>
      </c>
      <c r="J234" s="19">
        <f>I234/S234</f>
        <v>4.2865506858481096E-2</v>
      </c>
      <c r="K234" s="36" cm="1">
        <f t="array" ref="K234">_xll.BDP($B234&amp;" Equity","bid")</f>
        <v>10.1</v>
      </c>
      <c r="L234" s="36" cm="1">
        <f t="array" ref="L234">_xll.BDP($B234&amp;" Equity","ask")</f>
        <v>10.25</v>
      </c>
      <c r="M234" s="40">
        <f>(L234/K234-1)</f>
        <v>1.4851485148514865E-2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87125</v>
      </c>
      <c r="Q234" s="58">
        <f>P234/'Master P&amp;L'!$AD$5*10000</f>
        <v>0.4133244904426569</v>
      </c>
      <c r="R234" s="37" cm="1">
        <f t="array" ref="R234">_xll.BDP($C234&amp;" Equity","EST_PE_NXT_YR")*(T234/S234)</f>
        <v>25.660856660481592</v>
      </c>
      <c r="S234" s="36" cm="1">
        <f t="array" ref="S234">_xll.BDP(C234&amp;" Equity","LAST_PRICE")</f>
        <v>239.12</v>
      </c>
      <c r="T234" s="53" cm="1">
        <f t="array" ref="T234">_xll.BDP(B234&amp;" Equity","OPT_STRIKE_PX")</f>
        <v>240</v>
      </c>
      <c r="U234" s="40">
        <f>T234/S234-1</f>
        <v>3.6801605888256983E-3</v>
      </c>
      <c r="V234" s="37" cm="1">
        <f t="array" ref="V234">_xll.BDP(B234&amp;" Equity","ivol_mid")</f>
        <v>40.50573</v>
      </c>
      <c r="W234" s="38" cm="1">
        <f t="array" ref="W234">_xll.BDP(B234&amp;" Equity","DELTA_MID_RT")</f>
        <v>0.51798981428146362</v>
      </c>
      <c r="X234" s="48">
        <f>Y234/'Master P&amp;L'!$AE$5</f>
        <v>4.9946423530977657E-4</v>
      </c>
      <c r="Y234" s="15">
        <f>IF(G234="Sell", S234*W234*-H234*O234/N234, S234*W234*H234*O234/N234)</f>
        <v>1052824.6573233604</v>
      </c>
      <c r="Z234" s="15" cm="1">
        <f t="array" ref="Z234">_xll.BDP($B234&amp;" Equity","opt_theta")*H234*O234/N234</f>
        <v>-1602.046</v>
      </c>
      <c r="AA234" s="19" cm="1">
        <f t="array" ref="AA234">_xll.BDP($B234&amp;" Equity","opt_theta")/I234</f>
        <v>-1.8387902439024391E-2</v>
      </c>
      <c r="AB234" s="36" t="str" cm="1">
        <f t="array" ref="AB234">_xll.BDP($C234&amp;" Equity","EXPECTED_REPORT_DT")</f>
        <v>06/02/2026</v>
      </c>
      <c r="AC234" s="15">
        <f>S234*H234*O234/N234</f>
        <v>2032520</v>
      </c>
      <c r="AD234" s="19">
        <f>AC234/'Master P&amp;L'!$AE$5</f>
        <v>9.6423563077705475E-4</v>
      </c>
      <c r="AE234" t="str">
        <f>B234  &amp; " -&gt; Sell to open " &amp;   H234 &amp;"x"</f>
        <v>AMZN US 02/13/26 C240 -&gt; Sell to open 85x</v>
      </c>
    </row>
    <row r="235" spans="1:37">
      <c r="A235" s="518">
        <f t="shared" si="0"/>
        <v>6.4229613310860953E-2</v>
      </c>
      <c r="B235" s="59" t="s">
        <v>2380</v>
      </c>
      <c r="C235" t="str" cm="1">
        <f t="array" ref="C235">_xll.BDP(B235&amp;" Equity","OPT_UNDL_TICKER")</f>
        <v>MSFT US</v>
      </c>
      <c r="D235" s="43">
        <f>J235+U235</f>
        <v>4.1947549254120711E-2</v>
      </c>
      <c r="E235" cm="1">
        <f t="array" ref="E235">_xll.BDP($B235&amp;" Index","opt_days_expire")</f>
        <v>28</v>
      </c>
      <c r="F235" t="str" cm="1">
        <f t="array" ref="F235">_xll.BDP(B235&amp;" Equity","QUOTED_CURRENCY_REALTIME")</f>
        <v>USD</v>
      </c>
      <c r="G235" s="105" t="s">
        <v>247</v>
      </c>
      <c r="H235" s="131">
        <v>50</v>
      </c>
      <c r="I235" s="97">
        <f t="shared" ref="I235" si="1">IF(G235="Buy",L235,K235)</f>
        <v>14.15</v>
      </c>
      <c r="J235" s="19">
        <f t="shared" ref="J235" si="2">I235/S235</f>
        <v>3.0770234419171053E-2</v>
      </c>
      <c r="K235" s="36" cm="1">
        <f t="array" ref="K235">_xll.BDP($B235&amp;" Equity","bid")</f>
        <v>14</v>
      </c>
      <c r="L235" s="36" cm="1">
        <f t="array" ref="L235">_xll.BDP($B235&amp;" Equity","ask")</f>
        <v>14.15</v>
      </c>
      <c r="M235" s="40">
        <f t="shared" ref="M235" si="3">(L235/K235-1)</f>
        <v>1.0714285714285676E-2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70750</v>
      </c>
      <c r="Q235" s="58">
        <f>P235/'Master P&amp;L'!$AD$5*10000</f>
        <v>0.33564083441971848</v>
      </c>
      <c r="R235" s="37" cm="1">
        <f t="array" ref="R235">_xll.BDP($C235&amp;" Equity","EST_PE_NXT_YR")*(T235/S235)</f>
        <v>24.543650079330718</v>
      </c>
      <c r="S235" s="36" cm="1">
        <f t="array" ref="S235">_xll.BDP(C235&amp;" Equity","LAST_PRICE")</f>
        <v>459.86</v>
      </c>
      <c r="T235" s="53" cm="1">
        <f t="array" ref="T235">_xll.BDP(B235&amp;" Equity","OPT_STRIKE_PX")</f>
        <v>465</v>
      </c>
      <c r="U235" s="40">
        <f t="shared" ref="U235" si="5">T235/S235-1</f>
        <v>1.1177314834949659E-2</v>
      </c>
      <c r="V235" s="37" cm="1">
        <f t="array" ref="V235">_xll.BDP(B235&amp;" Equity","ivol_mid")</f>
        <v>33.146140000000003</v>
      </c>
      <c r="W235" s="38" cm="1">
        <f t="array" ref="W235">_xll.BDP(B235&amp;" Equity","DELTA_MID_RT")</f>
        <v>0.4790661633014679</v>
      </c>
      <c r="X235" s="48">
        <f>Y235/'Master P&amp;L'!$AE$5</f>
        <v>5.2256399675842838E-4</v>
      </c>
      <c r="Y235" s="15">
        <f t="shared" ref="Y235" si="6">IF(G235="Sell", S235*W235*-H235*O235/N235, S235*W235*H235*O235/N235)</f>
        <v>1101516.8292790651</v>
      </c>
      <c r="Z235" s="15" cm="1">
        <f t="array" ref="Z235">_xll.BDP($B235&amp;" Equity","opt_theta")*H235*O235/N235</f>
        <v>-1472.0249999999999</v>
      </c>
      <c r="AA235" s="19" cm="1">
        <f t="array" ref="AA235">_xll.BDP($B235&amp;" Equity","opt_theta")/I235</f>
        <v>-2.0806007067137807E-2</v>
      </c>
      <c r="AB235" s="36" t="str" cm="1">
        <f t="array" ref="AB235">_xll.BDP($C235&amp;" Equity","EXPECTED_REPORT_DT")</f>
        <v>28/01/2026</v>
      </c>
      <c r="AC235" s="15">
        <f t="shared" ref="AC235" si="7">S235*H235*O235/N235</f>
        <v>2299300</v>
      </c>
      <c r="AD235" s="19">
        <f>AC235/'Master P&amp;L'!$AE$5</f>
        <v>1.0907971315636167E-3</v>
      </c>
      <c r="AE235" t="str">
        <f t="shared" ref="AE235" si="8">B235  &amp; " -&gt; Sell to open " &amp;   H235 &amp;"x"</f>
        <v>MSFT US 02/13/26 C465 -&gt; Sell to open 50x</v>
      </c>
    </row>
    <row r="236" spans="1:37">
      <c r="A236" s="237"/>
      <c r="B236" s="59"/>
      <c r="D236" s="64"/>
      <c r="G236" s="105"/>
      <c r="H236" s="131"/>
      <c r="I236" s="97"/>
      <c r="J236" s="19"/>
      <c r="K236" s="36"/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19"/>
    </row>
    <row r="237" spans="1:37">
      <c r="A237" s="237"/>
      <c r="B237" s="59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/>
      <c r="B239" s="73"/>
      <c r="D239" s="64"/>
      <c r="G239" s="105"/>
      <c r="H239" s="131"/>
      <c r="I239" s="97">
        <f>I234-I233</f>
        <v>-13.350000000000001</v>
      </c>
      <c r="J239" s="19"/>
      <c r="K239" s="109">
        <f>AVERAGE(K233:L233)-AVERAGE(K234:L234)</f>
        <v>13.324999999999999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2" spans="1:35">
      <c r="A242" s="237">
        <v>2</v>
      </c>
      <c r="B242" t="s">
        <v>1839</v>
      </c>
      <c r="C242" t="str" cm="1">
        <f t="array" ref="C242">_xll.BDP(B242&amp;" Equity","OPT_UNDL_TICKER")</f>
        <v>MP US</v>
      </c>
      <c r="D242" s="64" t="e">
        <f>A242*AVERAGE(K242:L242)</f>
        <v>#DIV/0!</v>
      </c>
      <c r="E242" t="str" cm="1">
        <f t="array" ref="E242">_xll.BDP($B242&amp;" Index","opt_days_expire")</f>
        <v>#N/A N/A</v>
      </c>
      <c r="F242" t="str" cm="1">
        <f t="array" ref="F242">_xll.BDP(B242&amp;" Equity","QUOTED_CURRENCY_REALTIME")</f>
        <v>#N/A Real Time</v>
      </c>
      <c r="G242" s="105" t="s">
        <v>248</v>
      </c>
      <c r="H242" s="131">
        <v>150</v>
      </c>
      <c r="I242" s="97" t="str">
        <f>IF(G242="Buy",L242,K242)</f>
        <v>#N/A Real Time</v>
      </c>
      <c r="J242" s="19" t="e">
        <f>I242/S242</f>
        <v>#VALUE!</v>
      </c>
      <c r="K242" s="36" t="str" cm="1">
        <f t="array" ref="K242">_xll.BDP($B242&amp;" Equity","bid")</f>
        <v>#N/A Real Time</v>
      </c>
      <c r="L242" s="36" t="str" cm="1">
        <f t="array" ref="L242">_xll.BDP($B242&amp;" Equity","ask")</f>
        <v>#N/A Real Time</v>
      </c>
      <c r="M242" s="40" t="e">
        <f>(L242/K242-1)</f>
        <v>#VALUE!</v>
      </c>
      <c r="N242" s="36" t="str" cm="1">
        <f t="array" ref="N242">_xll.BDP(F242&amp;" Curncy","PX_LAST")</f>
        <v>#N/A Real Time Curncy</v>
      </c>
      <c r="O242" s="162" cm="1">
        <f t="array" ref="O242">_xll.BDP(B242&amp;" Equity","OPT_MULTIPLIER")</f>
        <v>100</v>
      </c>
      <c r="P242" s="15" t="e">
        <f>IF(G242="Buy",((I242/N242)*H242*O242),((I242/N242)*-H242*O242))</f>
        <v>#VALUE!</v>
      </c>
      <c r="Q242" s="58" t="e">
        <f>P242/'Master P&amp;L'!$AD$5*10000</f>
        <v>#VALUE!</v>
      </c>
      <c r="R242" s="37" cm="1">
        <f t="array" ref="R242">_xll.BDP($C242&amp;" Equity","EST_PE_NXT_YR")*(T242/S242)</f>
        <v>79.649665662467882</v>
      </c>
      <c r="S242" s="36" cm="1">
        <f t="array" ref="S242">_xll.BDP(C242&amp;" Equity","LAST_PRICE")</f>
        <v>68.98</v>
      </c>
      <c r="T242" s="53" cm="1">
        <f t="array" ref="T242">_xll.BDP(B242&amp;" Equity","OPT_STRIKE_PX")</f>
        <v>50</v>
      </c>
      <c r="U242" s="40">
        <f>T242/S242-1</f>
        <v>-0.27515221803421286</v>
      </c>
      <c r="V242" s="37" t="str" cm="1">
        <f t="array" ref="V242">_xll.BDP($B242&amp;" Equity","ivol_mid")</f>
        <v>#N/A N/A</v>
      </c>
      <c r="W242" s="38" t="str" cm="1">
        <f t="array" ref="W242">_xll.BDP(B242&amp;" Equity","DELTA_MID_RT")</f>
        <v>#N/A Real Time</v>
      </c>
      <c r="X242" s="48" t="e">
        <f>Y242/'Master P&amp;L'!$AE$5</f>
        <v>#VALUE!</v>
      </c>
      <c r="Y242" s="15" t="e">
        <f>IF(G242="Sell", S242*W242*-H242*O242/N242, S242*W242*H242*O242/N242)</f>
        <v>#VALUE!</v>
      </c>
      <c r="Z242" s="15" t="e" cm="1">
        <f t="array" ref="Z242">_xll.BDP($B242&amp;" Equity","opt_theta")*H242*O242/N242</f>
        <v>#VALUE!</v>
      </c>
      <c r="AA242" s="19" t="e" cm="1">
        <f t="array" ref="AA242">_xll.BDP($B242&amp;" Equity","opt_theta")/I242</f>
        <v>#VALUE!</v>
      </c>
      <c r="AB242" s="36" t="str" cm="1">
        <f t="array" ref="AB242">_xll.BDP($C242&amp;" Equity","EXPECTED_REPORT_DT")</f>
        <v>20/02/2026</v>
      </c>
      <c r="AC242" s="15" t="e">
        <f>S242*H242*O242/N242</f>
        <v>#VALUE!</v>
      </c>
      <c r="AD242" s="48" t="e">
        <f>AC242/'Master P&amp;L'!$AE$5</f>
        <v>#VALUE!</v>
      </c>
      <c r="AE242" t="str">
        <f>B242&amp;" -&gt; Buy to open "&amp;H242&amp;"x"</f>
        <v>MP US 09/19/25 C50 -&gt; Buy to open 150x</v>
      </c>
    </row>
    <row r="243" spans="1:35">
      <c r="A243" s="237">
        <v>2</v>
      </c>
      <c r="B243" t="s">
        <v>1840</v>
      </c>
      <c r="C243" t="str" cm="1">
        <f t="array" ref="C243">_xll.BDP(B243&amp;" Equity","OPT_UNDL_TICKER")</f>
        <v>MP US</v>
      </c>
      <c r="D243" s="64" t="e">
        <f>A243*AVERAGE(K243:L243)</f>
        <v>#DIV/0!</v>
      </c>
      <c r="E243" t="str" cm="1">
        <f t="array" ref="E243">_xll.BDP($B243&amp;" Index","opt_days_expire")</f>
        <v>#N/A N/A</v>
      </c>
      <c r="F243" t="str" cm="1">
        <f t="array" ref="F243">_xll.BDP(B243&amp;" Equity","QUOTED_CURRENCY_REALTIME")</f>
        <v>#N/A Real Time</v>
      </c>
      <c r="G243" s="105" t="s">
        <v>247</v>
      </c>
      <c r="H243" s="131">
        <f>H242</f>
        <v>150</v>
      </c>
      <c r="I243" s="97" t="str">
        <f>IF(G243="Buy",L243,K243)</f>
        <v>#N/A Real Time</v>
      </c>
      <c r="J243" s="19" t="e">
        <f>I243/S243</f>
        <v>#VALUE!</v>
      </c>
      <c r="K243" s="36" t="str" cm="1">
        <f t="array" ref="K243">_xll.BDP($B243&amp;" Equity","bid")</f>
        <v>#N/A Real Time</v>
      </c>
      <c r="L243" s="36" t="str" cm="1">
        <f t="array" ref="L243">_xll.BDP($B243&amp;" Equity","ask")</f>
        <v>#N/A Real Time</v>
      </c>
      <c r="M243" s="40" t="e">
        <f>(L243/K243-1)</f>
        <v>#VALUE!</v>
      </c>
      <c r="N243" s="36" t="str" cm="1">
        <f t="array" ref="N243">_xll.BDP(F243&amp;" Curncy","PX_LAST")</f>
        <v>#N/A Real Time Curncy</v>
      </c>
      <c r="O243" s="162" cm="1">
        <f t="array" ref="O243">_xll.BDP(B243&amp;" Equity","OPT_MULTIPLIER")</f>
        <v>100</v>
      </c>
      <c r="P243" s="15" t="e">
        <f>IF(G243="Buy",((I243/N243)*H243*O243),((I243/N243)*-H243*O243))</f>
        <v>#VALUE!</v>
      </c>
      <c r="Q243" s="58" t="e">
        <f>P243/'Master P&amp;L'!$AD$5*10000</f>
        <v>#VALUE!</v>
      </c>
      <c r="R243" s="37" cm="1">
        <f t="array" ref="R243">_xll.BDP($C243&amp;" Equity","EST_PE_NXT_YR")*(T243/S243)</f>
        <v>73.277692409470447</v>
      </c>
      <c r="S243" s="36" cm="1">
        <f t="array" ref="S243">_xll.BDP(C243&amp;" Equity","LAST_PRICE")</f>
        <v>68.98</v>
      </c>
      <c r="T243" s="53" cm="1">
        <f t="array" ref="T243">_xll.BDP(B243&amp;" Equity","OPT_STRIKE_PX")</f>
        <v>46</v>
      </c>
      <c r="U243" s="40">
        <f>T243/S243-1</f>
        <v>-0.33314004059147584</v>
      </c>
      <c r="V243" s="37" t="str" cm="1">
        <f t="array" ref="V243">_xll.BDP(B243&amp;" Equity","ivol_mid")</f>
        <v>#N/A N/A</v>
      </c>
      <c r="W243" s="38" t="str" cm="1">
        <f t="array" ref="W243">_xll.BDP(B243&amp;" Equity","DELTA_MID_RT")</f>
        <v>#N/A Real Time</v>
      </c>
      <c r="X243" s="48" t="e">
        <f>Y243/'Master P&amp;L'!$AE$5</f>
        <v>#VALUE!</v>
      </c>
      <c r="Y243" s="15" t="e">
        <f>IF(G243="Sell", S243*W243*-H243*O243/N243, S243*W243*H243*O243/N243)</f>
        <v>#VALUE!</v>
      </c>
      <c r="Z243" s="15" t="e" cm="1">
        <f t="array" ref="Z243">_xll.BDP($B243&amp;" Equity","opt_theta")*H243*O243/N243</f>
        <v>#VALUE!</v>
      </c>
      <c r="AA243" s="19" t="e" cm="1">
        <f t="array" ref="AA243">_xll.BDP($B243&amp;" Equity","opt_theta")/I243</f>
        <v>#VALUE!</v>
      </c>
      <c r="AB243" s="36" t="str" cm="1">
        <f t="array" ref="AB243">_xll.BDP($C243&amp;" Equity","EXPECTED_REPORT_DT")</f>
        <v>20/02/2026</v>
      </c>
      <c r="AC243" s="15" t="e">
        <f>S243*H243*O243/N243</f>
        <v>#VALUE!</v>
      </c>
      <c r="AD243" s="19" t="e">
        <f>AC243/'Master P&amp;L'!$AE$5</f>
        <v>#VALUE!</v>
      </c>
      <c r="AE243" t="str">
        <f>B243  &amp; " -&gt; Sell to open " &amp;   H243 &amp;"x"</f>
        <v>MP US 09/19/25 P46 -&gt; Sell to open 150x</v>
      </c>
    </row>
    <row r="244" spans="1:35">
      <c r="I244" t="e">
        <f>I243/I242</f>
        <v>#VALUE!</v>
      </c>
    </row>
    <row r="245" spans="1:35">
      <c r="A245" s="237"/>
      <c r="B245" s="73"/>
      <c r="D245" s="64"/>
      <c r="G245" s="105"/>
      <c r="H245" s="131"/>
      <c r="I245" s="97" t="e">
        <f>I243-I242</f>
        <v>#VALUE!</v>
      </c>
      <c r="J245" s="19"/>
      <c r="K245" s="109" t="e">
        <f>AVERAGE(K242:L242)-AVERAGE(K243:L243)</f>
        <v>#DIV/0!</v>
      </c>
      <c r="L245" s="36"/>
      <c r="M245" s="40"/>
      <c r="N245" s="36"/>
      <c r="O245" s="162"/>
      <c r="P245" s="15"/>
      <c r="Q245" s="58"/>
      <c r="R245" s="37"/>
      <c r="S245" s="36"/>
      <c r="T245" s="53"/>
      <c r="U245" s="40"/>
      <c r="V245" s="37"/>
      <c r="W245" s="38"/>
      <c r="X245" s="48"/>
      <c r="Y245" s="15"/>
      <c r="Z245" s="15"/>
      <c r="AA245" s="19"/>
      <c r="AB245" s="36"/>
      <c r="AC245" s="15"/>
      <c r="AD245" s="48"/>
    </row>
    <row r="248" spans="1:35">
      <c r="I248" t="e">
        <f>I249/I250</f>
        <v>#VALUE!</v>
      </c>
    </row>
    <row r="249" spans="1:35">
      <c r="A249" s="237" t="str">
        <f>'Master P&amp;L'!B12</f>
        <v>BABA</v>
      </c>
      <c r="B249" t="s">
        <v>1909</v>
      </c>
      <c r="C249" t="str" cm="1">
        <f t="array" ref="C249">_xll.BDP(B249&amp;" Equity","OPT_UNDL_TICKER")</f>
        <v>MSFT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100</v>
      </c>
      <c r="I249" s="97" t="str">
        <f t="shared" ref="I249:I254" si="9">IF(G249="Buy",L249,K249)</f>
        <v>#N/A Real Time</v>
      </c>
      <c r="J249" s="19" t="e">
        <f t="shared" ref="J249:J254" si="10">I249/S249</f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ref="M249:M254" si="11">(L249/K249-1)</f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ref="P249:P254" si="12">IF(G249="Buy",((I249/N249)*H249*O249),((I249/N249)*-H249*O249))</f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25.599290942957847</v>
      </c>
      <c r="S249" s="36" cm="1">
        <f t="array" ref="S249">_xll.BDP(C249&amp;" Equity","LAST_PRICE")</f>
        <v>459.86</v>
      </c>
      <c r="T249" s="53" cm="1">
        <f t="array" ref="T249">_xll.BDP(B249&amp;" Equity","OPT_STRIKE_PX")</f>
        <v>485</v>
      </c>
      <c r="U249" s="40">
        <f t="shared" ref="U249:U254" si="13">T249/S249-1</f>
        <v>5.4668812247205656E-2</v>
      </c>
      <c r="V249" s="37" t="str" cm="1">
        <f t="array" ref="V249">_xll.BDP($B249&amp;"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ref="Y249:Y254" si="14">IF(G249="Sell", S249*W249*-H249*O249/N249, S249*W249*H249*O249/N249)</f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28/01/2026</v>
      </c>
      <c r="AC249" s="15" t="e">
        <f t="shared" ref="AC249:AC254" si="15">S249*H249*O249/N249</f>
        <v>#VALUE!</v>
      </c>
      <c r="AD249" s="48" t="e">
        <f>AC249/'Master P&amp;L'!$AE$5</f>
        <v>#VALUE!</v>
      </c>
      <c r="AE249" t="str">
        <f>B249&amp;" -&gt; Buy to open "&amp;H249&amp;"x"</f>
        <v>MSFT US 10/03/25 P485 -&gt; Buy to open 100x</v>
      </c>
      <c r="AH249" s="64" t="e">
        <f t="shared" ref="AH249:AH254" si="16">AVERAGE(K249:L249)</f>
        <v>#DIV/0!</v>
      </c>
      <c r="AI249" s="15" t="e">
        <f t="shared" ref="AI249:AI254" si="17">IF(G249="Buy",((AH249/N249)*H249*O249),((I249/N249)*-H249*O249))</f>
        <v>#DIV/0!</v>
      </c>
    </row>
    <row r="250" spans="1:35">
      <c r="A250" s="237" t="str">
        <f>'Master P&amp;L'!B31</f>
        <v>AVGO</v>
      </c>
      <c r="B250" t="s">
        <v>1910</v>
      </c>
      <c r="C250" t="str" cm="1">
        <f t="array" ref="C250">_xll.BDP(B250&amp;" Equity","OPT_UNDL_TICKER")</f>
        <v>ORCL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100</v>
      </c>
      <c r="I250" s="97" t="str">
        <f t="shared" si="9"/>
        <v>#N/A Real Time</v>
      </c>
      <c r="J250" s="19" t="e">
        <f t="shared" si="1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1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12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35.095514335692798</v>
      </c>
      <c r="S250" s="36" cm="1">
        <f t="array" ref="S250">_xll.BDP(C250&amp;" Equity","LAST_PRICE")</f>
        <v>191.09</v>
      </c>
      <c r="T250" s="53" cm="1">
        <f t="array" ref="T250">_xll.BDP(B250&amp;" Equity","OPT_STRIKE_PX")</f>
        <v>285</v>
      </c>
      <c r="U250" s="40">
        <f t="shared" si="13"/>
        <v>0.49144382228269401</v>
      </c>
      <c r="V250" s="37" t="str" cm="1">
        <f t="array" ref="V250">_xll.BDP(B250&amp;"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1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10/03/2026</v>
      </c>
      <c r="AC250" s="15" t="e">
        <f t="shared" si="15"/>
        <v>#VALUE!</v>
      </c>
      <c r="AD250" s="19" t="e">
        <f>AC250/'Master P&amp;L'!$AE$5</f>
        <v>#VALUE!</v>
      </c>
      <c r="AE250" t="str">
        <f>B250  &amp; " -&gt; Sell to open " &amp;   H250 &amp;"x"</f>
        <v>ORCL US 10/03/25 P285 -&gt; Sell to open 100x</v>
      </c>
      <c r="AH250" s="64" t="e">
        <f t="shared" si="16"/>
        <v>#DIV/0!</v>
      </c>
      <c r="AI250" s="15" t="e">
        <f t="shared" si="17"/>
        <v>#DIV/0!</v>
      </c>
    </row>
    <row r="251" spans="1:35">
      <c r="A251" s="237" t="e">
        <f>'Master P&amp;L'!#REF!</f>
        <v>#REF!</v>
      </c>
      <c r="B251" t="s">
        <v>1911</v>
      </c>
      <c r="C251" t="str" cm="1">
        <f t="array" ref="C251">_xll.BDP(B251&amp;" Equity","OPT_UNDL_TICKER")</f>
        <v>AMZN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200</v>
      </c>
      <c r="I251" s="97" t="str">
        <f t="shared" si="9"/>
        <v>#N/A Real Time</v>
      </c>
      <c r="J251" s="19" t="e">
        <f t="shared" si="1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1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12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23.522451938774793</v>
      </c>
      <c r="S251" s="36" cm="1">
        <f t="array" ref="S251">_xll.BDP(C251&amp;" Equity","LAST_PRICE")</f>
        <v>239.12</v>
      </c>
      <c r="T251" s="53" cm="1">
        <f t="array" ref="T251">_xll.BDP(B251&amp;" Equity","OPT_STRIKE_PX")</f>
        <v>220</v>
      </c>
      <c r="U251" s="40">
        <f t="shared" si="13"/>
        <v>-7.9959852793576425E-2</v>
      </c>
      <c r="V251" s="37" t="str" cm="1">
        <f t="array" ref="V251">_xll.BDP($B251&amp;"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1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06/02/2026</v>
      </c>
      <c r="AC251" s="15" t="e">
        <f t="shared" si="15"/>
        <v>#VALUE!</v>
      </c>
      <c r="AD251" s="48" t="e">
        <f>AC251/'Master P&amp;L'!$AE$5</f>
        <v>#VALUE!</v>
      </c>
      <c r="AE251" t="str">
        <f>B251&amp;" -&gt; Buy to open "&amp;H251&amp;"x"</f>
        <v>AMZN US 10/03/25 P220 -&gt; Buy to open 200x</v>
      </c>
      <c r="AH251" s="64" t="e">
        <f t="shared" si="16"/>
        <v>#DIV/0!</v>
      </c>
      <c r="AI251" s="15" t="e">
        <f t="shared" si="17"/>
        <v>#DIV/0!</v>
      </c>
    </row>
    <row r="252" spans="1:35">
      <c r="A252" s="237" t="e">
        <f>'Master P&amp;L'!#REF!</f>
        <v>#REF!</v>
      </c>
      <c r="B252" t="s">
        <v>1914</v>
      </c>
      <c r="C252" t="str" cm="1">
        <f t="array" ref="C252">_xll.BDP(B252&amp;" Equity","OPT_UNDL_TICKER")</f>
        <v>META US</v>
      </c>
      <c r="D252" s="64"/>
      <c r="E252" t="str" cm="1">
        <f t="array" ref="E252">_xll.BDP($B252&amp;" Index","opt_days_expire")</f>
        <v>#N/A N/A</v>
      </c>
      <c r="F252" t="str" cm="1">
        <f t="array" ref="F252">_xll.BDP(B252&amp;" Equity","QUOTED_CURRENCY_REALTIME")</f>
        <v>#N/A Real Time</v>
      </c>
      <c r="G252" s="105" t="s">
        <v>247</v>
      </c>
      <c r="H252" s="131">
        <v>70</v>
      </c>
      <c r="I252" s="97" t="str">
        <f t="shared" si="9"/>
        <v>#N/A Real Time</v>
      </c>
      <c r="J252" s="19" t="e">
        <f t="shared" si="10"/>
        <v>#VALUE!</v>
      </c>
      <c r="K252" s="36" t="str" cm="1">
        <f t="array" ref="K252">_xll.BDP($B252&amp;" Equity","bid")</f>
        <v>#N/A Real Time</v>
      </c>
      <c r="L252" s="36" t="str" cm="1">
        <f t="array" ref="L252">_xll.BDP($B252&amp;" Equity","ask")</f>
        <v>#N/A Real Time</v>
      </c>
      <c r="M252" s="40" t="e">
        <f t="shared" si="11"/>
        <v>#VALUE!</v>
      </c>
      <c r="N252" s="36" t="str" cm="1">
        <f t="array" ref="N252">_xll.BDP(F252&amp;" Curncy","PX_LAST")</f>
        <v>#N/A Real Time Curncy</v>
      </c>
      <c r="O252" s="162" cm="1">
        <f t="array" ref="O252">_xll.BDP(B252&amp;" Equity","OPT_MULTIPLIER")</f>
        <v>100</v>
      </c>
      <c r="P252" s="15" t="e">
        <f t="shared" si="12"/>
        <v>#VALUE!</v>
      </c>
      <c r="Q252" s="58" t="e">
        <f>P252/'Master P&amp;L'!$AD$5*10000</f>
        <v>#VALUE!</v>
      </c>
      <c r="R252" s="37" cm="1">
        <f t="array" ref="R252">_xll.BDP($C252&amp;" Equity","EST_PE_NXT_YR")*(T252/S252)</f>
        <v>21.550475449185395</v>
      </c>
      <c r="S252" s="36" cm="1">
        <f t="array" ref="S252">_xll.BDP(C252&amp;" Equity","LAST_PRICE")</f>
        <v>620.25</v>
      </c>
      <c r="T252" s="53" cm="1">
        <f t="array" ref="T252">_xll.BDP(B252&amp;" Equity","OPT_STRIKE_PX")</f>
        <v>730</v>
      </c>
      <c r="U252" s="40">
        <f t="shared" si="13"/>
        <v>0.17694478033051197</v>
      </c>
      <c r="V252" s="37" t="str" cm="1">
        <f t="array" ref="V252">_xll.BDP(B252&amp;" Equity","ivol_mid")</f>
        <v>#N/A N/A</v>
      </c>
      <c r="W252" s="38" t="str" cm="1">
        <f t="array" ref="W252">_xll.BDP(B252&amp;" Equity","DELTA_MID_RT")</f>
        <v>#N/A Real Time</v>
      </c>
      <c r="X252" s="48" t="e">
        <f>Y252/'Master P&amp;L'!$AE$5</f>
        <v>#VALUE!</v>
      </c>
      <c r="Y252" s="15" t="e">
        <f t="shared" si="14"/>
        <v>#VALUE!</v>
      </c>
      <c r="Z252" s="15" t="e" cm="1">
        <f t="array" ref="Z252">_xll.BDP($B252&amp;" Equity","opt_theta")*H252*O252/N252</f>
        <v>#VALUE!</v>
      </c>
      <c r="AA252" s="19" t="e" cm="1">
        <f t="array" ref="AA252">_xll.BDP($B252&amp;" Equity","opt_theta")/I252</f>
        <v>#VALUE!</v>
      </c>
      <c r="AB252" s="36" t="str" cm="1">
        <f t="array" ref="AB252">_xll.BDP($C252&amp;" Equity","EXPECTED_REPORT_DT")</f>
        <v>28/01/2026</v>
      </c>
      <c r="AC252" s="15" t="e">
        <f t="shared" si="15"/>
        <v>#VALUE!</v>
      </c>
      <c r="AD252" s="19" t="e">
        <f>AC252/'Master P&amp;L'!$AE$5</f>
        <v>#VALUE!</v>
      </c>
      <c r="AE252" t="str">
        <f>B252  &amp; " -&gt; Sell to open " &amp;   H252 &amp;"x"</f>
        <v>META US 10/03/25 P730 -&gt; Sell to open 70x</v>
      </c>
      <c r="AH252" s="64" t="e">
        <f t="shared" si="16"/>
        <v>#DIV/0!</v>
      </c>
      <c r="AI252" s="15" t="e">
        <f t="shared" si="17"/>
        <v>#DIV/0!</v>
      </c>
    </row>
    <row r="253" spans="1:35">
      <c r="A253" s="237" t="s">
        <v>94</v>
      </c>
      <c r="B253" t="s">
        <v>1912</v>
      </c>
      <c r="C253" t="str" cm="1">
        <f t="array" ref="C253">_xll.BDP(B253&amp;" Equity","OPT_UNDL_TICKER")</f>
        <v>NVDA US</v>
      </c>
      <c r="D253" s="64"/>
      <c r="E253" t="str" cm="1">
        <f t="array" ref="E253">_xll.BDP($B253&amp;" Index","opt_days_expire")</f>
        <v>#N/A N/A</v>
      </c>
      <c r="F253" t="str" cm="1">
        <f t="array" ref="F253">_xll.BDP(B253&amp;" Equity","QUOTED_CURRENCY_REALTIME")</f>
        <v>#N/A Real Time</v>
      </c>
      <c r="G253" s="105" t="s">
        <v>247</v>
      </c>
      <c r="H253" s="131">
        <v>250</v>
      </c>
      <c r="I253" s="97" t="str">
        <f t="shared" si="9"/>
        <v>#N/A Real Time</v>
      </c>
      <c r="J253" s="19" t="e">
        <f t="shared" si="10"/>
        <v>#VALUE!</v>
      </c>
      <c r="K253" s="36" t="str" cm="1">
        <f t="array" ref="K253">_xll.BDP($B253&amp;" Equity","bid")</f>
        <v>#N/A Real Time</v>
      </c>
      <c r="L253" s="36" t="str" cm="1">
        <f t="array" ref="L253">_xll.BDP($B253&amp;" Equity","ask")</f>
        <v>#N/A Real Time</v>
      </c>
      <c r="M253" s="40" t="e">
        <f t="shared" si="11"/>
        <v>#VALUE!</v>
      </c>
      <c r="N253" s="36" t="str" cm="1">
        <f t="array" ref="N253">_xll.BDP(F253&amp;" Curncy","PX_LAST")</f>
        <v>#N/A Real Time Curncy</v>
      </c>
      <c r="O253" s="162" cm="1">
        <f t="array" ref="O253">_xll.BDP(B253&amp;" Equity","OPT_MULTIPLIER")</f>
        <v>100</v>
      </c>
      <c r="P253" s="15" t="e">
        <f t="shared" si="12"/>
        <v>#VALUE!</v>
      </c>
      <c r="Q253" s="58" t="e">
        <f>P253/'Master P&amp;L'!$AD$5*10000</f>
        <v>#VALUE!</v>
      </c>
      <c r="R253" s="37" cm="1">
        <f t="array" ref="R253">_xll.BDP($C253&amp;" Equity","EST_PE_NXT_YR")*(T253/S253)</f>
        <v>20.803172191814173</v>
      </c>
      <c r="S253" s="36" cm="1">
        <f t="array" ref="S253">_xll.BDP(C253&amp;" Equity","LAST_PRICE")</f>
        <v>186.23</v>
      </c>
      <c r="T253" s="53" cm="1">
        <f t="array" ref="T253">_xll.BDP(B253&amp;" Equity","OPT_STRIKE_PX")</f>
        <v>160</v>
      </c>
      <c r="U253" s="40">
        <f t="shared" si="13"/>
        <v>-0.14084733931160387</v>
      </c>
      <c r="V253" s="37" t="str" cm="1">
        <f t="array" ref="V253">_xll.BDP($B253&amp;" Equity","ivol_mid")</f>
        <v>#N/A N/A</v>
      </c>
      <c r="W253" s="38" t="str" cm="1">
        <f t="array" ref="W253">_xll.BDP(B253&amp;" Equity","DELTA_MID_RT")</f>
        <v>#N/A Real Time</v>
      </c>
      <c r="X253" s="48" t="e">
        <f>Y253/'Master P&amp;L'!$AE$5</f>
        <v>#VALUE!</v>
      </c>
      <c r="Y253" s="15" t="e">
        <f t="shared" si="14"/>
        <v>#VALUE!</v>
      </c>
      <c r="Z253" s="15" t="e" cm="1">
        <f t="array" ref="Z253">_xll.BDP($B253&amp;" Equity","opt_theta")*H253*O253/N253</f>
        <v>#VALUE!</v>
      </c>
      <c r="AA253" s="19" t="e" cm="1">
        <f t="array" ref="AA253">_xll.BDP($B253&amp;" Equity","opt_theta")/I253</f>
        <v>#VALUE!</v>
      </c>
      <c r="AB253" s="36" t="str" cm="1">
        <f t="array" ref="AB253">_xll.BDP($C253&amp;" Equity","EXPECTED_REPORT_DT")</f>
        <v>25/02/2026</v>
      </c>
      <c r="AC253" s="15" t="e">
        <f t="shared" si="15"/>
        <v>#VALUE!</v>
      </c>
      <c r="AD253" s="48" t="e">
        <f>AC253/'Master P&amp;L'!$AE$5</f>
        <v>#VALUE!</v>
      </c>
      <c r="AE253" t="str">
        <f>B253&amp;" -&gt; Buy to open "&amp;H253&amp;"x"</f>
        <v>NVDA US 10/03/25 P160 -&gt; Buy to open 250x</v>
      </c>
      <c r="AH253" s="64" t="e">
        <f t="shared" si="16"/>
        <v>#DIV/0!</v>
      </c>
      <c r="AI253" s="15" t="e">
        <f t="shared" si="17"/>
        <v>#DIV/0!</v>
      </c>
    </row>
    <row r="254" spans="1:35">
      <c r="A254" s="237" t="s">
        <v>137</v>
      </c>
      <c r="B254" t="s">
        <v>1913</v>
      </c>
      <c r="C254" t="str" cm="1">
        <f t="array" ref="C254">_xll.BDP(B254&amp;" Equity","OPT_UNDL_TICKER")</f>
        <v>AVGO US</v>
      </c>
      <c r="D254" s="64"/>
      <c r="E254" t="str" cm="1">
        <f t="array" ref="E254">_xll.BDP($B254&amp;" Index","opt_days_expire")</f>
        <v>#N/A N/A</v>
      </c>
      <c r="F254" t="str" cm="1">
        <f t="array" ref="F254">_xll.BDP(B254&amp;" Equity","QUOTED_CURRENCY_REALTIME")</f>
        <v>#N/A Real Time</v>
      </c>
      <c r="G254" s="105" t="s">
        <v>247</v>
      </c>
      <c r="H254" s="131">
        <v>100</v>
      </c>
      <c r="I254" s="97" t="str">
        <f t="shared" si="9"/>
        <v>#N/A Real Time</v>
      </c>
      <c r="J254" s="19" t="e">
        <f t="shared" si="10"/>
        <v>#VALUE!</v>
      </c>
      <c r="K254" s="36" t="str" cm="1">
        <f t="array" ref="K254">_xll.BDP($B254&amp;" Equity","bid")</f>
        <v>#N/A Real Time</v>
      </c>
      <c r="L254" s="36" t="str" cm="1">
        <f t="array" ref="L254">_xll.BDP($B254&amp;" Equity","ask")</f>
        <v>#N/A Real Time</v>
      </c>
      <c r="M254" s="40" t="e">
        <f t="shared" si="11"/>
        <v>#VALUE!</v>
      </c>
      <c r="N254" s="36" t="str" cm="1">
        <f t="array" ref="N254">_xll.BDP(F254&amp;" Curncy","PX_LAST")</f>
        <v>#N/A Real Time Curncy</v>
      </c>
      <c r="O254" s="162" cm="1">
        <f t="array" ref="O254">_xll.BDP(B254&amp;" Equity","OPT_MULTIPLIER")</f>
        <v>100</v>
      </c>
      <c r="P254" s="15" t="e">
        <f t="shared" si="12"/>
        <v>#VALUE!</v>
      </c>
      <c r="Q254" s="58" t="e">
        <f>P254/'Master P&amp;L'!$AD$5*10000</f>
        <v>#VALUE!</v>
      </c>
      <c r="R254" s="37" cm="1">
        <f t="array" ref="R254">_xll.BDP($C254&amp;" Equity","EST_PE_NXT_YR")*(T254/S254)</f>
        <v>22.864905338993751</v>
      </c>
      <c r="S254" s="36" cm="1">
        <f t="array" ref="S254">_xll.BDP(C254&amp;" Equity","LAST_PRICE")</f>
        <v>351.71</v>
      </c>
      <c r="T254" s="53" cm="1">
        <f t="array" ref="T254">_xll.BDP(B254&amp;" Equity","OPT_STRIKE_PX")</f>
        <v>330</v>
      </c>
      <c r="U254" s="40">
        <f t="shared" si="13"/>
        <v>-6.1726990986892605E-2</v>
      </c>
      <c r="V254" s="37" t="str" cm="1">
        <f t="array" ref="V254">_xll.BDP(B254&amp;" Equity","ivol_mid")</f>
        <v>#N/A N/A</v>
      </c>
      <c r="W254" s="38" t="str" cm="1">
        <f t="array" ref="W254">_xll.BDP(B254&amp;" Equity","DELTA_MID_RT")</f>
        <v>#N/A Real Time</v>
      </c>
      <c r="X254" s="48" t="e">
        <f>Y254/'Master P&amp;L'!$AE$5</f>
        <v>#VALUE!</v>
      </c>
      <c r="Y254" s="15" t="e">
        <f t="shared" si="14"/>
        <v>#VALUE!</v>
      </c>
      <c r="Z254" s="15" t="e" cm="1">
        <f t="array" ref="Z254">_xll.BDP($B254&amp;" Equity","opt_theta")*H254*O254/N254</f>
        <v>#VALUE!</v>
      </c>
      <c r="AA254" s="19" t="e" cm="1">
        <f t="array" ref="AA254">_xll.BDP($B254&amp;" Equity","opt_theta")/I254</f>
        <v>#VALUE!</v>
      </c>
      <c r="AB254" s="36" t="str" cm="1">
        <f t="array" ref="AB254">_xll.BDP($C254&amp;" Equity","EXPECTED_REPORT_DT")</f>
        <v>06/03/2026</v>
      </c>
      <c r="AC254" s="15" t="e">
        <f t="shared" si="15"/>
        <v>#VALUE!</v>
      </c>
      <c r="AD254" s="19" t="e">
        <f>AC254/'Master P&amp;L'!$AE$5</f>
        <v>#VALUE!</v>
      </c>
      <c r="AE254" t="str">
        <f>B254  &amp; " -&gt; Sell to open " &amp;   H254 &amp;"x"</f>
        <v>AVGO US 10/03/25 P330 -&gt; Sell to open 100x</v>
      </c>
      <c r="AH254" s="64" t="e">
        <f t="shared" si="16"/>
        <v>#DIV/0!</v>
      </c>
      <c r="AI254" s="15" t="e">
        <f t="shared" si="17"/>
        <v>#DIV/0!</v>
      </c>
    </row>
    <row r="256" spans="1:35">
      <c r="P256" s="13" t="e">
        <f>SUM(P249:P254)</f>
        <v>#VALUE!</v>
      </c>
      <c r="X256" s="48" t="e">
        <f>SUM(X249:X254)</f>
        <v>#VALUE!</v>
      </c>
      <c r="AI256" s="13" t="e">
        <f>SUM(AI249:AI254)</f>
        <v>#DIV/0!</v>
      </c>
    </row>
    <row r="258" spans="16:35">
      <c r="Y258" s="13" t="e">
        <f>SUM(Y249:Y254)</f>
        <v>#VALUE!</v>
      </c>
    </row>
    <row r="259" spans="16:35">
      <c r="Y259" s="64" t="e">
        <f>Y258/S254</f>
        <v>#VALUE!</v>
      </c>
    </row>
    <row r="261" spans="16:35">
      <c r="P261">
        <v>262700</v>
      </c>
      <c r="S261">
        <v>112.9</v>
      </c>
      <c r="AI261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25" sqref="E25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IF(B5="","",IF(LEN(B5)&gt;9,SUMIFS(Options!$H$3:$H$33,Options!$B$3:$B$33,Check!B5),SUMIFS('Master P&amp;L'!$H$11:$H$85,'Master P&amp;L'!$B$11:$B$85,Check!B5)))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2361</v>
      </c>
      <c r="P5" s="217">
        <f>IF(O5="","",IF(OR(LEFT(O5,4)="Cash",LEFT(O5,4)="Prov"),0,SUMIFS(Input_APM!N:N,Input_APM!L:L,Check!O5)))</f>
        <v>0</v>
      </c>
      <c r="Q5" s="22">
        <f>IF(O5="","",IF(LEN(O5)&gt;9,SUMIFS(Options!$H$3:$H$33,Options!$B$3:$B$33,Check!O5),SUMIFS('Master P&amp;L'!$H$11:$H$85,'Master P&amp;L'!$B$11:$B$85,Check!O5)))</f>
        <v>2100</v>
      </c>
      <c r="R5" s="217">
        <f>IF(O5="","",P5-Q5)</f>
        <v>-2100</v>
      </c>
      <c r="S5" s="362" t="str">
        <f>IF(O5="","",IF((P5+Q5)=0,"Ok",IF(OR(P5=0,Q5=0),"Erro",P5/Q5)))</f>
        <v>Erro</v>
      </c>
      <c r="V5" s="13"/>
    </row>
    <row r="6" spans="2:22">
      <c r="B6" t="s">
        <v>461</v>
      </c>
      <c r="C6" s="233">
        <f>IF(B6="","",IF(LEN(B6)&gt;9,SUMIFS(Options!$H$3:$H$33,Options!$B$3:$B$33,Check!B6),SUMIFS('Master P&amp;L'!$H$11:$H$85,'Master P&amp;L'!$B$11:$B$85,Check!B6)))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2357</v>
      </c>
      <c r="P6" s="217">
        <f>IF(O6="","",IF(OR(LEFT(O6,4)="Cash",LEFT(O6,4)="Prov"),0,SUMIFS(Input_APM!N:N,Input_APM!L:L,Check!O6)))</f>
        <v>-117</v>
      </c>
      <c r="Q6" s="22">
        <f>IF(O6="","",IF(LEN(O6)&gt;9,SUMIFS(Options!$H$3:$H$33,Options!$B$3:$B$33,Check!O6),SUMIFS('Master P&amp;L'!$H$11:$H$85,'Master P&amp;L'!$B$11:$B$85,Check!O6)))</f>
        <v>-125</v>
      </c>
      <c r="R6" s="217">
        <f t="shared" ref="R6:R69" si="1">IF(O6="","",P6-Q6)</f>
        <v>8</v>
      </c>
      <c r="S6" s="362">
        <f t="shared" ref="S6:S69" si="2">IF(O6="","",IF((P6+Q6)=0,"Ok",IF(OR(P6=0,Q6=0),"Erro",P6/Q6)))</f>
        <v>0.93600000000000005</v>
      </c>
      <c r="V6" s="13"/>
    </row>
    <row r="7" spans="2:22">
      <c r="B7" t="s">
        <v>2209</v>
      </c>
      <c r="C7" s="233">
        <f>IF(B7="","",IF(LEN(B7)&gt;9,SUMIFS(Options!$H$3:$H$33,Options!$B$3:$B$33,Check!B7),SUMIFS('Master P&amp;L'!$H$11:$H$85,'Master P&amp;L'!$B$11:$B$85,Check!B7)))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2358</v>
      </c>
      <c r="P7" s="217">
        <f>IF(O7="","",IF(OR(LEFT(O7,4)="Cash",LEFT(O7,4)="Prov"),0,SUMIFS(Input_APM!N:N,Input_APM!L:L,Check!O7)))</f>
        <v>117</v>
      </c>
      <c r="Q7" s="22">
        <f>IF(O7="","",IF(LEN(O7)&gt;9,SUMIFS(Options!$H$3:$H$33,Options!$B$3:$B$33,Check!O7),SUMIFS('Master P&amp;L'!$H$11:$H$85,'Master P&amp;L'!$B$11:$B$85,Check!O7)))</f>
        <v>125</v>
      </c>
      <c r="R7" s="217">
        <f t="shared" si="1"/>
        <v>-8</v>
      </c>
      <c r="S7" s="362">
        <f t="shared" si="2"/>
        <v>0.93600000000000005</v>
      </c>
      <c r="V7" s="13"/>
    </row>
    <row r="8" spans="2:22">
      <c r="B8" t="s">
        <v>38</v>
      </c>
      <c r="C8" s="233">
        <f>IF(B8="","",IF(LEN(B8)&gt;9,SUMIFS(Options!$H$3:$H$33,Options!$B$3:$B$33,Check!B8),SUMIFS('Master P&amp;L'!$H$11:$H$85,'Master P&amp;L'!$B$11:$B$85,Check!B8)))</f>
        <v>0</v>
      </c>
      <c r="D8" s="233">
        <f>IF(B8="","",SUMIFS(Input_APM!N:N,Input_APM!L:L,Check!B8,Input_APM!M:M,Check!$F$1))</f>
        <v>0</v>
      </c>
      <c r="E8" s="219">
        <f>IF(B8="","",C8-M8)</f>
        <v>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399</v>
      </c>
      <c r="P8" s="217">
        <f>IF(O8="","",IF(OR(LEFT(O8,4)="Cash",LEFT(O8,4)="Prov"),0,SUMIFS(Input_APM!N:N,Input_APM!L:L,Check!O8)))</f>
        <v>15396</v>
      </c>
      <c r="Q8" s="22">
        <f>IF(O8="","",IF(LEN(O8)&gt;9,SUMIFS(Options!$H$3:$H$33,Options!$B$3:$B$33,Check!O8),SUMIFS('Master P&amp;L'!$H$11:$H$85,'Master P&amp;L'!$B$11:$B$85,Check!O8)))</f>
        <v>16435</v>
      </c>
      <c r="R8" s="217">
        <f t="shared" si="1"/>
        <v>-1039</v>
      </c>
      <c r="S8" s="362">
        <f t="shared" si="2"/>
        <v>0.93678125950714941</v>
      </c>
      <c r="V8" s="13"/>
    </row>
    <row r="9" spans="2:22">
      <c r="B9" t="s">
        <v>143</v>
      </c>
      <c r="C9" s="233">
        <f>IF(B9="","",IF(LEN(B9)&gt;9,SUMIFS(Options!$H$3:$H$33,Options!$B$3:$B$33,Check!B9),SUMIFS('Master P&amp;L'!$H$11:$H$85,'Master P&amp;L'!$B$11:$B$85,Check!B9)))</f>
        <v>-10000</v>
      </c>
      <c r="D9" s="233">
        <f>IF(B9="","",SUMIFS(Input_APM!N:N,Input_APM!L:L,Check!B9,Input_APM!M:M,Check!$F$1))</f>
        <v>-9259</v>
      </c>
      <c r="E9" s="219">
        <f>IF(B9="","",C9-M9)</f>
        <v>0</v>
      </c>
      <c r="F9" s="233">
        <f>IF(B9="","",SUMIFS(Input_APM!N:N,Input_APM!M:M,Check!$F$1,Input_APM!L:L,Check!B9))</f>
        <v>-9259</v>
      </c>
      <c r="G9" s="233">
        <f>IF(B9="","",SUMIFS(Input_APM!N:N,Input_APM!M:M,Check!$G$1,Input_APM!L:L,Check!B9))</f>
        <v>0</v>
      </c>
      <c r="H9" s="217">
        <f t="shared" si="0"/>
        <v>-9259</v>
      </c>
      <c r="I9" s="217">
        <f>SUMIFS(Input_APM!N:N,Input_APM!L:L,Check!B9)</f>
        <v>-9259</v>
      </c>
      <c r="J9" s="219">
        <f t="shared" si="3"/>
        <v>0</v>
      </c>
      <c r="K9" s="22">
        <f>IF(B9="","",SUMIFS('Input_APM (Zenith)'!N:N,'Input_APM (Zenith)'!L:L,Check!B9,'Input_APM (Zenith)'!M:M,Check!$F$1))</f>
        <v>-741</v>
      </c>
      <c r="L9" s="22">
        <f>IF(B9="","",SUMIFS('Input_APM (Zenith)'!N:N,'Input_APM (Zenith)'!L:L,Check!B9,'Input_APM (Zenith)'!M:M,Check!$G$1))</f>
        <v>0</v>
      </c>
      <c r="M9" s="240">
        <f t="shared" si="4"/>
        <v>-10000</v>
      </c>
      <c r="O9" t="s">
        <v>2330</v>
      </c>
      <c r="P9" s="217">
        <f>IF(O9="","",IF(OR(LEFT(O9,4)="Cash",LEFT(O9,4)="Prov"),0,SUMIFS(Input_APM!N:N,Input_APM!L:L,Check!O9)))</f>
        <v>1405</v>
      </c>
      <c r="Q9" s="22">
        <f>IF(O9="","",IF(LEN(O9)&gt;9,SUMIFS(Options!$H$3:$H$33,Options!$B$3:$B$33,Check!O9),SUMIFS('Master P&amp;L'!$H$11:$H$85,'Master P&amp;L'!$B$11:$B$85,Check!O9)))</f>
        <v>1500</v>
      </c>
      <c r="R9" s="217">
        <f t="shared" si="1"/>
        <v>-95</v>
      </c>
      <c r="S9" s="362">
        <f t="shared" si="2"/>
        <v>0.93666666666666665</v>
      </c>
      <c r="V9" s="13"/>
    </row>
    <row r="10" spans="2:22">
      <c r="B10" t="s">
        <v>3</v>
      </c>
      <c r="C10" s="233">
        <f>IF(B10="","",IF(LEN(B10)&gt;9,SUMIFS(Options!$H$3:$H$33,Options!$B$3:$B$33,Check!B10),SUMIFS('Master P&amp;L'!$H$11:$H$85,'Master P&amp;L'!$B$11:$B$85,Check!B10)))</f>
        <v>-10000</v>
      </c>
      <c r="D10" s="233">
        <f>IF(B10="","",SUMIFS(Input_APM!N:N,Input_APM!L:L,Check!B10,Input_APM!M:M,Check!$F$1))</f>
        <v>-11687</v>
      </c>
      <c r="E10" s="217">
        <f t="shared" ref="E10:E65" si="5">IF(B10="","",C10-M10)</f>
        <v>2500</v>
      </c>
      <c r="F10" s="233">
        <f>IF(B10="","",SUMIFS(Input_APM!N:N,Input_APM!M:M,Check!$F$1,Input_APM!L:L,Check!B10))</f>
        <v>-11687</v>
      </c>
      <c r="G10" s="233">
        <f>IF(B10="","",SUMIFS(Input_APM!N:N,Input_APM!M:M,Check!$G$1,Input_APM!L:L,Check!B10))</f>
        <v>0</v>
      </c>
      <c r="H10" s="217">
        <f t="shared" si="0"/>
        <v>-11687</v>
      </c>
      <c r="I10" s="217">
        <f>SUMIFS(Input_APM!N:N,Input_APM!L:L,Check!B10)</f>
        <v>-11687</v>
      </c>
      <c r="J10" s="219">
        <f t="shared" si="3"/>
        <v>0</v>
      </c>
      <c r="K10" s="22">
        <f>IF(B10="","",SUMIFS('Input_APM (Zenith)'!N:N,'Input_APM (Zenith)'!L:L,Check!B10,'Input_APM (Zenith)'!M:M,Check!$F$1))</f>
        <v>-813</v>
      </c>
      <c r="L10" s="22">
        <f>IF(B10="","",SUMIFS('Input_APM (Zenith)'!N:N,'Input_APM (Zenith)'!L:L,Check!B10,'Input_APM (Zenith)'!M:M,Check!$G$1))</f>
        <v>0</v>
      </c>
      <c r="M10" s="240">
        <f t="shared" si="4"/>
        <v>-12500</v>
      </c>
      <c r="O10" t="s">
        <v>137</v>
      </c>
      <c r="P10" s="217">
        <f>IF(O10="","",IF(OR(LEFT(O10,4)="Cash",LEFT(O10,4)="Prov"),0,SUMIFS(Input_APM!N:N,Input_APM!L:L,Check!O10)))</f>
        <v>6718</v>
      </c>
      <c r="Q10" s="22">
        <f>IF(O10="","",IF(LEN(O10)&gt;9,SUMIFS(Options!$H$3:$H$33,Options!$B$3:$B$33,Check!O10),SUMIFS('Master P&amp;L'!$H$11:$H$85,'Master P&amp;L'!$B$11:$B$85,Check!O10)))</f>
        <v>12000</v>
      </c>
      <c r="R10" s="217">
        <f t="shared" si="1"/>
        <v>-5282</v>
      </c>
      <c r="S10" s="362">
        <f t="shared" si="2"/>
        <v>0.55983333333333329</v>
      </c>
      <c r="V10" s="13"/>
    </row>
    <row r="11" spans="2:22">
      <c r="B11" t="s">
        <v>2194</v>
      </c>
      <c r="C11" s="233">
        <f>IF(B11="","",IF(LEN(B11)&gt;9,SUMIFS(Options!$H$3:$H$33,Options!$B$3:$B$33,Check!B11),SUMIFS('Master P&amp;L'!$H$11:$H$85,'Master P&amp;L'!$B$11:$B$85,Check!B11)))</f>
        <v>27918</v>
      </c>
      <c r="D11" s="233">
        <f>IF(B11="","",SUMIFS(Input_APM!N:N,Input_APM!L:L,Check!B11,Input_APM!M:M,Check!$F$1))</f>
        <v>26139</v>
      </c>
      <c r="E11" s="217">
        <f t="shared" si="5"/>
        <v>0</v>
      </c>
      <c r="F11" s="233">
        <f>IF(B11="","",SUMIFS(Input_APM!N:N,Input_APM!M:M,Check!$F$1,Input_APM!L:L,Check!B11))</f>
        <v>26139</v>
      </c>
      <c r="G11" s="233">
        <f>IF(B11="","",SUMIFS(Input_APM!N:N,Input_APM!M:M,Check!$G$1,Input_APM!L:L,Check!B11))</f>
        <v>0</v>
      </c>
      <c r="H11" s="217">
        <f t="shared" si="0"/>
        <v>26139</v>
      </c>
      <c r="I11" s="217">
        <f>SUMIFS(Input_APM!N:N,Input_APM!L:L,Check!B11)</f>
        <v>26139</v>
      </c>
      <c r="J11" s="219">
        <f t="shared" si="3"/>
        <v>0</v>
      </c>
      <c r="K11" s="22">
        <f>IF(B11="","",SUMIFS('Input_APM (Zenith)'!N:N,'Input_APM (Zenith)'!L:L,Check!B11,'Input_APM (Zenith)'!M:M,Check!$F$1))</f>
        <v>1779</v>
      </c>
      <c r="L11" s="22">
        <f>IF(B11="","",SUMIFS('Input_APM (Zenith)'!N:N,'Input_APM (Zenith)'!L:L,Check!B11,'Input_APM (Zenith)'!M:M,Check!$G$1))</f>
        <v>0</v>
      </c>
      <c r="M11" s="240">
        <f t="shared" si="4"/>
        <v>27918</v>
      </c>
      <c r="O11" t="s">
        <v>2152</v>
      </c>
      <c r="P11" s="217">
        <f>IF(O11="","",IF(OR(LEFT(O11,4)="Cash",LEFT(O11,4)="Prov"),0,SUMIFS(Input_APM!N:N,Input_APM!L:L,Check!O11)))</f>
        <v>48</v>
      </c>
      <c r="Q11" s="22">
        <f>IF(O11="","",IF(LEN(O11)&gt;9,SUMIFS(Options!$H$3:$H$33,Options!$B$3:$B$33,Check!O11),SUMIFS('Master P&amp;L'!$H$11:$H$85,'Master P&amp;L'!$B$11:$B$85,Check!O11)))</f>
        <v>50</v>
      </c>
      <c r="R11" s="217">
        <f t="shared" si="1"/>
        <v>-2</v>
      </c>
      <c r="S11" s="362">
        <f t="shared" si="2"/>
        <v>0.96</v>
      </c>
      <c r="V11" s="13"/>
    </row>
    <row r="12" spans="2:22">
      <c r="B12" t="s">
        <v>2103</v>
      </c>
      <c r="C12" s="233">
        <f>IF(B12="","",IF(LEN(B12)&gt;9,SUMIFS(Options!$H$3:$H$33,Options!$B$3:$B$33,Check!B12),SUMIFS('Master P&amp;L'!$H$11:$H$85,'Master P&amp;L'!$B$11:$B$85,Check!B12)))</f>
        <v>0</v>
      </c>
      <c r="D12" s="233">
        <f>IF(B12="","",SUMIFS(Input_APM!N:N,Input_APM!L:L,Check!B12,Input_APM!M:M,Check!$F$1))</f>
        <v>0</v>
      </c>
      <c r="E12" s="217">
        <f t="shared" si="5"/>
        <v>0</v>
      </c>
      <c r="F12" s="233">
        <f>IF(B12="","",SUMIFS(Input_APM!N:N,Input_APM!M:M,Check!$F$1,Input_APM!L:L,Check!B12))</f>
        <v>0</v>
      </c>
      <c r="G12" s="233">
        <f>IF(B12="","",SUMIFS(Input_APM!N:N,Input_APM!M:M,Check!$G$1,Input_APM!L:L,Check!B12))</f>
        <v>0</v>
      </c>
      <c r="H12" s="217">
        <f t="shared" si="0"/>
        <v>0</v>
      </c>
      <c r="I12" s="217">
        <f>SUMIFS(Input_APM!N:N,Input_APM!L:L,Check!B12)</f>
        <v>0</v>
      </c>
      <c r="J12" s="219">
        <f t="shared" si="3"/>
        <v>0</v>
      </c>
      <c r="K12" s="22">
        <f>IF(B12="","",SUMIFS('Input_APM (Zenith)'!N:N,'Input_APM (Zenith)'!L:L,Check!B12,'Input_APM (Zenith)'!M:M,Check!$F$1))</f>
        <v>0</v>
      </c>
      <c r="L12" s="22">
        <f>IF(B12="","",SUMIFS('Input_APM (Zenith)'!N:N,'Input_APM (Zenith)'!L:L,Check!B12,'Input_APM (Zenith)'!M:M,Check!$G$1))</f>
        <v>0</v>
      </c>
      <c r="M12" s="240">
        <f t="shared" si="4"/>
        <v>0</v>
      </c>
      <c r="O12" t="s">
        <v>2154</v>
      </c>
      <c r="P12" s="217">
        <f>IF(O12="","",IF(OR(LEFT(O12,4)="Cash",LEFT(O12,4)="Prov"),0,SUMIFS(Input_APM!N:N,Input_APM!L:L,Check!O12)))</f>
        <v>-48</v>
      </c>
      <c r="Q12" s="22">
        <f>IF(O12="","",IF(LEN(O12)&gt;9,SUMIFS(Options!$H$3:$H$33,Options!$B$3:$B$33,Check!O12),SUMIFS('Master P&amp;L'!$H$11:$H$85,'Master P&amp;L'!$B$11:$B$85,Check!O12)))</f>
        <v>-50</v>
      </c>
      <c r="R12" s="217">
        <f t="shared" si="1"/>
        <v>2</v>
      </c>
      <c r="S12" s="362">
        <f t="shared" si="2"/>
        <v>0.96</v>
      </c>
      <c r="V12" s="13"/>
    </row>
    <row r="13" spans="2:22">
      <c r="B13" t="s">
        <v>2218</v>
      </c>
      <c r="C13" s="233">
        <f>IF(B13="","",IF(LEN(B13)&gt;9,SUMIFS(Options!$H$3:$H$33,Options!$B$3:$B$33,Check!B13),SUMIFS('Master P&amp;L'!$H$11:$H$85,'Master P&amp;L'!$B$11:$B$85,Check!B13)))</f>
        <v>1780</v>
      </c>
      <c r="D13" s="233">
        <f>IF(B13="","",SUMIFS(Input_APM!N:N,Input_APM!L:L,Check!B13,Input_APM!M:M,Check!$F$1))</f>
        <v>1668</v>
      </c>
      <c r="E13" s="219">
        <f t="shared" si="5"/>
        <v>0</v>
      </c>
      <c r="F13" s="233">
        <f>IF(B13="","",SUMIFS(Input_APM!N:N,Input_APM!M:M,Check!$F$1,Input_APM!L:L,Check!B13))</f>
        <v>1668</v>
      </c>
      <c r="G13" s="233">
        <f>IF(B13="","",SUMIFS(Input_APM!N:N,Input_APM!M:M,Check!$G$1,Input_APM!L:L,Check!B13))</f>
        <v>0</v>
      </c>
      <c r="H13" s="217">
        <f t="shared" si="0"/>
        <v>1668</v>
      </c>
      <c r="I13" s="217">
        <f>SUMIFS(Input_APM!N:N,Input_APM!L:L,Check!B13)</f>
        <v>1668</v>
      </c>
      <c r="J13" s="219">
        <f t="shared" si="3"/>
        <v>0</v>
      </c>
      <c r="K13" s="22">
        <f>IF(B13="","",SUMIFS('Input_APM (Zenith)'!N:N,'Input_APM (Zenith)'!L:L,Check!B13,'Input_APM (Zenith)'!M:M,Check!$F$1))</f>
        <v>112</v>
      </c>
      <c r="L13" s="22">
        <f>IF(B13="","",SUMIFS('Input_APM (Zenith)'!N:N,'Input_APM (Zenith)'!L:L,Check!B13,'Input_APM (Zenith)'!M:M,Check!$G$1))</f>
        <v>0</v>
      </c>
      <c r="M13" s="240">
        <f t="shared" si="4"/>
        <v>1780</v>
      </c>
      <c r="O13" t="s">
        <v>461</v>
      </c>
      <c r="P13" s="217">
        <f>IF(O13="","",IF(OR(LEFT(O13,4)="Cash",LEFT(O13,4)="Prov"),0,SUMIFS(Input_APM!N:N,Input_APM!L:L,Check!O13)))</f>
        <v>3163</v>
      </c>
      <c r="Q13" s="22">
        <f>IF(O13="","",IF(LEN(O13)&gt;9,SUMIFS(Options!$H$3:$H$33,Options!$B$3:$B$33,Check!O13),SUMIFS('Master P&amp;L'!$H$11:$H$85,'Master P&amp;L'!$B$11:$B$85,Check!O13)))</f>
        <v>3378</v>
      </c>
      <c r="R13" s="217">
        <f t="shared" si="1"/>
        <v>-215</v>
      </c>
      <c r="S13" s="362">
        <f t="shared" si="2"/>
        <v>0.9363528715216104</v>
      </c>
      <c r="V13" s="13"/>
    </row>
    <row r="14" spans="2:22">
      <c r="B14" t="s">
        <v>399</v>
      </c>
      <c r="C14" s="233">
        <f>IF(B14="","",IF(LEN(B14)&gt;9,SUMIFS(Options!$H$3:$H$33,Options!$B$3:$B$33,Check!B14),SUMIFS('Master P&amp;L'!$H$11:$H$85,'Master P&amp;L'!$B$11:$B$85,Check!B14)))</f>
        <v>16435</v>
      </c>
      <c r="D14" s="233">
        <f>IF(B14="","",SUMIFS(Input_APM!N:N,Input_APM!L:L,Check!B14,Input_APM!M:M,Check!$F$1))</f>
        <v>15396</v>
      </c>
      <c r="E14" s="217">
        <f t="shared" si="5"/>
        <v>0</v>
      </c>
      <c r="F14" s="233">
        <f>IF(B14="","",SUMIFS(Input_APM!N:N,Input_APM!M:M,Check!$F$1,Input_APM!L:L,Check!B14))</f>
        <v>15396</v>
      </c>
      <c r="G14" s="233">
        <f>IF(B14="","",SUMIFS(Input_APM!N:N,Input_APM!M:M,Check!$G$1,Input_APM!L:L,Check!B14))</f>
        <v>0</v>
      </c>
      <c r="H14" s="217">
        <f t="shared" si="0"/>
        <v>15396</v>
      </c>
      <c r="I14" s="217">
        <f>SUMIFS(Input_APM!N:N,Input_APM!L:L,Check!B14)</f>
        <v>15396</v>
      </c>
      <c r="J14" s="219">
        <f t="shared" si="3"/>
        <v>0</v>
      </c>
      <c r="K14" s="22">
        <f>IF(B14="","",SUMIFS('Input_APM (Zenith)'!N:N,'Input_APM (Zenith)'!L:L,Check!B14,'Input_APM (Zenith)'!M:M,Check!$F$1))</f>
        <v>1039</v>
      </c>
      <c r="L14" s="22">
        <f>IF(B14="","",SUMIFS('Input_APM (Zenith)'!N:N,'Input_APM (Zenith)'!L:L,Check!B14,'Input_APM (Zenith)'!M:M,Check!$G$1))</f>
        <v>0</v>
      </c>
      <c r="M14" s="240">
        <f t="shared" si="4"/>
        <v>16435</v>
      </c>
      <c r="O14" t="s">
        <v>2209</v>
      </c>
      <c r="P14" s="217">
        <f>IF(O14="","",IF(OR(LEFT(O14,4)="Cash",LEFT(O14,4)="Prov"),0,SUMIFS(Input_APM!N:N,Input_APM!L:L,Check!O14)))</f>
        <v>3285</v>
      </c>
      <c r="Q14" s="22">
        <f>IF(O14="","",IF(LEN(O14)&gt;9,SUMIFS(Options!$H$3:$H$33,Options!$B$3:$B$33,Check!O14),SUMIFS('Master P&amp;L'!$H$11:$H$85,'Master P&amp;L'!$B$11:$B$85,Check!O14)))</f>
        <v>3510</v>
      </c>
      <c r="R14" s="217">
        <f t="shared" si="1"/>
        <v>-225</v>
      </c>
      <c r="S14" s="362">
        <f t="shared" si="2"/>
        <v>0.9358974358974359</v>
      </c>
      <c r="V14" s="13"/>
    </row>
    <row r="15" spans="2:22">
      <c r="B15" t="s">
        <v>81</v>
      </c>
      <c r="C15" s="233">
        <f>IF(B15="","",IF(LEN(B15)&gt;9,SUMIFS(Options!$H$3:$H$33,Options!$B$3:$B$33,Check!B15),SUMIFS('Master P&amp;L'!$H$11:$H$85,'Master P&amp;L'!$B$11:$B$85,Check!B15)))</f>
        <v>6000</v>
      </c>
      <c r="D15" s="233">
        <f>IF(B15="","",SUMIFS(Input_APM!N:N,Input_APM!L:L,Check!B15,Input_APM!M:M,Check!$F$1))</f>
        <v>5618</v>
      </c>
      <c r="E15" s="219">
        <f t="shared" si="5"/>
        <v>0</v>
      </c>
      <c r="F15" s="233">
        <f>IF(B15="","",SUMIFS(Input_APM!N:N,Input_APM!M:M,Check!$F$1,Input_APM!L:L,Check!B15))</f>
        <v>5618</v>
      </c>
      <c r="G15" s="233">
        <f>IF(B15="","",SUMIFS(Input_APM!N:N,Input_APM!M:M,Check!$G$1,Input_APM!L:L,Check!B15))</f>
        <v>0</v>
      </c>
      <c r="H15" s="217">
        <f t="shared" si="0"/>
        <v>5618</v>
      </c>
      <c r="I15" s="217">
        <f>SUMIFS(Input_APM!N:N,Input_APM!L:L,Check!B15)</f>
        <v>5618</v>
      </c>
      <c r="J15" s="219">
        <f t="shared" si="3"/>
        <v>0</v>
      </c>
      <c r="K15" s="22">
        <f>IF(B15="","",SUMIFS('Input_APM (Zenith)'!N:N,'Input_APM (Zenith)'!L:L,Check!B15,'Input_APM (Zenith)'!M:M,Check!$F$1))</f>
        <v>382</v>
      </c>
      <c r="L15" s="22">
        <f>IF(B15="","",SUMIFS('Input_APM (Zenith)'!N:N,'Input_APM (Zenith)'!L:L,Check!B15,'Input_APM (Zenith)'!M:M,Check!$G$1))</f>
        <v>0</v>
      </c>
      <c r="M15" s="240">
        <f t="shared" si="4"/>
        <v>6000</v>
      </c>
      <c r="O15" t="s">
        <v>295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IF(O15="","",IF(LEN(O15)&gt;9,SUMIFS(Options!$H$3:$H$33,Options!$B$3:$B$33,Check!O15),SUMIFS('Master P&amp;L'!$H$11:$H$85,'Master P&amp;L'!$B$11:$B$85,Check!O15)))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90</v>
      </c>
      <c r="C16" s="233">
        <f>IF(B16="","",IF(LEN(B16)&gt;9,SUMIFS(Options!$H$3:$H$33,Options!$B$3:$B$33,Check!B16),SUMIFS('Master P&amp;L'!$H$11:$H$85,'Master P&amp;L'!$B$11:$B$85,Check!B16)))</f>
        <v>8510</v>
      </c>
      <c r="D16" s="233">
        <f>IF(B16="","",SUMIFS(Input_APM!N:N,Input_APM!L:L,Check!B16,Input_APM!M:M,Check!$F$1))</f>
        <v>7966</v>
      </c>
      <c r="E16" s="217">
        <f t="shared" si="5"/>
        <v>0</v>
      </c>
      <c r="F16" s="233">
        <f>IF(B16="","",SUMIFS(Input_APM!N:N,Input_APM!M:M,Check!$F$1,Input_APM!L:L,Check!B16))</f>
        <v>7966</v>
      </c>
      <c r="G16" s="233">
        <f>IF(B16="","",SUMIFS(Input_APM!N:N,Input_APM!M:M,Check!$G$1,Input_APM!L:L,Check!B16))</f>
        <v>0</v>
      </c>
      <c r="H16" s="217">
        <f t="shared" si="0"/>
        <v>7966</v>
      </c>
      <c r="I16" s="217">
        <f>SUMIFS(Input_APM!N:N,Input_APM!L:L,Check!B16)</f>
        <v>7966</v>
      </c>
      <c r="J16" s="219">
        <f t="shared" si="3"/>
        <v>0</v>
      </c>
      <c r="K16" s="22">
        <f>IF(B16="","",SUMIFS('Input_APM (Zenith)'!N:N,'Input_APM (Zenith)'!L:L,Check!B16,'Input_APM (Zenith)'!M:M,Check!$F$1))</f>
        <v>544</v>
      </c>
      <c r="L16" s="22">
        <f>IF(B16="","",SUMIFS('Input_APM (Zenith)'!N:N,'Input_APM (Zenith)'!L:L,Check!B16,'Input_APM (Zenith)'!M:M,Check!$G$1))</f>
        <v>0</v>
      </c>
      <c r="M16" s="240">
        <f t="shared" si="4"/>
        <v>8510</v>
      </c>
      <c r="O16" t="s">
        <v>296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IF(O16="","",IF(LEN(O16)&gt;9,SUMIFS(Options!$H$3:$H$33,Options!$B$3:$B$33,Check!O16),SUMIFS('Master P&amp;L'!$H$11:$H$85,'Master P&amp;L'!$B$11:$B$85,Check!O16)))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1761</v>
      </c>
      <c r="C17" s="233">
        <f>IF(B17="","",IF(LEN(B17)&gt;9,SUMIFS(Options!$H$3:$H$33,Options!$B$3:$B$33,Check!B17),SUMIFS('Master P&amp;L'!$H$11:$H$85,'Master P&amp;L'!$B$11:$B$85,Check!B17)))</f>
        <v>1500</v>
      </c>
      <c r="D17" s="233">
        <f>IF(B17="","",SUMIFS(Input_APM!N:N,Input_APM!L:L,Check!B17,Input_APM!M:M,Check!$F$1))</f>
        <v>1400</v>
      </c>
      <c r="E17" s="219">
        <f t="shared" si="5"/>
        <v>0</v>
      </c>
      <c r="F17" s="233">
        <f>IF(B17="","",SUMIFS(Input_APM!N:N,Input_APM!M:M,Check!$F$1,Input_APM!L:L,Check!B17))</f>
        <v>1400</v>
      </c>
      <c r="G17" s="233">
        <f>IF(B17="","",SUMIFS(Input_APM!N:N,Input_APM!M:M,Check!$G$1,Input_APM!L:L,Check!B17))</f>
        <v>0</v>
      </c>
      <c r="H17" s="217">
        <f t="shared" si="0"/>
        <v>1400</v>
      </c>
      <c r="I17" s="217">
        <f>SUMIFS(Input_APM!N:N,Input_APM!L:L,Check!B17)</f>
        <v>1400</v>
      </c>
      <c r="J17" s="219">
        <f t="shared" si="3"/>
        <v>0</v>
      </c>
      <c r="K17" s="22">
        <f>IF(B17="","",SUMIFS('Input_APM (Zenith)'!N:N,'Input_APM (Zenith)'!L:L,Check!B17,'Input_APM (Zenith)'!M:M,Check!$F$1))</f>
        <v>100</v>
      </c>
      <c r="L17" s="22">
        <f>IF(B17="","",SUMIFS('Input_APM (Zenith)'!N:N,'Input_APM (Zenith)'!L:L,Check!B17,'Input_APM (Zenith)'!M:M,Check!$G$1))</f>
        <v>0</v>
      </c>
      <c r="M17" s="240">
        <f t="shared" si="4"/>
        <v>1500</v>
      </c>
      <c r="O17" t="s">
        <v>297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IF(O17="","",IF(LEN(O17)&gt;9,SUMIFS(Options!$H$3:$H$33,Options!$B$3:$B$33,Check!O17),SUMIFS('Master P&amp;L'!$H$11:$H$85,'Master P&amp;L'!$B$11:$B$85,Check!O17)))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1754</v>
      </c>
      <c r="C18" s="233">
        <f>IF(B18="","",IF(LEN(B18)&gt;9,SUMIFS(Options!$H$3:$H$33,Options!$B$3:$B$33,Check!B18),SUMIFS('Master P&amp;L'!$H$11:$H$85,'Master P&amp;L'!$B$11:$B$85,Check!B18)))</f>
        <v>52680</v>
      </c>
      <c r="D18" s="233">
        <f>IF(B18="","",SUMIFS(Input_APM!N:N,Input_APM!L:L,Check!B18,Input_APM!M:M,Check!$F$1))</f>
        <v>41651</v>
      </c>
      <c r="E18" s="219">
        <f t="shared" si="5"/>
        <v>8180</v>
      </c>
      <c r="F18" s="233">
        <f>IF(B18="","",SUMIFS(Input_APM!N:N,Input_APM!M:M,Check!$F$1,Input_APM!L:L,Check!B18))</f>
        <v>41651</v>
      </c>
      <c r="G18" s="233">
        <f>IF(B18="","",SUMIFS(Input_APM!N:N,Input_APM!M:M,Check!$G$1,Input_APM!L:L,Check!B18))</f>
        <v>0</v>
      </c>
      <c r="H18" s="217">
        <f t="shared" si="0"/>
        <v>41651</v>
      </c>
      <c r="I18" s="217">
        <f>SUMIFS(Input_APM!N:N,Input_APM!L:L,Check!B18)</f>
        <v>41651</v>
      </c>
      <c r="J18" s="219">
        <f t="shared" si="3"/>
        <v>0</v>
      </c>
      <c r="K18" s="22">
        <f>IF(B18="","",SUMIFS('Input_APM (Zenith)'!N:N,'Input_APM (Zenith)'!L:L,Check!B18,'Input_APM (Zenith)'!M:M,Check!$F$1))</f>
        <v>2849</v>
      </c>
      <c r="L18" s="22">
        <f>IF(B18="","",SUMIFS('Input_APM (Zenith)'!N:N,'Input_APM (Zenith)'!L:L,Check!B18,'Input_APM (Zenith)'!M:M,Check!$G$1))</f>
        <v>0</v>
      </c>
      <c r="M18" s="240">
        <f t="shared" si="4"/>
        <v>44500</v>
      </c>
      <c r="O18" t="s">
        <v>2174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IF(O18="","",IF(LEN(O18)&gt;9,SUMIFS(Options!$H$3:$H$33,Options!$B$3:$B$33,Check!O18),SUMIFS('Master P&amp;L'!$H$11:$H$85,'Master P&amp;L'!$B$11:$B$85,Check!O18)))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2210</v>
      </c>
      <c r="C19" s="233">
        <f>IF(B19="","",IF(LEN(B19)&gt;9,SUMIFS(Options!$H$3:$H$33,Options!$B$3:$B$33,Check!B19),SUMIFS('Master P&amp;L'!$H$11:$H$85,'Master P&amp;L'!$B$11:$B$85,Check!B19)))</f>
        <v>2010</v>
      </c>
      <c r="D19" s="233">
        <f>IF(B19="","",SUMIFS(Input_APM!N:N,Input_APM!L:L,Check!B19,Input_APM!M:M,Check!$F$1))</f>
        <v>2923</v>
      </c>
      <c r="E19" s="219">
        <f t="shared" si="5"/>
        <v>-1110</v>
      </c>
      <c r="F19" s="233">
        <f>IF(B19="","",SUMIFS(Input_APM!N:N,Input_APM!M:M,Check!$F$1,Input_APM!L:L,Check!B19))</f>
        <v>2923</v>
      </c>
      <c r="G19" s="233">
        <f>IF(B19="","",SUMIFS(Input_APM!N:N,Input_APM!M:M,Check!$G$1,Input_APM!L:L,Check!B19))</f>
        <v>0</v>
      </c>
      <c r="H19" s="217">
        <f t="shared" si="0"/>
        <v>2923</v>
      </c>
      <c r="I19" s="217">
        <f>SUMIFS(Input_APM!N:N,Input_APM!L:L,Check!B19)</f>
        <v>2923</v>
      </c>
      <c r="J19" s="219">
        <f t="shared" si="3"/>
        <v>0</v>
      </c>
      <c r="K19" s="22">
        <f>IF(B19="","",SUMIFS('Input_APM (Zenith)'!N:N,'Input_APM (Zenith)'!L:L,Check!B19,'Input_APM (Zenith)'!M:M,Check!$F$1))</f>
        <v>197</v>
      </c>
      <c r="L19" s="22">
        <f>IF(B19="","",SUMIFS('Input_APM (Zenith)'!N:N,'Input_APM (Zenith)'!L:L,Check!B19,'Input_APM (Zenith)'!M:M,Check!$G$1))</f>
        <v>0</v>
      </c>
      <c r="M19" s="240">
        <f t="shared" si="4"/>
        <v>3120</v>
      </c>
      <c r="O19" t="s">
        <v>298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IF(O19="","",IF(LEN(O19)&gt;9,SUMIFS(Options!$H$3:$H$33,Options!$B$3:$B$33,Check!O19),SUMIFS('Master P&amp;L'!$H$11:$H$85,'Master P&amp;L'!$B$11:$B$85,Check!O19)))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2101</v>
      </c>
      <c r="C20" s="233">
        <f>IF(B20="","",IF(LEN(B20)&gt;9,SUMIFS(Options!$H$3:$H$33,Options!$B$3:$B$33,Check!B20),SUMIFS('Master P&amp;L'!$H$11:$H$85,'Master P&amp;L'!$B$11:$B$85,Check!B20)))</f>
        <v>1350</v>
      </c>
      <c r="D20" s="233">
        <f>IF(B20="","",SUMIFS(Input_APM!N:N,Input_APM!L:L,Check!B20,Input_APM!M:M,Check!$F$1))</f>
        <v>1874</v>
      </c>
      <c r="E20" s="219">
        <f>IF(B20="","",C20-M20)</f>
        <v>-650</v>
      </c>
      <c r="F20" s="233">
        <f>IF(B20="","",SUMIFS(Input_APM!N:N,Input_APM!M:M,Check!$F$1,Input_APM!L:L,Check!B20))</f>
        <v>1874</v>
      </c>
      <c r="G20" s="233">
        <f>IF(B20="","",SUMIFS(Input_APM!N:N,Input_APM!M:M,Check!$G$1,Input_APM!L:L,Check!B20))</f>
        <v>0</v>
      </c>
      <c r="H20" s="217">
        <f t="shared" si="0"/>
        <v>1874</v>
      </c>
      <c r="I20" s="217">
        <f>SUMIFS(Input_APM!N:N,Input_APM!L:L,Check!B20)</f>
        <v>1874</v>
      </c>
      <c r="J20" s="219">
        <f t="shared" si="3"/>
        <v>0</v>
      </c>
      <c r="K20" s="22">
        <f>IF(B20="","",SUMIFS('Input_APM (Zenith)'!N:N,'Input_APM (Zenith)'!L:L,Check!B20,'Input_APM (Zenith)'!M:M,Check!$F$1))</f>
        <v>126</v>
      </c>
      <c r="L20" s="22">
        <f>IF(B20="","",SUMIFS('Input_APM (Zenith)'!N:N,'Input_APM (Zenith)'!L:L,Check!B20,'Input_APM (Zenith)'!M:M,Check!$G$1))</f>
        <v>0</v>
      </c>
      <c r="M20" s="240">
        <f t="shared" si="4"/>
        <v>2000</v>
      </c>
      <c r="O20" t="s">
        <v>299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IF(O20="","",IF(LEN(O20)&gt;9,SUMIFS(Options!$H$3:$H$33,Options!$B$3:$B$33,Check!O20),SUMIFS('Master P&amp;L'!$H$11:$H$85,'Master P&amp;L'!$B$11:$B$85,Check!O20)))</f>
        <v>0</v>
      </c>
      <c r="R20" s="217">
        <f t="shared" si="1"/>
        <v>0</v>
      </c>
      <c r="S20" s="362" t="str">
        <f t="shared" si="2"/>
        <v>Ok</v>
      </c>
      <c r="V20" s="13"/>
    </row>
    <row r="21" spans="2:22">
      <c r="B21" t="s">
        <v>137</v>
      </c>
      <c r="C21" s="233">
        <f>IF(B21="","",IF(LEN(B21)&gt;9,SUMIFS(Options!$H$3:$H$33,Options!$B$3:$B$33,Check!B21),SUMIFS('Master P&amp;L'!$H$11:$H$85,'Master P&amp;L'!$B$11:$B$85,Check!B21)))</f>
        <v>12000</v>
      </c>
      <c r="D21" s="233">
        <f>IF(B21="","",SUMIFS(Input_APM!N:N,Input_APM!L:L,Check!B21,Input_APM!M:M,Check!$F$1))</f>
        <v>6718</v>
      </c>
      <c r="E21" s="217">
        <f t="shared" si="5"/>
        <v>5000</v>
      </c>
      <c r="F21" s="233">
        <f>IF(B21="","",SUMIFS(Input_APM!N:N,Input_APM!M:M,Check!$F$1,Input_APM!L:L,Check!B21))</f>
        <v>6718</v>
      </c>
      <c r="G21" s="233">
        <f>IF(B21="","",SUMIFS(Input_APM!N:N,Input_APM!M:M,Check!$G$1,Input_APM!L:L,Check!B21))</f>
        <v>0</v>
      </c>
      <c r="H21" s="217">
        <f t="shared" si="0"/>
        <v>6718</v>
      </c>
      <c r="I21" s="217">
        <f>SUMIFS(Input_APM!N:N,Input_APM!L:L,Check!B21)</f>
        <v>6718</v>
      </c>
      <c r="J21" s="219">
        <f t="shared" si="3"/>
        <v>0</v>
      </c>
      <c r="K21" s="22">
        <f>IF(B21="","",SUMIFS('Input_APM (Zenith)'!N:N,'Input_APM (Zenith)'!L:L,Check!B21,'Input_APM (Zenith)'!M:M,Check!$F$1))</f>
        <v>282</v>
      </c>
      <c r="L21" s="22">
        <f>IF(B21="","",SUMIFS('Input_APM (Zenith)'!N:N,'Input_APM (Zenith)'!L:L,Check!B21,'Input_APM (Zenith)'!M:M,Check!$G$1))</f>
        <v>0</v>
      </c>
      <c r="M21" s="240">
        <f t="shared" si="4"/>
        <v>7000</v>
      </c>
      <c r="O21" t="s">
        <v>300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IF(O21="","",IF(LEN(O21)&gt;9,SUMIFS(Options!$H$3:$H$33,Options!$B$3:$B$33,Check!O21),SUMIFS('Master P&amp;L'!$H$11:$H$85,'Master P&amp;L'!$B$11:$B$85,Check!O21)))</f>
        <v>0</v>
      </c>
      <c r="R21" s="217">
        <f t="shared" si="1"/>
        <v>0</v>
      </c>
      <c r="S21" s="362" t="str">
        <f t="shared" si="2"/>
        <v>Ok</v>
      </c>
      <c r="V21" s="13"/>
    </row>
    <row r="22" spans="2:22">
      <c r="B22" t="s">
        <v>96</v>
      </c>
      <c r="C22" s="233">
        <f>IF(B22="","",IF(LEN(B22)&gt;9,SUMIFS(Options!$H$3:$H$33,Options!$B$3:$B$33,Check!B22),SUMIFS('Master P&amp;L'!$H$11:$H$85,'Master P&amp;L'!$B$11:$B$85,Check!B22)))</f>
        <v>14500</v>
      </c>
      <c r="D22" s="233">
        <f>IF(B22="","",SUMIFS(Input_APM!N:N,Input_APM!L:L,Check!B22,Input_APM!M:M,Check!$F$1))</f>
        <v>0</v>
      </c>
      <c r="E22" s="217">
        <f t="shared" si="5"/>
        <v>14500</v>
      </c>
      <c r="F22" s="233">
        <f>IF(B22="","",SUMIFS(Input_APM!N:N,Input_APM!M:M,Check!$F$1,Input_APM!L:L,Check!B22))</f>
        <v>0</v>
      </c>
      <c r="G22" s="233">
        <f>IF(B22="","",SUMIFS(Input_APM!N:N,Input_APM!M:M,Check!$G$1,Input_APM!L:L,Check!B22))</f>
        <v>0</v>
      </c>
      <c r="H22" s="217">
        <f t="shared" si="0"/>
        <v>0</v>
      </c>
      <c r="I22" s="217">
        <f>SUMIFS(Input_APM!N:N,Input_APM!L:L,Check!B22)</f>
        <v>0</v>
      </c>
      <c r="J22" s="219">
        <f t="shared" si="3"/>
        <v>0</v>
      </c>
      <c r="K22" s="22">
        <f>IF(B22="","",SUMIFS('Input_APM (Zenith)'!N:N,'Input_APM (Zenith)'!L:L,Check!B22,'Input_APM (Zenith)'!M:M,Check!$F$1))</f>
        <v>0</v>
      </c>
      <c r="L22" s="22">
        <f>IF(B22="","",SUMIFS('Input_APM (Zenith)'!N:N,'Input_APM (Zenith)'!L:L,Check!B22,'Input_APM (Zenith)'!M:M,Check!$G$1))</f>
        <v>0</v>
      </c>
      <c r="M22" s="240">
        <f t="shared" si="4"/>
        <v>0</v>
      </c>
      <c r="O22" t="s">
        <v>301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IF(O22="","",IF(LEN(O22)&gt;9,SUMIFS(Options!$H$3:$H$33,Options!$B$3:$B$33,Check!O22),SUMIFS('Master P&amp;L'!$H$11:$H$85,'Master P&amp;L'!$B$11:$B$85,Check!O22)))</f>
        <v>0</v>
      </c>
      <c r="R22" s="217">
        <f t="shared" si="1"/>
        <v>0</v>
      </c>
      <c r="S22" s="362" t="str">
        <f t="shared" si="2"/>
        <v>Ok</v>
      </c>
      <c r="V22" s="13"/>
    </row>
    <row r="23" spans="2:22">
      <c r="B23" t="s">
        <v>94</v>
      </c>
      <c r="C23" s="233">
        <f>IF(B23="","",IF(LEN(B23)&gt;9,SUMIFS(Options!$H$3:$H$33,Options!$B$3:$B$33,Check!B23),SUMIFS('Master P&amp;L'!$H$11:$H$85,'Master P&amp;L'!$B$11:$B$85,Check!B23)))</f>
        <v>25392</v>
      </c>
      <c r="D23" s="233">
        <f>IF(B23="","",SUMIFS(Input_APM!N:N,Input_APM!L:L,Check!B23,Input_APM!M:M,Check!$F$1))</f>
        <v>21414</v>
      </c>
      <c r="E23" s="217">
        <f t="shared" si="5"/>
        <v>2500</v>
      </c>
      <c r="F23" s="233">
        <f>IF(B23="","",SUMIFS(Input_APM!N:N,Input_APM!M:M,Check!$F$1,Input_APM!L:L,Check!B23))</f>
        <v>21414</v>
      </c>
      <c r="G23" s="233">
        <f>IF(B23="","",SUMIFS(Input_APM!N:N,Input_APM!M:M,Check!$G$1,Input_APM!L:L,Check!B23))</f>
        <v>0</v>
      </c>
      <c r="H23" s="217">
        <f t="shared" si="0"/>
        <v>21414</v>
      </c>
      <c r="I23" s="217">
        <f>SUMIFS(Input_APM!N:N,Input_APM!L:L,Check!B23)</f>
        <v>21414</v>
      </c>
      <c r="J23" s="219">
        <f t="shared" si="3"/>
        <v>0</v>
      </c>
      <c r="K23" s="22">
        <f>IF(B23="","",SUMIFS('Input_APM (Zenith)'!N:N,'Input_APM (Zenith)'!L:L,Check!B23,'Input_APM (Zenith)'!M:M,Check!$F$1))</f>
        <v>1478</v>
      </c>
      <c r="L23" s="22">
        <f>IF(B23="","",SUMIFS('Input_APM (Zenith)'!N:N,'Input_APM (Zenith)'!L:L,Check!B23,'Input_APM (Zenith)'!M:M,Check!$G$1))</f>
        <v>0</v>
      </c>
      <c r="M23" s="240">
        <f t="shared" si="4"/>
        <v>22892</v>
      </c>
      <c r="O23" t="s">
        <v>302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IF(O23="","",IF(LEN(O23)&gt;9,SUMIFS(Options!$H$3:$H$33,Options!$B$3:$B$33,Check!O23),SUMIFS('Master P&amp;L'!$H$11:$H$85,'Master P&amp;L'!$B$11:$B$85,Check!O23)))</f>
        <v>0</v>
      </c>
      <c r="R23" s="217">
        <f t="shared" si="1"/>
        <v>0</v>
      </c>
      <c r="S23" s="362" t="str">
        <f t="shared" si="2"/>
        <v>Ok</v>
      </c>
      <c r="V23" s="13"/>
    </row>
    <row r="24" spans="2:22">
      <c r="B24" t="s">
        <v>138</v>
      </c>
      <c r="C24" s="233">
        <f>IF(B24="","",IF(LEN(B24)&gt;9,SUMIFS(Options!$H$3:$H$33,Options!$B$3:$B$33,Check!B24),SUMIFS('Master P&amp;L'!$H$11:$H$85,'Master P&amp;L'!$B$11:$B$85,Check!B24)))</f>
        <v>0</v>
      </c>
      <c r="D24" s="233">
        <f>IF(B24="","",SUMIFS(Input_APM!N:N,Input_APM!L:L,Check!B24,Input_APM!M:M,Check!$F$1))</f>
        <v>0</v>
      </c>
      <c r="E24" s="217">
        <f t="shared" si="5"/>
        <v>0</v>
      </c>
      <c r="F24" s="233">
        <f>IF(B24="","",SUMIFS(Input_APM!N:N,Input_APM!M:M,Check!$F$1,Input_APM!L:L,Check!B24))</f>
        <v>0</v>
      </c>
      <c r="G24" s="233">
        <f>IF(B24="","",SUMIFS(Input_APM!N:N,Input_APM!M:M,Check!$G$1,Input_APM!L:L,Check!B24))</f>
        <v>0</v>
      </c>
      <c r="H24" s="217">
        <f t="shared" si="0"/>
        <v>0</v>
      </c>
      <c r="I24" s="217">
        <f>SUMIFS(Input_APM!N:N,Input_APM!L:L,Check!B24)</f>
        <v>0</v>
      </c>
      <c r="J24" s="219">
        <f t="shared" si="3"/>
        <v>0</v>
      </c>
      <c r="K24" s="22">
        <f>IF(B24="","",SUMIFS('Input_APM (Zenith)'!N:N,'Input_APM (Zenith)'!L:L,Check!B24,'Input_APM (Zenith)'!M:M,Check!$F$1))</f>
        <v>0</v>
      </c>
      <c r="L24" s="22">
        <f>IF(B24="","",SUMIFS('Input_APM (Zenith)'!N:N,'Input_APM (Zenith)'!L:L,Check!B24,'Input_APM (Zenith)'!M:M,Check!$G$1))</f>
        <v>0</v>
      </c>
      <c r="M24" s="240">
        <f t="shared" si="4"/>
        <v>0</v>
      </c>
      <c r="O24" t="s">
        <v>1915</v>
      </c>
      <c r="P24" s="217">
        <f>IF(O24="","",IF(OR(LEFT(O24,4)="Cash",LEFT(O24,4)="Prov"),0,SUMIFS(Input_APM!N:N,Input_APM!L:L,Check!O24)))</f>
        <v>4625000</v>
      </c>
      <c r="Q24" s="22">
        <f>IF(O24="","",IF(LEN(O24)&gt;9,SUMIFS(Options!$H$3:$H$33,Options!$B$3:$B$33,Check!O24),SUMIFS('Master P&amp;L'!$H$11:$H$85,'Master P&amp;L'!$B$11:$B$85,Check!O24)))</f>
        <v>0</v>
      </c>
      <c r="R24" s="217">
        <f t="shared" si="1"/>
        <v>4625000</v>
      </c>
      <c r="S24" s="362" t="str">
        <f t="shared" si="2"/>
        <v>Erro</v>
      </c>
      <c r="V24" s="13"/>
    </row>
    <row r="25" spans="2:22">
      <c r="B25" t="s">
        <v>2361</v>
      </c>
      <c r="C25" s="233">
        <f>IF(B25="","",IF(LEN(B25)&gt;9,SUMIFS(Options!$H$3:$H$33,Options!$B$3:$B$33,Check!B25),SUMIFS('Master P&amp;L'!$H$11:$H$85,'Master P&amp;L'!$B$11:$B$85,Check!B25)))</f>
        <v>2100</v>
      </c>
      <c r="D25" s="233">
        <f>IF(B25="","",SUMIFS(Input_APM!N:N,Input_APM!L:L,Check!B25,Input_APM!M:M,Check!$F$1))</f>
        <v>0</v>
      </c>
      <c r="E25" s="217">
        <f t="shared" si="5"/>
        <v>2100</v>
      </c>
      <c r="F25" s="233">
        <f>IF(B25="","",SUMIFS(Input_APM!N:N,Input_APM!M:M,Check!$F$1,Input_APM!L:L,Check!B25))</f>
        <v>0</v>
      </c>
      <c r="G25" s="233">
        <f>IF(B25="","",SUMIFS(Input_APM!N:N,Input_APM!M:M,Check!$G$1,Input_APM!L:L,Check!B25))</f>
        <v>0</v>
      </c>
      <c r="H25" s="217">
        <f t="shared" si="0"/>
        <v>0</v>
      </c>
      <c r="I25" s="217">
        <f>SUMIFS(Input_APM!N:N,Input_APM!L:L,Check!B25)</f>
        <v>0</v>
      </c>
      <c r="J25" s="219">
        <f t="shared" si="3"/>
        <v>0</v>
      </c>
      <c r="K25" s="22">
        <f>IF(B25="","",SUMIFS('Input_APM (Zenith)'!N:N,'Input_APM (Zenith)'!L:L,Check!B25,'Input_APM (Zenith)'!M:M,Check!$F$1))</f>
        <v>0</v>
      </c>
      <c r="L25" s="22">
        <f>IF(B25="","",SUMIFS('Input_APM (Zenith)'!N:N,'Input_APM (Zenith)'!L:L,Check!B25,'Input_APM (Zenith)'!M:M,Check!$G$1))</f>
        <v>0</v>
      </c>
      <c r="M25" s="240">
        <f t="shared" si="4"/>
        <v>0</v>
      </c>
      <c r="O25" t="s">
        <v>2210</v>
      </c>
      <c r="P25" s="217">
        <f>IF(O25="","",IF(OR(LEFT(O25,4)="Cash",LEFT(O25,4)="Prov"),0,SUMIFS(Input_APM!N:N,Input_APM!L:L,Check!O25)))</f>
        <v>2923</v>
      </c>
      <c r="Q25" s="22">
        <f>IF(O25="","",IF(LEN(O25)&gt;9,SUMIFS(Options!$H$3:$H$33,Options!$B$3:$B$33,Check!O25),SUMIFS('Master P&amp;L'!$H$11:$H$85,'Master P&amp;L'!$B$11:$B$85,Check!O25)))</f>
        <v>2010</v>
      </c>
      <c r="R25" s="217">
        <f t="shared" si="1"/>
        <v>913</v>
      </c>
      <c r="S25" s="362">
        <f t="shared" si="2"/>
        <v>1.4542288557213929</v>
      </c>
      <c r="V25" s="13"/>
    </row>
    <row r="26" spans="2:22">
      <c r="B26" t="s">
        <v>2183</v>
      </c>
      <c r="C26" s="233">
        <f>IF(B26="","",IF(LEN(B26)&gt;9,SUMIFS(Options!$H$3:$H$33,Options!$B$3:$B$33,Check!B26),SUMIFS('Master P&amp;L'!$H$11:$H$85,'Master P&amp;L'!$B$11:$B$85,Check!B26)))</f>
        <v>22000</v>
      </c>
      <c r="D26" s="233">
        <f>IF(B26="","",SUMIFS(Input_APM!N:N,Input_APM!L:L,Check!B26,Input_APM!M:M,Check!$F$1))</f>
        <v>20567</v>
      </c>
      <c r="E26" s="219">
        <f>IF(B26="","",C26-M26)</f>
        <v>0</v>
      </c>
      <c r="F26" s="233">
        <f>IF(B26="","",SUMIFS(Input_APM!N:N,Input_APM!M:M,Check!$F$1,Input_APM!L:L,Check!B26))</f>
        <v>20567</v>
      </c>
      <c r="G26" s="233">
        <f>IF(B26="","",SUMIFS(Input_APM!N:N,Input_APM!M:M,Check!$G$1,Input_APM!L:L,Check!B26))</f>
        <v>0</v>
      </c>
      <c r="H26" s="217">
        <f t="shared" si="0"/>
        <v>20567</v>
      </c>
      <c r="I26" s="217">
        <f>SUMIFS(Input_APM!N:N,Input_APM!L:L,Check!B26)</f>
        <v>20567</v>
      </c>
      <c r="J26" s="219">
        <f t="shared" si="3"/>
        <v>0</v>
      </c>
      <c r="K26" s="22">
        <f>IF(B26="","",SUMIFS('Input_APM (Zenith)'!N:N,'Input_APM (Zenith)'!L:L,Check!B26,'Input_APM (Zenith)'!M:M,Check!$F$1))</f>
        <v>1433</v>
      </c>
      <c r="L26" s="22">
        <f>IF(B26="","",SUMIFS('Input_APM (Zenith)'!N:N,'Input_APM (Zenith)'!L:L,Check!B26,'Input_APM (Zenith)'!M:M,Check!$G$1))</f>
        <v>0</v>
      </c>
      <c r="M26" s="240">
        <f t="shared" si="4"/>
        <v>22000</v>
      </c>
      <c r="O26" t="s">
        <v>1754</v>
      </c>
      <c r="P26" s="217">
        <f>IF(O26="","",IF(OR(LEFT(O26,4)="Cash",LEFT(O26,4)="Prov"),0,SUMIFS(Input_APM!N:N,Input_APM!L:L,Check!O26)))</f>
        <v>41651</v>
      </c>
      <c r="Q26" s="22">
        <f>IF(O26="","",IF(LEN(O26)&gt;9,SUMIFS(Options!$H$3:$H$33,Options!$B$3:$B$33,Check!O26),SUMIFS('Master P&amp;L'!$H$11:$H$85,'Master P&amp;L'!$B$11:$B$85,Check!O26)))</f>
        <v>52680</v>
      </c>
      <c r="R26" s="217">
        <f t="shared" si="1"/>
        <v>-11029</v>
      </c>
      <c r="S26" s="362">
        <f t="shared" si="2"/>
        <v>0.7906416097190585</v>
      </c>
      <c r="V26" s="13"/>
    </row>
    <row r="27" spans="2:22">
      <c r="B27" t="s">
        <v>87</v>
      </c>
      <c r="C27" s="233">
        <f>IF(B27="","",IF(LEN(B27)&gt;9,SUMIFS(Options!$H$3:$H$33,Options!$B$3:$B$33,Check!B27),SUMIFS('Master P&amp;L'!$H$11:$H$85,'Master P&amp;L'!$B$11:$B$85,Check!B27)))</f>
        <v>0</v>
      </c>
      <c r="D27" s="233">
        <f>IF(B27="","",SUMIFS(Input_APM!N:N,Input_APM!L:L,Check!B27,Input_APM!M:M,Check!$F$1))</f>
        <v>3280</v>
      </c>
      <c r="E27" s="219">
        <f t="shared" si="5"/>
        <v>-3500</v>
      </c>
      <c r="F27" s="233">
        <f>IF(B27="","",SUMIFS(Input_APM!N:N,Input_APM!M:M,Check!$F$1,Input_APM!L:L,Check!B27))</f>
        <v>3280</v>
      </c>
      <c r="G27" s="233">
        <f>IF(B27="","",SUMIFS(Input_APM!N:N,Input_APM!M:M,Check!$G$1,Input_APM!L:L,Check!B27))</f>
        <v>0</v>
      </c>
      <c r="H27" s="217">
        <f t="shared" si="0"/>
        <v>3280</v>
      </c>
      <c r="I27" s="217">
        <f>SUMIFS(Input_APM!N:N,Input_APM!L:L,Check!B27)</f>
        <v>3280</v>
      </c>
      <c r="J27" s="219">
        <f t="shared" si="3"/>
        <v>0</v>
      </c>
      <c r="K27" s="22">
        <f>IF(B27="","",SUMIFS('Input_APM (Zenith)'!N:N,'Input_APM (Zenith)'!L:L,Check!B27,'Input_APM (Zenith)'!M:M,Check!$F$1))</f>
        <v>220</v>
      </c>
      <c r="L27" s="22">
        <f>IF(B27="","",SUMIFS('Input_APM (Zenith)'!N:N,'Input_APM (Zenith)'!L:L,Check!B27,'Input_APM (Zenith)'!M:M,Check!$G$1))</f>
        <v>0</v>
      </c>
      <c r="M27" s="240">
        <f t="shared" si="4"/>
        <v>3500</v>
      </c>
      <c r="O27" t="s">
        <v>2194</v>
      </c>
      <c r="P27" s="217">
        <f>IF(O27="","",IF(OR(LEFT(O27,4)="Cash",LEFT(O27,4)="Prov"),0,SUMIFS(Input_APM!N:N,Input_APM!L:L,Check!O27)))</f>
        <v>26139</v>
      </c>
      <c r="Q27" s="22">
        <f>IF(O27="","",IF(LEN(O27)&gt;9,SUMIFS(Options!$H$3:$H$33,Options!$B$3:$B$33,Check!O27),SUMIFS('Master P&amp;L'!$H$11:$H$85,'Master P&amp;L'!$B$11:$B$85,Check!O27)))</f>
        <v>27918</v>
      </c>
      <c r="R27" s="217">
        <f t="shared" si="1"/>
        <v>-1779</v>
      </c>
      <c r="S27" s="362">
        <f t="shared" si="2"/>
        <v>0.93627767032022347</v>
      </c>
      <c r="V27" s="13"/>
    </row>
    <row r="28" spans="2:22">
      <c r="B28" t="s">
        <v>86</v>
      </c>
      <c r="C28" s="233">
        <f>IF(B28="","",IF(LEN(B28)&gt;9,SUMIFS(Options!$H$3:$H$33,Options!$B$3:$B$33,Check!B28),SUMIFS('Master P&amp;L'!$H$11:$H$85,'Master P&amp;L'!$B$11:$B$85,Check!B28)))</f>
        <v>0</v>
      </c>
      <c r="D28" s="233">
        <f>IF(B28="","",SUMIFS(Input_APM!N:N,Input_APM!L:L,Check!B28,Input_APM!M:M,Check!$F$1))</f>
        <v>1968</v>
      </c>
      <c r="E28" s="219">
        <f>IF(B28="","",C28-M28)</f>
        <v>-2100</v>
      </c>
      <c r="F28" s="233">
        <f>IF(B28="","",SUMIFS(Input_APM!N:N,Input_APM!M:M,Check!$F$1,Input_APM!L:L,Check!B28))</f>
        <v>1968</v>
      </c>
      <c r="G28" s="233">
        <f>IF(B28="","",SUMIFS(Input_APM!N:N,Input_APM!M:M,Check!$G$1,Input_APM!L:L,Check!B28))</f>
        <v>0</v>
      </c>
      <c r="H28" s="217">
        <f t="shared" si="0"/>
        <v>1968</v>
      </c>
      <c r="I28" s="217">
        <f>SUMIFS(Input_APM!N:N,Input_APM!L:L,Check!B28)</f>
        <v>1968</v>
      </c>
      <c r="J28" s="219">
        <f t="shared" si="3"/>
        <v>0</v>
      </c>
      <c r="K28" s="22">
        <f>IF(B28="","",SUMIFS('Input_APM (Zenith)'!N:N,'Input_APM (Zenith)'!L:L,Check!B28,'Input_APM (Zenith)'!M:M,Check!$F$1))</f>
        <v>132</v>
      </c>
      <c r="L28" s="22">
        <f>IF(B28="","",SUMIFS('Input_APM (Zenith)'!N:N,'Input_APM (Zenith)'!L:L,Check!B28,'Input_APM (Zenith)'!M:M,Check!$G$1))</f>
        <v>0</v>
      </c>
      <c r="M28" s="240">
        <f t="shared" si="4"/>
        <v>2100</v>
      </c>
      <c r="O28" t="s">
        <v>2218</v>
      </c>
      <c r="P28" s="217">
        <f>IF(O28="","",IF(OR(LEFT(O28,4)="Cash",LEFT(O28,4)="Prov"),0,SUMIFS(Input_APM!N:N,Input_APM!L:L,Check!O28)))</f>
        <v>1668</v>
      </c>
      <c r="Q28" s="22">
        <f>IF(O28="","",IF(LEN(O28)&gt;9,SUMIFS(Options!$H$3:$H$33,Options!$B$3:$B$33,Check!O28),SUMIFS('Master P&amp;L'!$H$11:$H$85,'Master P&amp;L'!$B$11:$B$85,Check!O28)))</f>
        <v>1780</v>
      </c>
      <c r="R28" s="217">
        <f t="shared" si="1"/>
        <v>-112</v>
      </c>
      <c r="S28" s="362">
        <f t="shared" si="2"/>
        <v>0.93707865168539328</v>
      </c>
      <c r="V28" s="13"/>
    </row>
    <row r="29" spans="2:22">
      <c r="B29" t="s">
        <v>2330</v>
      </c>
      <c r="C29" s="233">
        <f>IF(B29="","",IF(LEN(B29)&gt;9,SUMIFS(Options!$H$3:$H$33,Options!$B$3:$B$33,Check!B29),SUMIFS('Master P&amp;L'!$H$11:$H$85,'Master P&amp;L'!$B$11:$B$85,Check!B29)))</f>
        <v>1500</v>
      </c>
      <c r="D29" s="233">
        <f>IF(B29="","",SUMIFS(Input_APM!N:N,Input_APM!L:L,Check!B29,Input_APM!M:M,Check!$F$1))</f>
        <v>1405</v>
      </c>
      <c r="E29" s="219">
        <f t="shared" si="5"/>
        <v>0</v>
      </c>
      <c r="F29" s="233">
        <f>IF(B29="","",SUMIFS(Input_APM!N:N,Input_APM!M:M,Check!$F$1,Input_APM!L:L,Check!B29))</f>
        <v>1405</v>
      </c>
      <c r="G29" s="233">
        <f>IF(B29="","",SUMIFS(Input_APM!N:N,Input_APM!M:M,Check!$G$1,Input_APM!L:L,Check!B29))</f>
        <v>0</v>
      </c>
      <c r="H29" s="217">
        <f t="shared" si="0"/>
        <v>1405</v>
      </c>
      <c r="I29" s="217">
        <f>SUMIFS(Input_APM!N:N,Input_APM!L:L,Check!B29)</f>
        <v>1405</v>
      </c>
      <c r="J29" s="219">
        <f t="shared" si="3"/>
        <v>0</v>
      </c>
      <c r="K29" s="22">
        <f>IF(B29="","",SUMIFS('Input_APM (Zenith)'!N:N,'Input_APM (Zenith)'!L:L,Check!B29,'Input_APM (Zenith)'!M:M,Check!$F$1))</f>
        <v>95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1500</v>
      </c>
      <c r="O29" t="s">
        <v>1899</v>
      </c>
      <c r="P29" s="217">
        <f>IF(O29="","",IF(OR(LEFT(O29,4)="Cash",LEFT(O29,4)="Prov"),0,SUMIFS(Input_APM!N:N,Input_APM!L:L,Check!O29)))</f>
        <v>276451</v>
      </c>
      <c r="Q29" s="22">
        <f>IF(O29="","",IF(LEN(O29)&gt;9,SUMIFS(Options!$H$3:$H$33,Options!$B$3:$B$33,Check!O29),SUMIFS('Master P&amp;L'!$H$11:$H$85,'Master P&amp;L'!$B$11:$B$85,Check!O29)))</f>
        <v>0</v>
      </c>
      <c r="R29" s="217">
        <f t="shared" si="1"/>
        <v>276451</v>
      </c>
      <c r="S29" s="362" t="str">
        <f t="shared" si="2"/>
        <v>Erro</v>
      </c>
      <c r="V29" s="13"/>
    </row>
    <row r="30" spans="2:22">
      <c r="B30" t="s">
        <v>2154</v>
      </c>
      <c r="C30" s="233">
        <f>IF(B30="","",IF(LEN(B30)&gt;9,SUMIFS(Options!$H$3:$H$33,Options!$B$3:$B$33,Check!B30),SUMIFS('Master P&amp;L'!$H$11:$H$85,'Master P&amp;L'!$B$11:$B$85,Check!B30)))</f>
        <v>-50</v>
      </c>
      <c r="D30" s="233">
        <f>IF(B30="","",SUMIFS(Input_APM!N:N,Input_APM!L:L,Check!B30,Input_APM!M:M,Check!$F$1))</f>
        <v>-48</v>
      </c>
      <c r="E30" s="219">
        <f t="shared" si="5"/>
        <v>0</v>
      </c>
      <c r="F30" s="233">
        <f>IF(B30="","",SUMIFS(Input_APM!N:N,Input_APM!M:M,Check!$F$1,Input_APM!L:L,Check!B30))</f>
        <v>-48</v>
      </c>
      <c r="G30" s="233">
        <f>IF(B30="","",SUMIFS(Input_APM!N:N,Input_APM!M:M,Check!$G$1,Input_APM!L:L,Check!B30))</f>
        <v>0</v>
      </c>
      <c r="H30" s="217">
        <f t="shared" si="0"/>
        <v>-48</v>
      </c>
      <c r="I30" s="217">
        <f>SUMIFS(Input_APM!N:N,Input_APM!L:L,Check!B30)</f>
        <v>-48</v>
      </c>
      <c r="J30" s="219">
        <f t="shared" si="3"/>
        <v>0</v>
      </c>
      <c r="K30" s="22">
        <f>IF(B30="","",SUMIFS('Input_APM (Zenith)'!N:N,'Input_APM (Zenith)'!L:L,Check!B30,'Input_APM (Zenith)'!M:M,Check!$F$1))</f>
        <v>-2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-50</v>
      </c>
      <c r="O30" t="s">
        <v>1900</v>
      </c>
      <c r="P30" s="217">
        <f>IF(O30="","",IF(OR(LEFT(O30,4)="Cash",LEFT(O30,4)="Prov"),0,SUMIFS(Input_APM!N:N,Input_APM!L:L,Check!O30)))</f>
        <v>-276451</v>
      </c>
      <c r="Q30" s="22">
        <f>IF(O30="","",IF(LEN(O30)&gt;9,SUMIFS(Options!$H$3:$H$33,Options!$B$3:$B$33,Check!O30),SUMIFS('Master P&amp;L'!$H$11:$H$85,'Master P&amp;L'!$B$11:$B$85,Check!O30)))</f>
        <v>0</v>
      </c>
      <c r="R30" s="217">
        <f t="shared" si="1"/>
        <v>-276451</v>
      </c>
      <c r="S30" s="362" t="str">
        <f t="shared" si="2"/>
        <v>Erro</v>
      </c>
      <c r="V30" s="13"/>
    </row>
    <row r="31" spans="2:22">
      <c r="B31" t="s">
        <v>2152</v>
      </c>
      <c r="C31" s="233">
        <f>IF(B31="","",IF(LEN(B31)&gt;9,SUMIFS(Options!$H$3:$H$33,Options!$B$3:$B$33,Check!B31),SUMIFS('Master P&amp;L'!$H$11:$H$85,'Master P&amp;L'!$B$11:$B$85,Check!B31)))</f>
        <v>50</v>
      </c>
      <c r="D31" s="233">
        <f>IF(B31="","",SUMIFS(Input_APM!N:N,Input_APM!L:L,Check!B31,Input_APM!M:M,Check!$F$1))</f>
        <v>48</v>
      </c>
      <c r="E31" s="219">
        <f>IF(B31="","",C31-M31)</f>
        <v>0</v>
      </c>
      <c r="F31" s="233">
        <f>IF(B31="","",SUMIFS(Input_APM!N:N,Input_APM!M:M,Check!$F$1,Input_APM!L:L,Check!B31))</f>
        <v>48</v>
      </c>
      <c r="G31" s="233">
        <f>IF(B31="","",SUMIFS(Input_APM!N:N,Input_APM!M:M,Check!$G$1,Input_APM!L:L,Check!B31))</f>
        <v>0</v>
      </c>
      <c r="H31" s="217">
        <f t="shared" si="0"/>
        <v>48</v>
      </c>
      <c r="I31" s="217">
        <f>SUMIFS(Input_APM!N:N,Input_APM!L:L,Check!B31)</f>
        <v>48</v>
      </c>
      <c r="J31" s="219">
        <f t="shared" si="3"/>
        <v>0</v>
      </c>
      <c r="K31" s="22">
        <f>IF(B31="","",SUMIFS('Input_APM (Zenith)'!N:N,'Input_APM (Zenith)'!L:L,Check!B31,'Input_APM (Zenith)'!M:M,Check!$F$1))</f>
        <v>2</v>
      </c>
      <c r="L31" s="22">
        <f>IF(B31="","",SUMIFS('Input_APM (Zenith)'!N:N,'Input_APM (Zenith)'!L:L,Check!B31,'Input_APM (Zenith)'!M:M,Check!$G$1))</f>
        <v>0</v>
      </c>
      <c r="M31" s="240">
        <f t="shared" si="4"/>
        <v>50</v>
      </c>
      <c r="O31" t="s">
        <v>2101</v>
      </c>
      <c r="P31" s="217">
        <f>IF(O31="","",IF(OR(LEFT(O31,4)="Cash",LEFT(O31,4)="Prov"),0,SUMIFS(Input_APM!N:N,Input_APM!L:L,Check!O31)))</f>
        <v>1874</v>
      </c>
      <c r="Q31" s="22">
        <f>IF(O31="","",IF(LEN(O31)&gt;9,SUMIFS(Options!$H$3:$H$33,Options!$B$3:$B$33,Check!O31),SUMIFS('Master P&amp;L'!$H$11:$H$85,'Master P&amp;L'!$B$11:$B$85,Check!O31)))</f>
        <v>1350</v>
      </c>
      <c r="R31" s="217">
        <f t="shared" si="1"/>
        <v>524</v>
      </c>
      <c r="S31" s="362">
        <f t="shared" si="2"/>
        <v>1.3881481481481481</v>
      </c>
      <c r="V31" s="13"/>
    </row>
    <row r="32" spans="2:22">
      <c r="B32" t="s">
        <v>2113</v>
      </c>
      <c r="C32" s="233">
        <f>IF(B32="","",IF(LEN(B32)&gt;9,SUMIFS(Options!$H$3:$H$33,Options!$B$3:$B$33,Check!B32),SUMIFS('Master P&amp;L'!$H$11:$H$85,'Master P&amp;L'!$B$11:$B$85,Check!B32)))</f>
        <v>90</v>
      </c>
      <c r="D32" s="233">
        <f>IF(B32="","",SUMIFS(Input_APM!N:N,Input_APM!L:L,Check!B32,Input_APM!M:M,Check!$F$1))</f>
        <v>84</v>
      </c>
      <c r="E32" s="219">
        <f t="shared" si="5"/>
        <v>0</v>
      </c>
      <c r="F32" s="233">
        <f>IF(B32="","",SUMIFS(Input_APM!N:N,Input_APM!M:M,Check!$F$1,Input_APM!L:L,Check!B32))</f>
        <v>84</v>
      </c>
      <c r="G32" s="233">
        <f>IF(B32="","",SUMIFS(Input_APM!N:N,Input_APM!M:M,Check!$G$1,Input_APM!L:L,Check!B32))</f>
        <v>0</v>
      </c>
      <c r="H32" s="217">
        <f t="shared" si="0"/>
        <v>84</v>
      </c>
      <c r="I32" s="217">
        <f>SUMIFS(Input_APM!N:N,Input_APM!L:L,Check!B32)</f>
        <v>84</v>
      </c>
      <c r="J32" s="219">
        <f t="shared" si="3"/>
        <v>0</v>
      </c>
      <c r="K32" s="22">
        <f>IF(B32="","",SUMIFS('Input_APM (Zenith)'!N:N,'Input_APM (Zenith)'!L:L,Check!B32,'Input_APM (Zenith)'!M:M,Check!$F$1))</f>
        <v>6</v>
      </c>
      <c r="L32" s="22">
        <f>IF(B32="","",SUMIFS('Input_APM (Zenith)'!N:N,'Input_APM (Zenith)'!L:L,Check!B32,'Input_APM (Zenith)'!M:M,Check!$G$1))</f>
        <v>0</v>
      </c>
      <c r="M32" s="240">
        <f t="shared" si="4"/>
        <v>90</v>
      </c>
      <c r="O32" t="s">
        <v>2113</v>
      </c>
      <c r="P32" s="217">
        <f>IF(O32="","",IF(OR(LEFT(O32,4)="Cash",LEFT(O32,4)="Prov"),0,SUMIFS(Input_APM!N:N,Input_APM!L:L,Check!O32)))</f>
        <v>84</v>
      </c>
      <c r="Q32" s="22">
        <f>IF(O32="","",IF(LEN(O32)&gt;9,SUMIFS(Options!$H$3:$H$33,Options!$B$3:$B$33,Check!O32),SUMIFS('Master P&amp;L'!$H$11:$H$85,'Master P&amp;L'!$B$11:$B$85,Check!O32)))</f>
        <v>90</v>
      </c>
      <c r="R32" s="217">
        <f t="shared" si="1"/>
        <v>-6</v>
      </c>
      <c r="S32" s="362">
        <f t="shared" si="2"/>
        <v>0.93333333333333335</v>
      </c>
      <c r="V32" s="13"/>
    </row>
    <row r="33" spans="1:22">
      <c r="B33" t="s">
        <v>2107</v>
      </c>
      <c r="C33" s="233">
        <f>IF(B33="","",IF(LEN(B33)&gt;9,SUMIFS(Options!$H$3:$H$33,Options!$B$3:$B$33,Check!B33),SUMIFS('Master P&amp;L'!$H$11:$H$85,'Master P&amp;L'!$B$11:$B$85,Check!B33)))</f>
        <v>60</v>
      </c>
      <c r="D33" s="233">
        <f>IF(B33="","",SUMIFS(Input_APM!N:N,Input_APM!L:L,Check!B33,Input_APM!M:M,Check!$F$1))</f>
        <v>57</v>
      </c>
      <c r="E33" s="217">
        <f t="shared" si="5"/>
        <v>0</v>
      </c>
      <c r="F33" s="233">
        <f>IF(B33="","",SUMIFS(Input_APM!N:N,Input_APM!M:M,Check!$F$1,Input_APM!L:L,Check!B33))</f>
        <v>57</v>
      </c>
      <c r="G33" s="233">
        <f>IF(B33="","",SUMIFS(Input_APM!N:N,Input_APM!M:M,Check!$G$1,Input_APM!L:L,Check!B33))</f>
        <v>0</v>
      </c>
      <c r="H33" s="217">
        <f t="shared" si="0"/>
        <v>57</v>
      </c>
      <c r="I33" s="217">
        <f>SUMIFS(Input_APM!N:N,Input_APM!L:L,Check!B33)</f>
        <v>57</v>
      </c>
      <c r="J33" s="219">
        <f t="shared" si="3"/>
        <v>0</v>
      </c>
      <c r="K33" s="22">
        <f>IF(B33="","",SUMIFS('Input_APM (Zenith)'!N:N,'Input_APM (Zenith)'!L:L,Check!B33,'Input_APM (Zenith)'!M:M,Check!$F$1))</f>
        <v>3</v>
      </c>
      <c r="L33" s="22">
        <f>IF(B33="","",SUMIFS('Input_APM (Zenith)'!N:N,'Input_APM (Zenith)'!L:L,Check!B33,'Input_APM (Zenith)'!M:M,Check!$G$1))</f>
        <v>0</v>
      </c>
      <c r="M33" s="240">
        <f t="shared" si="4"/>
        <v>60</v>
      </c>
      <c r="O33" t="s">
        <v>2114</v>
      </c>
      <c r="P33" s="217">
        <f>IF(O33="","",IF(OR(LEFT(O33,4)="Cash",LEFT(O33,4)="Prov"),0,SUMIFS(Input_APM!N:N,Input_APM!L:L,Check!O33)))</f>
        <v>0</v>
      </c>
      <c r="Q33" s="22">
        <f>IF(O33="","",IF(LEN(O33)&gt;9,SUMIFS(Options!$H$3:$H$33,Options!$B$3:$B$33,Check!O33),SUMIFS('Master P&amp;L'!$H$11:$H$85,'Master P&amp;L'!$B$11:$B$85,Check!O33)))</f>
        <v>0</v>
      </c>
      <c r="R33" s="217">
        <f t="shared" si="1"/>
        <v>0</v>
      </c>
      <c r="S33" s="362" t="str">
        <f t="shared" si="2"/>
        <v>Ok</v>
      </c>
      <c r="V33" s="13"/>
    </row>
    <row r="34" spans="1:22">
      <c r="B34" t="s">
        <v>2155</v>
      </c>
      <c r="C34" s="233">
        <f>IF(B34="","",IF(LEN(B34)&gt;9,SUMIFS(Options!$H$3:$H$33,Options!$B$3:$B$33,Check!B34),SUMIFS('Master P&amp;L'!$H$11:$H$85,'Master P&amp;L'!$B$11:$B$85,Check!B34)))</f>
        <v>-20</v>
      </c>
      <c r="D34" s="233">
        <f>IF(B34="","",SUMIFS(Input_APM!N:N,Input_APM!L:L,Check!B34,Input_APM!M:M,Check!$F$1))</f>
        <v>-19</v>
      </c>
      <c r="E34" s="217">
        <f t="shared" si="5"/>
        <v>0</v>
      </c>
      <c r="F34" s="233">
        <f>IF(B34="","",SUMIFS(Input_APM!N:N,Input_APM!M:M,Check!$F$1,Input_APM!L:L,Check!B34))</f>
        <v>-19</v>
      </c>
      <c r="G34" s="233">
        <f>IF(B34="","",SUMIFS(Input_APM!N:N,Input_APM!M:M,Check!$G$1,Input_APM!L:L,Check!B34))</f>
        <v>0</v>
      </c>
      <c r="H34" s="217">
        <f t="shared" si="0"/>
        <v>-19</v>
      </c>
      <c r="I34" s="217">
        <f>SUMIFS(Input_APM!N:N,Input_APM!L:L,Check!B34)</f>
        <v>-19</v>
      </c>
      <c r="J34" s="219">
        <f t="shared" si="3"/>
        <v>0</v>
      </c>
      <c r="K34" s="22">
        <f>IF(B34="","",SUMIFS('Input_APM (Zenith)'!N:N,'Input_APM (Zenith)'!L:L,Check!B34,'Input_APM (Zenith)'!M:M,Check!$F$1))</f>
        <v>-1</v>
      </c>
      <c r="L34" s="22">
        <f>IF(B34="","",SUMIFS('Input_APM (Zenith)'!N:N,'Input_APM (Zenith)'!L:L,Check!B34,'Input_APM (Zenith)'!M:M,Check!$G$1))</f>
        <v>0</v>
      </c>
      <c r="M34" s="240">
        <f t="shared" si="4"/>
        <v>-20</v>
      </c>
      <c r="O34" t="s">
        <v>86</v>
      </c>
      <c r="P34" s="217">
        <f>IF(O34="","",IF(OR(LEFT(O34,4)="Cash",LEFT(O34,4)="Prov"),0,SUMIFS(Input_APM!N:N,Input_APM!L:L,Check!O34)))</f>
        <v>1968</v>
      </c>
      <c r="Q34" s="22">
        <f>IF(O34="","",IF(LEN(O34)&gt;9,SUMIFS(Options!$H$3:$H$33,Options!$B$3:$B$33,Check!O34),SUMIFS('Master P&amp;L'!$H$11:$H$85,'Master P&amp;L'!$B$11:$B$85,Check!O34)))</f>
        <v>0</v>
      </c>
      <c r="R34" s="217">
        <f t="shared" si="1"/>
        <v>1968</v>
      </c>
      <c r="S34" s="362" t="str">
        <f t="shared" si="2"/>
        <v>Erro</v>
      </c>
      <c r="V34" s="13"/>
    </row>
    <row r="35" spans="1:22">
      <c r="B35" t="s">
        <v>2156</v>
      </c>
      <c r="C35" s="233">
        <f>IF(B35="","",IF(LEN(B35)&gt;9,SUMIFS(Options!$H$3:$H$33,Options!$B$3:$B$33,Check!B35),SUMIFS('Master P&amp;L'!$H$11:$H$85,'Master P&amp;L'!$B$11:$B$85,Check!B35)))</f>
        <v>20</v>
      </c>
      <c r="D35" s="233">
        <f>IF(B35="","",SUMIFS(Input_APM!N:N,Input_APM!L:L,Check!B35,Input_APM!M:M,Check!$F$1))</f>
        <v>19</v>
      </c>
      <c r="E35" s="219">
        <f t="shared" si="5"/>
        <v>0</v>
      </c>
      <c r="F35" s="233">
        <f>IF(B35="","",SUMIFS(Input_APM!N:N,Input_APM!M:M,Check!$F$1,Input_APM!L:L,Check!B35))</f>
        <v>19</v>
      </c>
      <c r="G35" s="233">
        <f>IF(B35="","",SUMIFS(Input_APM!N:N,Input_APM!M:M,Check!$G$1,Input_APM!L:L,Check!B35))</f>
        <v>0</v>
      </c>
      <c r="H35" s="217">
        <f t="shared" si="0"/>
        <v>19</v>
      </c>
      <c r="I35" s="217">
        <f>SUMIFS(Input_APM!N:N,Input_APM!L:L,Check!B35)</f>
        <v>19</v>
      </c>
      <c r="J35" s="219">
        <f t="shared" si="3"/>
        <v>0</v>
      </c>
      <c r="K35" s="22">
        <f>IF(B35="","",SUMIFS('Input_APM (Zenith)'!N:N,'Input_APM (Zenith)'!L:L,Check!B35,'Input_APM (Zenith)'!M:M,Check!$F$1))</f>
        <v>1</v>
      </c>
      <c r="L35" s="22">
        <f>IF(B35="","",SUMIFS('Input_APM (Zenith)'!N:N,'Input_APM (Zenith)'!L:L,Check!B35,'Input_APM (Zenith)'!M:M,Check!$G$1))</f>
        <v>0</v>
      </c>
      <c r="M35" s="240">
        <f t="shared" si="4"/>
        <v>20</v>
      </c>
      <c r="O35" t="s">
        <v>81</v>
      </c>
      <c r="P35" s="217">
        <f>IF(O35="","",IF(OR(LEFT(O35,4)="Cash",LEFT(O35,4)="Prov"),0,SUMIFS(Input_APM!N:N,Input_APM!L:L,Check!O35)))</f>
        <v>5618</v>
      </c>
      <c r="Q35" s="22">
        <f>IF(O35="","",IF(LEN(O35)&gt;9,SUMIFS(Options!$H$3:$H$33,Options!$B$3:$B$33,Check!O35),SUMIFS('Master P&amp;L'!$H$11:$H$85,'Master P&amp;L'!$B$11:$B$85,Check!O35)))</f>
        <v>6000</v>
      </c>
      <c r="R35" s="217">
        <f t="shared" si="1"/>
        <v>-382</v>
      </c>
      <c r="S35" s="362">
        <f t="shared" si="2"/>
        <v>0.93633333333333335</v>
      </c>
      <c r="V35" s="13"/>
    </row>
    <row r="36" spans="1:22">
      <c r="B36" t="s">
        <v>2139</v>
      </c>
      <c r="C36" s="233">
        <f>IF(B36="","",IF(LEN(B36)&gt;9,SUMIFS(Options!$H$3:$H$33,Options!$B$3:$B$33,Check!B36),SUMIFS('Master P&amp;L'!$H$11:$H$85,'Master P&amp;L'!$B$11:$B$85,Check!B36)))</f>
        <v>200</v>
      </c>
      <c r="D36" s="233">
        <f>IF(B36="","",SUMIFS(Input_APM!N:N,Input_APM!L:L,Check!B36,Input_APM!M:M,Check!$F$1))</f>
        <v>186</v>
      </c>
      <c r="E36" s="219">
        <f>IF(B36="","",C36-M36)</f>
        <v>0</v>
      </c>
      <c r="F36" s="233">
        <f>IF(B36="","",SUMIFS(Input_APM!N:N,Input_APM!M:M,Check!$F$1,Input_APM!L:L,Check!B36))</f>
        <v>186</v>
      </c>
      <c r="G36" s="233">
        <f>IF(B36="","",SUMIFS(Input_APM!N:N,Input_APM!M:M,Check!$G$1,Input_APM!L:L,Check!B36))</f>
        <v>0</v>
      </c>
      <c r="H36" s="217">
        <f t="shared" si="0"/>
        <v>186</v>
      </c>
      <c r="I36" s="217">
        <f>SUMIFS(Input_APM!N:N,Input_APM!L:L,Check!B36)</f>
        <v>186</v>
      </c>
      <c r="J36" s="219">
        <f t="shared" si="3"/>
        <v>0</v>
      </c>
      <c r="K36" s="22">
        <f>IF(B36="","",SUMIFS('Input_APM (Zenith)'!N:N,'Input_APM (Zenith)'!L:L,Check!B36,'Input_APM (Zenith)'!M:M,Check!$F$1))</f>
        <v>14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200</v>
      </c>
      <c r="O36" t="s">
        <v>2107</v>
      </c>
      <c r="P36" s="217">
        <f>IF(O36="","",IF(OR(LEFT(O36,4)="Cash",LEFT(O36,4)="Prov"),0,SUMIFS(Input_APM!N:N,Input_APM!L:L,Check!O36)))</f>
        <v>57</v>
      </c>
      <c r="Q36" s="22">
        <f>IF(O36="","",IF(LEN(O36)&gt;9,SUMIFS(Options!$H$3:$H$33,Options!$B$3:$B$33,Check!O36),SUMIFS('Master P&amp;L'!$H$11:$H$85,'Master P&amp;L'!$B$11:$B$85,Check!O36)))</f>
        <v>60</v>
      </c>
      <c r="R36" s="217">
        <f t="shared" si="1"/>
        <v>-3</v>
      </c>
      <c r="S36" s="362">
        <f t="shared" si="2"/>
        <v>0.95</v>
      </c>
      <c r="V36" s="13"/>
    </row>
    <row r="37" spans="1:22">
      <c r="B37" t="s">
        <v>2095</v>
      </c>
      <c r="C37" s="233">
        <f>IF(B37="","",IF(LEN(B37)&gt;9,SUMIFS(Options!$H$3:$H$33,Options!$B$3:$B$33,Check!B37),SUMIFS('Master P&amp;L'!$H$11:$H$85,'Master P&amp;L'!$B$11:$B$85,Check!B37)))</f>
        <v>-100</v>
      </c>
      <c r="D37" s="233">
        <f>IF(B37="","",SUMIFS(Input_APM!N:N,Input_APM!L:L,Check!B37,Input_APM!M:M,Check!$F$1))</f>
        <v>-94</v>
      </c>
      <c r="E37" s="219">
        <f>IF(B37="","",C37-M37)</f>
        <v>0</v>
      </c>
      <c r="F37" s="233">
        <f>IF(B37="","",SUMIFS(Input_APM!N:N,Input_APM!M:M,Check!$F$1,Input_APM!L:L,Check!B37))</f>
        <v>-94</v>
      </c>
      <c r="G37" s="233">
        <f>IF(B37="","",SUMIFS(Input_APM!N:N,Input_APM!M:M,Check!$G$1,Input_APM!L:L,Check!B37))</f>
        <v>0</v>
      </c>
      <c r="H37" s="217">
        <f t="shared" si="0"/>
        <v>-94</v>
      </c>
      <c r="I37" s="217">
        <f>SUMIFS(Input_APM!N:N,Input_APM!L:L,Check!B37)</f>
        <v>-94</v>
      </c>
      <c r="J37" s="219">
        <f t="shared" si="3"/>
        <v>0</v>
      </c>
      <c r="K37" s="22">
        <f>IF(B37="","",SUMIFS('Input_APM (Zenith)'!N:N,'Input_APM (Zenith)'!L:L,Check!B37,'Input_APM (Zenith)'!M:M,Check!$F$1))</f>
        <v>-6</v>
      </c>
      <c r="L37" s="22">
        <f>IF(B37="","",SUMIFS('Input_APM (Zenith)'!N:N,'Input_APM (Zenith)'!L:L,Check!B37,'Input_APM (Zenith)'!M:M,Check!$G$1))</f>
        <v>0</v>
      </c>
      <c r="M37" s="240">
        <f t="shared" si="4"/>
        <v>-100</v>
      </c>
      <c r="O37" t="s">
        <v>2106</v>
      </c>
      <c r="P37" s="217">
        <f>IF(O37="","",IF(OR(LEFT(O37,4)="Cash",LEFT(O37,4)="Prov"),0,SUMIFS(Input_APM!N:N,Input_APM!L:L,Check!O37)))</f>
        <v>0</v>
      </c>
      <c r="Q37" s="22">
        <f>IF(O37="","",IF(LEN(O37)&gt;9,SUMIFS(Options!$H$3:$H$33,Options!$B$3:$B$33,Check!O37),SUMIFS('Master P&amp;L'!$H$11:$H$85,'Master P&amp;L'!$B$11:$B$85,Check!O37)))</f>
        <v>0</v>
      </c>
      <c r="R37" s="217">
        <f t="shared" si="1"/>
        <v>0</v>
      </c>
      <c r="S37" s="362" t="str">
        <f t="shared" si="2"/>
        <v>Ok</v>
      </c>
      <c r="V37" s="13"/>
    </row>
    <row r="38" spans="1:22">
      <c r="B38" t="s">
        <v>2140</v>
      </c>
      <c r="C38" s="233">
        <f>IF(B38="","",IF(LEN(B38)&gt;9,SUMIFS(Options!$H$3:$H$33,Options!$B$3:$B$33,Check!B38),SUMIFS('Master P&amp;L'!$H$11:$H$85,'Master P&amp;L'!$B$11:$B$85,Check!B38)))</f>
        <v>-100</v>
      </c>
      <c r="D38" s="233">
        <f>IF(B38="","",SUMIFS(Input_APM!N:N,Input_APM!L:L,Check!B38,Input_APM!M:M,Check!$F$1))</f>
        <v>-94</v>
      </c>
      <c r="E38" s="217">
        <f t="shared" si="5"/>
        <v>0</v>
      </c>
      <c r="F38" s="233">
        <f>IF(B38="","",SUMIFS(Input_APM!N:N,Input_APM!M:M,Check!$F$1,Input_APM!L:L,Check!B38))</f>
        <v>-94</v>
      </c>
      <c r="G38" s="233">
        <f>IF(B38="","",SUMIFS(Input_APM!N:N,Input_APM!M:M,Check!$G$1,Input_APM!L:L,Check!B38))</f>
        <v>0</v>
      </c>
      <c r="H38" s="217">
        <f t="shared" si="0"/>
        <v>-94</v>
      </c>
      <c r="I38" s="217">
        <f>SUMIFS(Input_APM!N:N,Input_APM!L:L,Check!B38)</f>
        <v>-94</v>
      </c>
      <c r="J38" s="219">
        <f t="shared" si="3"/>
        <v>0</v>
      </c>
      <c r="K38" s="22">
        <f>IF(B38="","",SUMIFS('Input_APM (Zenith)'!N:N,'Input_APM (Zenith)'!L:L,Check!B38,'Input_APM (Zenith)'!M:M,Check!$F$1))</f>
        <v>-6</v>
      </c>
      <c r="L38" s="22">
        <f>IF(B38="","",SUMIFS('Input_APM (Zenith)'!N:N,'Input_APM (Zenith)'!L:L,Check!B38,'Input_APM (Zenith)'!M:M,Check!$G$1))</f>
        <v>0</v>
      </c>
      <c r="M38" s="240">
        <f t="shared" si="4"/>
        <v>-100</v>
      </c>
      <c r="O38" t="s">
        <v>2156</v>
      </c>
      <c r="P38" s="217">
        <f>IF(O38="","",IF(OR(LEFT(O38,4)="Cash",LEFT(O38,4)="Prov"),0,SUMIFS(Input_APM!N:N,Input_APM!L:L,Check!O38)))</f>
        <v>19</v>
      </c>
      <c r="Q38" s="22">
        <f>IF(O38="","",IF(LEN(O38)&gt;9,SUMIFS(Options!$H$3:$H$33,Options!$B$3:$B$33,Check!O38),SUMIFS('Master P&amp;L'!$H$11:$H$85,'Master P&amp;L'!$B$11:$B$85,Check!O38)))</f>
        <v>20</v>
      </c>
      <c r="R38" s="217">
        <f t="shared" si="1"/>
        <v>-1</v>
      </c>
      <c r="S38" s="362">
        <f t="shared" si="2"/>
        <v>0.95</v>
      </c>
      <c r="V38" s="13"/>
    </row>
    <row r="39" spans="1:22">
      <c r="B39" t="s">
        <v>2084</v>
      </c>
      <c r="C39" s="233">
        <f>IF(B39="","",IF(LEN(B39)&gt;9,SUMIFS(Options!$H$3:$H$33,Options!$B$3:$B$33,Check!B39),SUMIFS('Master P&amp;L'!$H$11:$H$85,'Master P&amp;L'!$B$11:$B$85,Check!B39)))</f>
        <v>-50</v>
      </c>
      <c r="D39" s="233">
        <f>IF(B39="","",SUMIFS(Input_APM!N:N,Input_APM!L:L,Check!B39,Input_APM!M:M,Check!$F$1))</f>
        <v>-48</v>
      </c>
      <c r="E39" s="217">
        <f t="shared" si="5"/>
        <v>0</v>
      </c>
      <c r="F39" s="233">
        <f>IF(B39="","",SUMIFS(Input_APM!N:N,Input_APM!M:M,Check!$F$1,Input_APM!L:L,Check!B39))</f>
        <v>-48</v>
      </c>
      <c r="G39" s="233">
        <f>IF(B39="","",SUMIFS(Input_APM!N:N,Input_APM!M:M,Check!$G$1,Input_APM!L:L,Check!B39))</f>
        <v>0</v>
      </c>
      <c r="H39" s="217">
        <f t="shared" si="0"/>
        <v>-48</v>
      </c>
      <c r="I39" s="217">
        <f>SUMIFS(Input_APM!N:N,Input_APM!L:L,Check!B39)</f>
        <v>-48</v>
      </c>
      <c r="J39" s="219">
        <f t="shared" si="3"/>
        <v>0</v>
      </c>
      <c r="K39" s="22">
        <f>IF(B39="","",SUMIFS('Input_APM (Zenith)'!N:N,'Input_APM (Zenith)'!L:L,Check!B39,'Input_APM (Zenith)'!M:M,Check!$F$1))</f>
        <v>-2</v>
      </c>
      <c r="L39" s="22">
        <f>IF(B39="","",SUMIFS('Input_APM (Zenith)'!N:N,'Input_APM (Zenith)'!L:L,Check!B39,'Input_APM (Zenith)'!M:M,Check!$G$1))</f>
        <v>0</v>
      </c>
      <c r="M39" s="240">
        <f t="shared" si="4"/>
        <v>-50</v>
      </c>
      <c r="O39" t="s">
        <v>2155</v>
      </c>
      <c r="P39" s="217">
        <f>IF(O39="","",IF(OR(LEFT(O39,4)="Cash",LEFT(O39,4)="Prov"),0,SUMIFS(Input_APM!N:N,Input_APM!L:L,Check!O39)))</f>
        <v>-19</v>
      </c>
      <c r="Q39" s="22">
        <f>IF(O39="","",IF(LEN(O39)&gt;9,SUMIFS(Options!$H$3:$H$33,Options!$B$3:$B$33,Check!O39),SUMIFS('Master P&amp;L'!$H$11:$H$85,'Master P&amp;L'!$B$11:$B$85,Check!O39)))</f>
        <v>-20</v>
      </c>
      <c r="R39" s="217">
        <f t="shared" si="1"/>
        <v>1</v>
      </c>
      <c r="S39" s="362">
        <f t="shared" si="2"/>
        <v>0.95</v>
      </c>
      <c r="V39" s="13"/>
    </row>
    <row r="40" spans="1:22">
      <c r="B40" t="s">
        <v>2085</v>
      </c>
      <c r="C40" s="233">
        <f>IF(B40="","",IF(LEN(B40)&gt;9,SUMIFS(Options!$H$3:$H$33,Options!$B$3:$B$33,Check!B40),SUMIFS('Master P&amp;L'!$H$11:$H$85,'Master P&amp;L'!$B$11:$B$85,Check!B40)))</f>
        <v>125</v>
      </c>
      <c r="D40" s="233">
        <f>IF(B40="","",SUMIFS(Input_APM!N:N,Input_APM!L:L,Check!B40,Input_APM!M:M,Check!$F$1))</f>
        <v>118</v>
      </c>
      <c r="E40" s="219">
        <f t="shared" si="5"/>
        <v>0</v>
      </c>
      <c r="F40" s="233">
        <f>IF(B40="","",SUMIFS(Input_APM!N:N,Input_APM!M:M,Check!$F$1,Input_APM!L:L,Check!B40))</f>
        <v>118</v>
      </c>
      <c r="G40" s="233">
        <f>IF(B40="","",SUMIFS(Input_APM!N:N,Input_APM!M:M,Check!$G$1,Input_APM!L:L,Check!B40))</f>
        <v>0</v>
      </c>
      <c r="H40" s="217">
        <f t="shared" si="0"/>
        <v>118</v>
      </c>
      <c r="I40" s="217">
        <f>SUMIFS(Input_APM!N:N,Input_APM!L:L,Check!B40)</f>
        <v>118</v>
      </c>
      <c r="J40" s="219">
        <f t="shared" si="3"/>
        <v>0</v>
      </c>
      <c r="K40" s="22">
        <f>IF(B40="","",SUMIFS('Input_APM (Zenith)'!N:N,'Input_APM (Zenith)'!L:L,Check!B40,'Input_APM (Zenith)'!M:M,Check!$F$1))</f>
        <v>7</v>
      </c>
      <c r="L40" s="22">
        <f>IF(B40="","",SUMIFS('Input_APM (Zenith)'!N:N,'Input_APM (Zenith)'!L:L,Check!B40,'Input_APM (Zenith)'!M:M,Check!$G$1))</f>
        <v>0</v>
      </c>
      <c r="M40" s="240">
        <f t="shared" si="4"/>
        <v>125</v>
      </c>
      <c r="O40" t="s">
        <v>2140</v>
      </c>
      <c r="P40" s="217">
        <f>IF(O40="","",IF(OR(LEFT(O40,4)="Cash",LEFT(O40,4)="Prov"),0,SUMIFS(Input_APM!N:N,Input_APM!L:L,Check!O40)))</f>
        <v>-94</v>
      </c>
      <c r="Q40" s="22">
        <f>IF(O40="","",IF(LEN(O40)&gt;9,SUMIFS(Options!$H$3:$H$33,Options!$B$3:$B$33,Check!O40),SUMIFS('Master P&amp;L'!$H$11:$H$85,'Master P&amp;L'!$B$11:$B$85,Check!O40)))</f>
        <v>-100</v>
      </c>
      <c r="R40" s="217">
        <f t="shared" si="1"/>
        <v>6</v>
      </c>
      <c r="S40" s="362">
        <f t="shared" si="2"/>
        <v>0.94</v>
      </c>
      <c r="V40" s="13"/>
    </row>
    <row r="41" spans="1:22">
      <c r="B41" t="s">
        <v>2086</v>
      </c>
      <c r="C41" s="233">
        <f>IF(B41="","",IF(LEN(B41)&gt;9,SUMIFS(Options!$H$3:$H$33,Options!$B$3:$B$33,Check!B41),SUMIFS('Master P&amp;L'!$H$11:$H$85,'Master P&amp;L'!$B$11:$B$85,Check!B41)))</f>
        <v>-50</v>
      </c>
      <c r="D41" s="233">
        <f>IF(B41="","",SUMIFS(Input_APM!N:N,Input_APM!L:L,Check!B41,Input_APM!M:M,Check!$F$1))</f>
        <v>-46</v>
      </c>
      <c r="E41" s="217">
        <f t="shared" si="5"/>
        <v>0</v>
      </c>
      <c r="F41" s="233">
        <f>IF(B41="","",SUMIFS(Input_APM!N:N,Input_APM!M:M,Check!$F$1,Input_APM!L:L,Check!B41))</f>
        <v>-46</v>
      </c>
      <c r="G41" s="233">
        <f>IF(B41="","",SUMIFS(Input_APM!N:N,Input_APM!M:M,Check!$G$1,Input_APM!L:L,Check!B41))</f>
        <v>0</v>
      </c>
      <c r="H41" s="217">
        <f t="shared" si="0"/>
        <v>-46</v>
      </c>
      <c r="I41" s="217">
        <f>SUMIFS(Input_APM!N:N,Input_APM!L:L,Check!B41)</f>
        <v>-46</v>
      </c>
      <c r="J41" s="219">
        <f t="shared" si="3"/>
        <v>0</v>
      </c>
      <c r="K41" s="22">
        <f>IF(B41="","",SUMIFS('Input_APM (Zenith)'!N:N,'Input_APM (Zenith)'!L:L,Check!B41,'Input_APM (Zenith)'!M:M,Check!$F$1))</f>
        <v>-4</v>
      </c>
      <c r="L41" s="22">
        <f>IF(B41="","",SUMIFS('Input_APM (Zenith)'!N:N,'Input_APM (Zenith)'!L:L,Check!B41,'Input_APM (Zenith)'!M:M,Check!$G$1))</f>
        <v>0</v>
      </c>
      <c r="M41" s="240">
        <f t="shared" si="4"/>
        <v>-50</v>
      </c>
      <c r="O41" t="s">
        <v>2095</v>
      </c>
      <c r="P41" s="217">
        <f>IF(O41="","",IF(OR(LEFT(O41,4)="Cash",LEFT(O41,4)="Prov"),0,SUMIFS(Input_APM!N:N,Input_APM!L:L,Check!O41)))</f>
        <v>-94</v>
      </c>
      <c r="Q41" s="22">
        <f>IF(O41="","",IF(LEN(O41)&gt;9,SUMIFS(Options!$H$3:$H$33,Options!$B$3:$B$33,Check!O41),SUMIFS('Master P&amp;L'!$H$11:$H$85,'Master P&amp;L'!$B$11:$B$85,Check!O41)))</f>
        <v>-100</v>
      </c>
      <c r="R41" s="217">
        <f t="shared" si="1"/>
        <v>6</v>
      </c>
      <c r="S41" s="362">
        <f t="shared" si="2"/>
        <v>0.94</v>
      </c>
      <c r="V41" s="13"/>
    </row>
    <row r="42" spans="1:22">
      <c r="B42" t="s">
        <v>2358</v>
      </c>
      <c r="C42" s="233">
        <f>IF(B42="","",IF(LEN(B42)&gt;9,SUMIFS(Options!$H$3:$H$33,Options!$B$3:$B$33,Check!B42),SUMIFS('Master P&amp;L'!$H$11:$H$85,'Master P&amp;L'!$B$11:$B$85,Check!B42)))</f>
        <v>125</v>
      </c>
      <c r="D42" s="233">
        <f>IF(B42="","",SUMIFS(Input_APM!N:N,Input_APM!L:L,Check!B42,Input_APM!M:M,Check!$F$1))</f>
        <v>117</v>
      </c>
      <c r="E42" s="219">
        <f t="shared" si="5"/>
        <v>0</v>
      </c>
      <c r="F42" s="233">
        <f>IF(B42="","",SUMIFS(Input_APM!N:N,Input_APM!M:M,Check!$F$1,Input_APM!L:L,Check!B42))</f>
        <v>117</v>
      </c>
      <c r="G42" s="233">
        <f>IF(B42="","",SUMIFS(Input_APM!N:N,Input_APM!M:M,Check!$G$1,Input_APM!L:L,Check!B42))</f>
        <v>0</v>
      </c>
      <c r="H42" s="217">
        <f t="shared" si="0"/>
        <v>117</v>
      </c>
      <c r="I42" s="217">
        <f>SUMIFS(Input_APM!N:N,Input_APM!L:L,Check!B42)</f>
        <v>117</v>
      </c>
      <c r="J42" s="219">
        <f t="shared" si="3"/>
        <v>0</v>
      </c>
      <c r="K42" s="22">
        <f>IF(B42="","",SUMIFS('Input_APM (Zenith)'!N:N,'Input_APM (Zenith)'!L:L,Check!B42,'Input_APM (Zenith)'!M:M,Check!$F$1))</f>
        <v>8</v>
      </c>
      <c r="L42" s="22">
        <f>IF(B42="","",SUMIFS('Input_APM (Zenith)'!N:N,'Input_APM (Zenith)'!L:L,Check!B42,'Input_APM (Zenith)'!M:M,Check!$G$1))</f>
        <v>0</v>
      </c>
      <c r="M42" s="240">
        <f t="shared" si="4"/>
        <v>125</v>
      </c>
      <c r="O42" t="s">
        <v>2139</v>
      </c>
      <c r="P42" s="217">
        <f>IF(O42="","",IF(OR(LEFT(O42,4)="Cash",LEFT(O42,4)="Prov"),0,SUMIFS(Input_APM!N:N,Input_APM!L:L,Check!O42)))</f>
        <v>186</v>
      </c>
      <c r="Q42" s="22">
        <f>IF(O42="","",IF(LEN(O42)&gt;9,SUMIFS(Options!$H$3:$H$33,Options!$B$3:$B$33,Check!O42),SUMIFS('Master P&amp;L'!$H$11:$H$85,'Master P&amp;L'!$B$11:$B$85,Check!O42)))</f>
        <v>200</v>
      </c>
      <c r="R42" s="217">
        <f t="shared" si="1"/>
        <v>-14</v>
      </c>
      <c r="S42" s="362">
        <f t="shared" si="2"/>
        <v>0.93</v>
      </c>
      <c r="V42" s="13"/>
    </row>
    <row r="43" spans="1:22">
      <c r="A43" t="s">
        <v>1770</v>
      </c>
      <c r="B43" t="s">
        <v>2357</v>
      </c>
      <c r="C43" s="233">
        <f>IF(B43="","",IF(LEN(B43)&gt;9,SUMIFS(Options!$H$3:$H$33,Options!$B$3:$B$33,Check!B43),SUMIFS('Master P&amp;L'!$H$11:$H$85,'Master P&amp;L'!$B$11:$B$85,Check!B43)))</f>
        <v>-125</v>
      </c>
      <c r="D43" s="233">
        <f>IF(B43="","",SUMIFS(Input_APM!N:N,Input_APM!L:L,Check!B43,Input_APM!M:M,Check!$F$1))</f>
        <v>-117</v>
      </c>
      <c r="E43" s="217">
        <f t="shared" si="5"/>
        <v>0</v>
      </c>
      <c r="F43" s="233">
        <f>IF(B43="","",SUMIFS(Input_APM!N:N,Input_APM!M:M,Check!$F$1,Input_APM!L:L,Check!B43))</f>
        <v>-117</v>
      </c>
      <c r="G43" s="233">
        <f>IF(B43="","",SUMIFS(Input_APM!N:N,Input_APM!M:M,Check!$G$1,Input_APM!L:L,Check!B43))</f>
        <v>0</v>
      </c>
      <c r="H43" s="217">
        <f t="shared" si="0"/>
        <v>-117</v>
      </c>
      <c r="I43" s="217">
        <f>SUMIFS(Input_APM!N:N,Input_APM!L:L,Check!B43)</f>
        <v>-117</v>
      </c>
      <c r="J43" s="219">
        <f t="shared" si="3"/>
        <v>0</v>
      </c>
      <c r="K43" s="22">
        <f>IF(B43="","",SUMIFS('Input_APM (Zenith)'!N:N,'Input_APM (Zenith)'!L:L,Check!B43,'Input_APM (Zenith)'!M:M,Check!$F$1))</f>
        <v>-8</v>
      </c>
      <c r="L43" s="22">
        <f>IF(B43="","",SUMIFS('Input_APM (Zenith)'!N:N,'Input_APM (Zenith)'!L:L,Check!B43,'Input_APM (Zenith)'!M:M,Check!$G$1))</f>
        <v>0</v>
      </c>
      <c r="M43" s="217">
        <f t="shared" si="4"/>
        <v>-125</v>
      </c>
      <c r="O43" t="s">
        <v>90</v>
      </c>
      <c r="P43" s="217">
        <f>IF(O43="","",IF(OR(LEFT(O43,4)="Cash",LEFT(O43,4)="Prov"),0,SUMIFS(Input_APM!N:N,Input_APM!L:L,Check!O43)))</f>
        <v>7966</v>
      </c>
      <c r="Q43" s="22">
        <f>IF(O43="","",IF(LEN(O43)&gt;9,SUMIFS(Options!$H$3:$H$33,Options!$B$3:$B$33,Check!O43),SUMIFS('Master P&amp;L'!$H$11:$H$85,'Master P&amp;L'!$B$11:$B$85,Check!O43)))</f>
        <v>8510</v>
      </c>
      <c r="R43" s="217">
        <f t="shared" si="1"/>
        <v>-544</v>
      </c>
      <c r="S43" s="362">
        <f t="shared" si="2"/>
        <v>0.93607520564042301</v>
      </c>
      <c r="V43" s="13"/>
    </row>
    <row r="44" spans="1:22">
      <c r="B44" t="s">
        <v>2133</v>
      </c>
      <c r="C44" s="233">
        <f>IF(B44="","",IF(LEN(B44)&gt;9,SUMIFS(Options!$H$3:$H$33,Options!$B$3:$B$33,Check!B44),SUMIFS('Master P&amp;L'!$H$11:$H$85,'Master P&amp;L'!$B$11:$B$85,Check!B44)))</f>
        <v>-170</v>
      </c>
      <c r="D44" s="233">
        <f>IF(B44="","",SUMIFS(Input_APM!N:N,Input_APM!L:L,Check!B44,Input_APM!M:M,Check!$F$1))</f>
        <v>-161</v>
      </c>
      <c r="E44" s="217">
        <f>IF(B44="","",C44-M44)</f>
        <v>0</v>
      </c>
      <c r="F44" s="233">
        <f>IF(B44="","",SUMIFS(Input_APM!N:N,Input_APM!M:M,Check!$F$1,Input_APM!L:L,Check!B44))</f>
        <v>-161</v>
      </c>
      <c r="G44" s="233">
        <f>IF(B44="","",SUMIFS(Input_APM!N:N,Input_APM!M:M,Check!$G$1,Input_APM!L:L,Check!B44))</f>
        <v>0</v>
      </c>
      <c r="H44" s="217">
        <f t="shared" si="0"/>
        <v>-161</v>
      </c>
      <c r="I44" s="217">
        <f>SUMIFS(Input_APM!N:N,Input_APM!L:L,Check!B44)</f>
        <v>-161</v>
      </c>
      <c r="J44" s="219">
        <f t="shared" si="3"/>
        <v>0</v>
      </c>
      <c r="K44" s="22">
        <f>IF(B44="","",SUMIFS('Input_APM (Zenith)'!N:N,'Input_APM (Zenith)'!L:L,Check!B44,'Input_APM (Zenith)'!M:M,Check!$F$1))</f>
        <v>-9</v>
      </c>
      <c r="L44" s="22">
        <f>IF(B44="","",SUMIFS('Input_APM (Zenith)'!N:N,'Input_APM (Zenith)'!L:L,Check!B44,'Input_APM (Zenith)'!M:M,Check!$G$1))</f>
        <v>0</v>
      </c>
      <c r="M44" s="217">
        <f t="shared" si="4"/>
        <v>-170</v>
      </c>
      <c r="O44" t="s">
        <v>2085</v>
      </c>
      <c r="P44" s="217">
        <f>IF(O44="","",IF(OR(LEFT(O44,4)="Cash",LEFT(O44,4)="Prov"),0,SUMIFS(Input_APM!N:N,Input_APM!L:L,Check!O44)))</f>
        <v>118</v>
      </c>
      <c r="Q44" s="22">
        <f>IF(O44="","",IF(LEN(O44)&gt;9,SUMIFS(Options!$H$3:$H$33,Options!$B$3:$B$33,Check!O44),SUMIFS('Master P&amp;L'!$H$11:$H$85,'Master P&amp;L'!$B$11:$B$85,Check!O44)))</f>
        <v>125</v>
      </c>
      <c r="R44" s="217">
        <f t="shared" si="1"/>
        <v>-7</v>
      </c>
      <c r="S44" s="362">
        <f t="shared" si="2"/>
        <v>0.94399999999999995</v>
      </c>
      <c r="V44" s="13"/>
    </row>
    <row r="45" spans="1:22">
      <c r="B45" t="s">
        <v>2132</v>
      </c>
      <c r="C45" s="233">
        <f>IF(B45="","",IF(LEN(B45)&gt;9,SUMIFS(Options!$H$3:$H$33,Options!$B$3:$B$33,Check!B45),SUMIFS('Master P&amp;L'!$H$11:$H$85,'Master P&amp;L'!$B$11:$B$85,Check!B45)))</f>
        <v>170</v>
      </c>
      <c r="D45" s="233">
        <f>IF(B45="","",SUMIFS(Input_APM!N:N,Input_APM!L:L,Check!B45,Input_APM!M:M,Check!$F$1))</f>
        <v>159</v>
      </c>
      <c r="E45" s="217">
        <f t="shared" si="5"/>
        <v>0</v>
      </c>
      <c r="F45" s="233">
        <f>IF(B45="","",SUMIFS(Input_APM!N:N,Input_APM!M:M,Check!$F$1,Input_APM!L:L,Check!B45))</f>
        <v>159</v>
      </c>
      <c r="G45" s="233">
        <f>IF(B45="","",SUMIFS(Input_APM!N:N,Input_APM!M:M,Check!$G$1,Input_APM!L:L,Check!B45))</f>
        <v>0</v>
      </c>
      <c r="H45" s="217">
        <f t="shared" si="0"/>
        <v>159</v>
      </c>
      <c r="I45" s="217">
        <f>SUMIFS(Input_APM!N:N,Input_APM!L:L,Check!B45)</f>
        <v>159</v>
      </c>
      <c r="J45" s="219">
        <f t="shared" si="3"/>
        <v>0</v>
      </c>
      <c r="K45" s="22">
        <f>IF(B45="","",SUMIFS('Input_APM (Zenith)'!N:N,'Input_APM (Zenith)'!L:L,Check!B45,'Input_APM (Zenith)'!M:M,Check!$F$1))</f>
        <v>11</v>
      </c>
      <c r="L45" s="22">
        <f>IF(B45="","",SUMIFS('Input_APM (Zenith)'!N:N,'Input_APM (Zenith)'!L:L,Check!B45,'Input_APM (Zenith)'!M:M,Check!$G$1))</f>
        <v>0</v>
      </c>
      <c r="M45" s="217">
        <f t="shared" si="4"/>
        <v>170</v>
      </c>
      <c r="O45" t="s">
        <v>2084</v>
      </c>
      <c r="P45" s="217">
        <f>IF(O45="","",IF(OR(LEFT(O45,4)="Cash",LEFT(O45,4)="Prov"),0,SUMIFS(Input_APM!N:N,Input_APM!L:L,Check!O45)))</f>
        <v>-48</v>
      </c>
      <c r="Q45" s="22">
        <f>IF(O45="","",IF(LEN(O45)&gt;9,SUMIFS(Options!$H$3:$H$33,Options!$B$3:$B$33,Check!O45),SUMIFS('Master P&amp;L'!$H$11:$H$85,'Master P&amp;L'!$B$11:$B$85,Check!O45)))</f>
        <v>-50</v>
      </c>
      <c r="R45" s="217">
        <f t="shared" si="1"/>
        <v>2</v>
      </c>
      <c r="S45" s="362">
        <f t="shared" si="2"/>
        <v>0.96</v>
      </c>
      <c r="V45" s="13"/>
    </row>
    <row r="46" spans="1:22">
      <c r="B46" t="s">
        <v>2134</v>
      </c>
      <c r="C46" s="233">
        <f>IF(B46="","",IF(LEN(B46)&gt;9,SUMIFS(Options!$H$3:$H$33,Options!$B$3:$B$33,Check!B46),SUMIFS('Master P&amp;L'!$H$11:$H$85,'Master P&amp;L'!$B$11:$B$85,Check!B46)))</f>
        <v>-255</v>
      </c>
      <c r="D46" s="233">
        <f>IF(B46="","",SUMIFS(Input_APM!N:N,Input_APM!L:L,Check!B46,Input_APM!M:M,Check!$F$1))</f>
        <v>-239</v>
      </c>
      <c r="E46" s="219">
        <f t="shared" si="5"/>
        <v>0</v>
      </c>
      <c r="F46" s="233">
        <f>IF(B46="","",SUMIFS(Input_APM!N:N,Input_APM!M:M,Check!$F$1,Input_APM!L:L,Check!B46))</f>
        <v>-239</v>
      </c>
      <c r="G46" s="233">
        <f>IF(B46="","",SUMIFS(Input_APM!N:N,Input_APM!M:M,Check!$G$1,Input_APM!L:L,Check!B46))</f>
        <v>0</v>
      </c>
      <c r="H46" s="217">
        <f t="shared" si="0"/>
        <v>-239</v>
      </c>
      <c r="I46" s="217">
        <f>SUMIFS(Input_APM!N:N,Input_APM!L:L,Check!B46)</f>
        <v>-239</v>
      </c>
      <c r="J46" s="219">
        <f t="shared" si="3"/>
        <v>0</v>
      </c>
      <c r="K46" s="22">
        <f>IF(B46="","",SUMIFS('Input_APM (Zenith)'!N:N,'Input_APM (Zenith)'!L:L,Check!B46,'Input_APM (Zenith)'!M:M,Check!$F$1))</f>
        <v>-16</v>
      </c>
      <c r="L46" s="22">
        <f>IF(B46="","",SUMIFS('Input_APM (Zenith)'!N:N,'Input_APM (Zenith)'!L:L,Check!B46,'Input_APM (Zenith)'!M:M,Check!$G$1))</f>
        <v>0</v>
      </c>
      <c r="M46" s="217">
        <f t="shared" si="4"/>
        <v>-255</v>
      </c>
      <c r="O46" t="s">
        <v>2086</v>
      </c>
      <c r="P46" s="217">
        <f>IF(O46="","",IF(OR(LEFT(O46,4)="Cash",LEFT(O46,4)="Prov"),0,SUMIFS(Input_APM!N:N,Input_APM!L:L,Check!O46)))</f>
        <v>-46</v>
      </c>
      <c r="Q46" s="22">
        <f>IF(O46="","",IF(LEN(O46)&gt;9,SUMIFS(Options!$H$3:$H$33,Options!$B$3:$B$33,Check!O46),SUMIFS('Master P&amp;L'!$H$11:$H$85,'Master P&amp;L'!$B$11:$B$85,Check!O46)))</f>
        <v>-50</v>
      </c>
      <c r="R46" s="217">
        <f t="shared" si="1"/>
        <v>4</v>
      </c>
      <c r="S46" s="362">
        <f t="shared" si="2"/>
        <v>0.92</v>
      </c>
      <c r="V46" s="13"/>
    </row>
    <row r="47" spans="1:22">
      <c r="B47" t="s">
        <v>2331</v>
      </c>
      <c r="C47" s="233">
        <f>IF(B47="","",IF(LEN(B47)&gt;9,SUMIFS(Options!$H$3:$H$33,Options!$B$3:$B$33,Check!B47),SUMIFS('Master P&amp;L'!$H$11:$H$85,'Master P&amp;L'!$B$11:$B$85,Check!B47)))</f>
        <v>950</v>
      </c>
      <c r="D47" s="233">
        <f>IF(B47="","",SUMIFS(Input_APM!N:N,Input_APM!L:L,Check!B47,Input_APM!M:M,Check!$F$1))</f>
        <v>493</v>
      </c>
      <c r="E47" s="219">
        <f t="shared" si="5"/>
        <v>425</v>
      </c>
      <c r="F47" s="233">
        <f>IF(B47="","",SUMIFS(Input_APM!N:N,Input_APM!M:M,Check!$F$1,Input_APM!L:L,Check!B47))</f>
        <v>493</v>
      </c>
      <c r="G47" s="233">
        <f>IF(B47="","",SUMIFS(Input_APM!N:N,Input_APM!M:M,Check!$G$1,Input_APM!L:L,Check!B47))</f>
        <v>0</v>
      </c>
      <c r="H47" s="217">
        <f t="shared" si="0"/>
        <v>493</v>
      </c>
      <c r="I47" s="217">
        <f>SUMIFS(Input_APM!N:N,Input_APM!L:L,Check!B47)</f>
        <v>493</v>
      </c>
      <c r="J47" s="219">
        <f t="shared" si="3"/>
        <v>0</v>
      </c>
      <c r="K47" s="22">
        <f>IF(B47="","",SUMIFS('Input_APM (Zenith)'!N:N,'Input_APM (Zenith)'!L:L,Check!B47,'Input_APM (Zenith)'!M:M,Check!$F$1))</f>
        <v>32</v>
      </c>
      <c r="L47" s="22">
        <f>IF(B47="","",SUMIFS('Input_APM (Zenith)'!N:N,'Input_APM (Zenith)'!L:L,Check!B47,'Input_APM (Zenith)'!M:M,Check!$G$1))</f>
        <v>0</v>
      </c>
      <c r="M47" s="217">
        <f t="shared" si="4"/>
        <v>525</v>
      </c>
      <c r="O47" t="s">
        <v>2192</v>
      </c>
      <c r="P47" s="217">
        <f>IF(O47="","",IF(OR(LEFT(O47,4)="Cash",LEFT(O47,4)="Prov"),0,SUMIFS(Input_APM!N:N,Input_APM!L:L,Check!O47)))</f>
        <v>1.7564595611308E-13</v>
      </c>
      <c r="Q47" s="22">
        <f>IF(O47="","",IF(LEN(O47)&gt;9,SUMIFS(Options!$H$3:$H$33,Options!$B$3:$B$33,Check!O47),SUMIFS('Master P&amp;L'!$H$11:$H$85,'Master P&amp;L'!$B$11:$B$85,Check!O47)))</f>
        <v>0</v>
      </c>
      <c r="R47" s="217">
        <f t="shared" si="1"/>
        <v>1.7564595611308E-13</v>
      </c>
      <c r="S47" s="362" t="str">
        <f t="shared" si="2"/>
        <v>Erro</v>
      </c>
    </row>
    <row r="48" spans="1:22">
      <c r="B48" t="s">
        <v>2332</v>
      </c>
      <c r="C48" s="233">
        <f>IF(B48="","",IF(LEN(B48)&gt;9,SUMIFS(Options!$H$3:$H$33,Options!$B$3:$B$33,Check!B48),SUMIFS('Master P&amp;L'!$H$11:$H$85,'Master P&amp;L'!$B$11:$B$85,Check!B48)))</f>
        <v>-950</v>
      </c>
      <c r="D48" s="233">
        <f>IF(B48="","",SUMIFS(Input_APM!N:N,Input_APM!L:L,Check!B48,Input_APM!M:M,Check!$F$1))</f>
        <v>-493</v>
      </c>
      <c r="E48" s="219">
        <f t="shared" si="5"/>
        <v>-425</v>
      </c>
      <c r="F48" s="233">
        <f>IF(B48="","",SUMIFS(Input_APM!N:N,Input_APM!M:M,Check!$F$1,Input_APM!L:L,Check!B48))</f>
        <v>-493</v>
      </c>
      <c r="G48" s="233">
        <f>IF(B48="","",SUMIFS(Input_APM!N:N,Input_APM!M:M,Check!$G$1,Input_APM!L:L,Check!B48))</f>
        <v>0</v>
      </c>
      <c r="H48" s="217">
        <f t="shared" si="0"/>
        <v>-493</v>
      </c>
      <c r="I48" s="217">
        <f>SUMIFS(Input_APM!N:N,Input_APM!L:L,Check!B48)</f>
        <v>-493</v>
      </c>
      <c r="J48" s="219">
        <f t="shared" si="3"/>
        <v>0</v>
      </c>
      <c r="K48" s="22">
        <f>IF(B48="","",SUMIFS('Input_APM (Zenith)'!N:N,'Input_APM (Zenith)'!L:L,Check!B48,'Input_APM (Zenith)'!M:M,Check!$F$1))</f>
        <v>-32</v>
      </c>
      <c r="L48" s="22">
        <f>IF(B48="","",SUMIFS('Input_APM (Zenith)'!N:N,'Input_APM (Zenith)'!L:L,Check!B48,'Input_APM (Zenith)'!M:M,Check!$G$1))</f>
        <v>0</v>
      </c>
      <c r="M48" s="217">
        <f t="shared" si="4"/>
        <v>-525</v>
      </c>
      <c r="O48" t="s">
        <v>2133</v>
      </c>
      <c r="P48" s="217">
        <f>IF(O48="","",IF(OR(LEFT(O48,4)="Cash",LEFT(O48,4)="Prov"),0,SUMIFS(Input_APM!N:N,Input_APM!L:L,Check!O48)))</f>
        <v>-161</v>
      </c>
      <c r="Q48" s="22">
        <f>IF(O48="","",IF(LEN(O48)&gt;9,SUMIFS(Options!$H$3:$H$33,Options!$B$3:$B$33,Check!O48),SUMIFS('Master P&amp;L'!$H$11:$H$85,'Master P&amp;L'!$B$11:$B$85,Check!O48)))</f>
        <v>-170</v>
      </c>
      <c r="R48" s="217">
        <f t="shared" si="1"/>
        <v>9</v>
      </c>
      <c r="S48" s="362">
        <f t="shared" si="2"/>
        <v>0.94705882352941173</v>
      </c>
    </row>
    <row r="49" spans="1:19">
      <c r="B49" t="s">
        <v>2353</v>
      </c>
      <c r="C49" s="233">
        <f>IF(B49="","",IF(LEN(B49)&gt;9,SUMIFS(Options!$H$3:$H$33,Options!$B$3:$B$33,Check!B49),SUMIFS('Master P&amp;L'!$H$11:$H$85,'Master P&amp;L'!$B$11:$B$85,Check!B49)))</f>
        <v>-100</v>
      </c>
      <c r="D49" s="233">
        <f>IF(B49="","",SUMIFS(Input_APM!N:N,Input_APM!L:L,Check!B49,Input_APM!M:M,Check!$F$1))</f>
        <v>-94</v>
      </c>
      <c r="E49" s="219">
        <f t="shared" si="5"/>
        <v>0</v>
      </c>
      <c r="F49" s="233">
        <f>IF(B49="","",SUMIFS(Input_APM!N:N,Input_APM!M:M,Check!$F$1,Input_APM!L:L,Check!B49))</f>
        <v>-94</v>
      </c>
      <c r="G49" s="233">
        <f>IF(B49="","",SUMIFS(Input_APM!N:N,Input_APM!M:M,Check!$G$1,Input_APM!L:L,Check!B49))</f>
        <v>0</v>
      </c>
      <c r="H49" s="217">
        <f t="shared" si="0"/>
        <v>-94</v>
      </c>
      <c r="I49" s="217">
        <f>SUMIFS(Input_APM!N:N,Input_APM!L:L,Check!B49)</f>
        <v>-94</v>
      </c>
      <c r="J49" s="219">
        <f t="shared" si="3"/>
        <v>0</v>
      </c>
      <c r="K49" s="22">
        <f>IF(B49="","",SUMIFS('Input_APM (Zenith)'!N:N,'Input_APM (Zenith)'!L:L,Check!B49,'Input_APM (Zenith)'!M:M,Check!$F$1))</f>
        <v>-6</v>
      </c>
      <c r="L49" s="22">
        <f>IF(B49="","",SUMIFS('Input_APM (Zenith)'!N:N,'Input_APM (Zenith)'!L:L,Check!B49,'Input_APM (Zenith)'!M:M,Check!$G$1))</f>
        <v>0</v>
      </c>
      <c r="M49" s="217">
        <f t="shared" si="4"/>
        <v>-100</v>
      </c>
      <c r="O49" t="s">
        <v>2134</v>
      </c>
      <c r="P49" s="217">
        <f>IF(O49="","",IF(OR(LEFT(O49,4)="Cash",LEFT(O49,4)="Prov"),0,SUMIFS(Input_APM!N:N,Input_APM!L:L,Check!O49)))</f>
        <v>-239</v>
      </c>
      <c r="Q49" s="22">
        <f>IF(O49="","",IF(LEN(O49)&gt;9,SUMIFS(Options!$H$3:$H$33,Options!$B$3:$B$33,Check!O49),SUMIFS('Master P&amp;L'!$H$11:$H$85,'Master P&amp;L'!$B$11:$B$85,Check!O49)))</f>
        <v>-255</v>
      </c>
      <c r="R49" s="217">
        <f t="shared" si="1"/>
        <v>16</v>
      </c>
      <c r="S49" s="362">
        <f t="shared" si="2"/>
        <v>0.93725490196078431</v>
      </c>
    </row>
    <row r="50" spans="1:19">
      <c r="A50" t="s">
        <v>1770</v>
      </c>
      <c r="B50" t="s">
        <v>2352</v>
      </c>
      <c r="C50" s="233">
        <f>IF(B50="","",IF(LEN(B50)&gt;9,SUMIFS(Options!$H$3:$H$33,Options!$B$3:$B$33,Check!B50),SUMIFS('Master P&amp;L'!$H$11:$H$85,'Master P&amp;L'!$B$11:$B$85,Check!B50)))</f>
        <v>100</v>
      </c>
      <c r="D50" s="233">
        <f>IF(B50="","",SUMIFS(Input_APM!N:N,Input_APM!L:L,Check!B50,Input_APM!M:M,Check!$F$1))</f>
        <v>94</v>
      </c>
      <c r="E50" s="219">
        <f t="shared" si="5"/>
        <v>0</v>
      </c>
      <c r="F50" s="233">
        <f>IF(B50="","",SUMIFS(Input_APM!N:N,Input_APM!M:M,Check!$F$1,Input_APM!L:L,Check!B50))</f>
        <v>94</v>
      </c>
      <c r="G50" s="233">
        <f>IF(B50="","",SUMIFS(Input_APM!N:N,Input_APM!M:M,Check!$G$1,Input_APM!L:L,Check!B50))</f>
        <v>0</v>
      </c>
      <c r="H50" s="217">
        <f t="shared" si="0"/>
        <v>94</v>
      </c>
      <c r="I50" s="217">
        <f>SUMIFS(Input_APM!N:N,Input_APM!L:L,Check!B50)</f>
        <v>94</v>
      </c>
      <c r="J50" s="219">
        <f t="shared" si="3"/>
        <v>0</v>
      </c>
      <c r="K50" s="22">
        <f>IF(B50="","",SUMIFS('Input_APM (Zenith)'!N:N,'Input_APM (Zenith)'!L:L,Check!B50,'Input_APM (Zenith)'!M:M,Check!$F$1))</f>
        <v>6</v>
      </c>
      <c r="L50" s="22">
        <f>IF(B50="","",SUMIFS('Input_APM (Zenith)'!N:N,'Input_APM (Zenith)'!L:L,Check!B50,'Input_APM (Zenith)'!M:M,Check!$G$1))</f>
        <v>0</v>
      </c>
      <c r="M50" s="217">
        <f t="shared" si="4"/>
        <v>100</v>
      </c>
      <c r="O50" t="s">
        <v>2132</v>
      </c>
      <c r="P50" s="217">
        <f>IF(O50="","",IF(OR(LEFT(O50,4)="Cash",LEFT(O50,4)="Prov"),0,SUMIFS(Input_APM!N:N,Input_APM!L:L,Check!O50)))</f>
        <v>159</v>
      </c>
      <c r="Q50" s="22">
        <f>IF(O50="","",IF(LEN(O50)&gt;9,SUMIFS(Options!$H$3:$H$33,Options!$B$3:$B$33,Check!O50),SUMIFS('Master P&amp;L'!$H$11:$H$85,'Master P&amp;L'!$B$11:$B$85,Check!O50)))</f>
        <v>170</v>
      </c>
      <c r="R50" s="217">
        <f t="shared" si="1"/>
        <v>-11</v>
      </c>
      <c r="S50" s="362">
        <f t="shared" si="2"/>
        <v>0.93529411764705883</v>
      </c>
    </row>
    <row r="51" spans="1:19">
      <c r="B51" t="s">
        <v>2354</v>
      </c>
      <c r="C51" s="233">
        <f>IF(B51="","",IF(LEN(B51)&gt;9,SUMIFS(Options!$H$3:$H$33,Options!$B$3:$B$33,Check!B51),SUMIFS('Master P&amp;L'!$H$11:$H$85,'Master P&amp;L'!$B$11:$B$85,Check!B51)))</f>
        <v>-100</v>
      </c>
      <c r="D51" s="233">
        <f>IF(B51="","",SUMIFS(Input_APM!N:N,Input_APM!L:L,Check!B51,Input_APM!M:M,Check!$F$1))</f>
        <v>-94</v>
      </c>
      <c r="E51" s="219">
        <f t="shared" si="5"/>
        <v>0</v>
      </c>
      <c r="F51" s="233">
        <f>IF(B51="","",SUMIFS(Input_APM!N:N,Input_APM!M:M,Check!$F$1,Input_APM!L:L,Check!B51))</f>
        <v>-94</v>
      </c>
      <c r="G51" s="233">
        <f>IF(B51="","",SUMIFS(Input_APM!N:N,Input_APM!M:M,Check!$G$1,Input_APM!L:L,Check!B51))</f>
        <v>0</v>
      </c>
      <c r="H51" s="217">
        <f t="shared" si="0"/>
        <v>-94</v>
      </c>
      <c r="I51" s="217">
        <f>SUMIFS(Input_APM!N:N,Input_APM!L:L,Check!B51)</f>
        <v>-94</v>
      </c>
      <c r="J51" s="219">
        <f t="shared" si="3"/>
        <v>0</v>
      </c>
      <c r="K51" s="22">
        <f>IF(B51="","",SUMIFS('Input_APM (Zenith)'!N:N,'Input_APM (Zenith)'!L:L,Check!B51,'Input_APM (Zenith)'!M:M,Check!$F$1))</f>
        <v>-6</v>
      </c>
      <c r="L51" s="22">
        <f>IF(B51="","",SUMIFS('Input_APM (Zenith)'!N:N,'Input_APM (Zenith)'!L:L,Check!B51,'Input_APM (Zenith)'!M:M,Check!$G$1))</f>
        <v>0</v>
      </c>
      <c r="M51" s="217">
        <f t="shared" si="4"/>
        <v>-100</v>
      </c>
      <c r="O51" t="s">
        <v>94</v>
      </c>
      <c r="P51" s="217">
        <f>IF(O51="","",IF(OR(LEFT(O51,4)="Cash",LEFT(O51,4)="Prov"),0,SUMIFS(Input_APM!N:N,Input_APM!L:L,Check!O51)))</f>
        <v>21414</v>
      </c>
      <c r="Q51" s="22">
        <f>IF(O51="","",IF(LEN(O51)&gt;9,SUMIFS(Options!$H$3:$H$33,Options!$B$3:$B$33,Check!O51),SUMIFS('Master P&amp;L'!$H$11:$H$85,'Master P&amp;L'!$B$11:$B$85,Check!O51)))</f>
        <v>25392</v>
      </c>
      <c r="R51" s="217">
        <f t="shared" si="1"/>
        <v>-3978</v>
      </c>
      <c r="S51" s="362">
        <f t="shared" si="2"/>
        <v>0.84333648393194705</v>
      </c>
    </row>
    <row r="52" spans="1:19">
      <c r="B52" t="s">
        <v>2141</v>
      </c>
      <c r="C52" s="233">
        <f>IF(B52="","",IF(LEN(B52)&gt;9,SUMIFS(Options!$H$3:$H$33,Options!$B$3:$B$33,Check!B52),SUMIFS('Master P&amp;L'!$H$11:$H$85,'Master P&amp;L'!$B$11:$B$85,Check!B52)))</f>
        <v>50</v>
      </c>
      <c r="D52" s="233">
        <f>IF(B52="","",SUMIFS(Input_APM!N:N,Input_APM!L:L,Check!B52,Input_APM!M:M,Check!$F$1))</f>
        <v>397</v>
      </c>
      <c r="E52" s="217">
        <f>IF(B52="","",C52-M52)</f>
        <v>-375</v>
      </c>
      <c r="F52" s="233">
        <f>IF(B52="","",SUMIFS(Input_APM!N:N,Input_APM!M:M,Check!$F$1,Input_APM!L:L,Check!B52))</f>
        <v>397</v>
      </c>
      <c r="G52" s="233">
        <f>IF(B52="","",SUMIFS(Input_APM!N:N,Input_APM!M:M,Check!$G$1,Input_APM!L:L,Check!B52))</f>
        <v>0</v>
      </c>
      <c r="H52" s="217">
        <f t="shared" si="0"/>
        <v>397</v>
      </c>
      <c r="I52" s="217">
        <f>SUMIFS(Input_APM!N:N,Input_APM!L:L,Check!B52)</f>
        <v>397</v>
      </c>
      <c r="J52" s="219">
        <f t="shared" si="3"/>
        <v>0</v>
      </c>
      <c r="K52" s="22">
        <f>IF(B52="","",SUMIFS('Input_APM (Zenith)'!N:N,'Input_APM (Zenith)'!L:L,Check!B52,'Input_APM (Zenith)'!M:M,Check!$F$1))</f>
        <v>28</v>
      </c>
      <c r="L52" s="22">
        <f>IF(B52="","",SUMIFS('Input_APM (Zenith)'!N:N,'Input_APM (Zenith)'!L:L,Check!B52,'Input_APM (Zenith)'!M:M,Check!$G$1))</f>
        <v>0</v>
      </c>
      <c r="M52" s="217">
        <f t="shared" si="4"/>
        <v>425</v>
      </c>
      <c r="O52" t="s">
        <v>336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IF(O52="","",IF(LEN(O52)&gt;9,SUMIFS(Options!$H$3:$H$33,Options!$B$3:$B$33,Check!O52),SUMIFS('Master P&amp;L'!$H$11:$H$85,'Master P&amp;L'!$B$11:$B$85,Check!O52)))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 t="s">
        <v>2142</v>
      </c>
      <c r="C53" s="233">
        <f>IF(B53="","",IF(LEN(B53)&gt;9,SUMIFS(Options!$H$3:$H$33,Options!$B$3:$B$33,Check!B53),SUMIFS('Master P&amp;L'!$H$11:$H$85,'Master P&amp;L'!$B$11:$B$85,Check!B53)))</f>
        <v>0</v>
      </c>
      <c r="D53" s="233">
        <f>IF(B53="","",SUMIFS(Input_APM!N:N,Input_APM!L:L,Check!B53,Input_APM!M:M,Check!$F$1))</f>
        <v>-351</v>
      </c>
      <c r="E53" s="217">
        <f>IF(B53="","",C53-M53)</f>
        <v>375</v>
      </c>
      <c r="F53" s="233">
        <f>IF(B53="","",SUMIFS(Input_APM!N:N,Input_APM!M:M,Check!$F$1,Input_APM!L:L,Check!B53))</f>
        <v>-351</v>
      </c>
      <c r="G53" s="233">
        <f>IF(B53="","",SUMIFS(Input_APM!N:N,Input_APM!M:M,Check!$G$1,Input_APM!L:L,Check!B53))</f>
        <v>0</v>
      </c>
      <c r="H53" s="217">
        <f t="shared" si="0"/>
        <v>-351</v>
      </c>
      <c r="I53" s="217">
        <f>SUMIFS(Input_APM!N:N,Input_APM!L:L,Check!B53)</f>
        <v>-351</v>
      </c>
      <c r="J53" s="219">
        <f t="shared" si="3"/>
        <v>0</v>
      </c>
      <c r="K53" s="22">
        <f>IF(B53="","",SUMIFS('Input_APM (Zenith)'!N:N,'Input_APM (Zenith)'!L:L,Check!B53,'Input_APM (Zenith)'!M:M,Check!$F$1))</f>
        <v>-24</v>
      </c>
      <c r="L53" s="22">
        <f>IF(B53="","",SUMIFS('Input_APM (Zenith)'!N:N,'Input_APM (Zenith)'!L:L,Check!B53,'Input_APM (Zenith)'!M:M,Check!$G$1))</f>
        <v>0</v>
      </c>
      <c r="M53" s="217">
        <f>IF(B53="","",F53+G53+K53+L53)</f>
        <v>-375</v>
      </c>
      <c r="O53" t="s">
        <v>306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IF(O53="","",IF(LEN(O53)&gt;9,SUMIFS(Options!$H$3:$H$33,Options!$B$3:$B$33,Check!O53),SUMIFS('Master P&amp;L'!$H$11:$H$85,'Master P&amp;L'!$B$11:$B$85,Check!O53)))</f>
        <v>0</v>
      </c>
      <c r="R53" s="217">
        <f t="shared" si="1"/>
        <v>0</v>
      </c>
      <c r="S53" s="362" t="str">
        <f t="shared" si="2"/>
        <v>Ok</v>
      </c>
    </row>
    <row r="54" spans="1:19">
      <c r="B54"/>
      <c r="C54" s="233" t="str">
        <f>IF(B54="","",IF(LEN(B54)&gt;9,SUMIFS(Options!$H$3:$H$33,Options!$B$3:$B$33,Check!B54),SUMIFS('Master P&amp;L'!$H$11:$H$85,'Master P&amp;L'!$B$11:$B$85,Check!B54)))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1666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IF(O54="","",IF(LEN(O54)&gt;9,SUMIFS(Options!$H$3:$H$33,Options!$B$3:$B$33,Check!O54),SUMIFS('Master P&amp;L'!$H$11:$H$85,'Master P&amp;L'!$B$11:$B$85,Check!O54)))</f>
        <v>0</v>
      </c>
      <c r="R54" s="217">
        <f t="shared" si="1"/>
        <v>0</v>
      </c>
      <c r="S54" s="362" t="str">
        <f t="shared" si="2"/>
        <v>Ok</v>
      </c>
    </row>
    <row r="55" spans="1:19">
      <c r="B55"/>
      <c r="C55" s="233" t="str">
        <f>IF(B55="","",IF(LEN(B55)&gt;9,SUMIFS(Options!$H$3:$H$33,Options!$B$3:$B$33,Check!B55),SUMIFS('Master P&amp;L'!$H$11:$H$85,'Master P&amp;L'!$B$11:$B$85,Check!B55)))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337</v>
      </c>
      <c r="P55" s="217">
        <f>IF(O55="","",IF(OR(LEFT(O55,4)="Cash",LEFT(O55,4)="Prov"),0,SUMIFS(Input_APM!N:N,Input_APM!L:L,Check!O55)))</f>
        <v>0</v>
      </c>
      <c r="Q55" s="22">
        <f>IF(O55="","",IF(LEN(O55)&gt;9,SUMIFS(Options!$H$3:$H$33,Options!$B$3:$B$33,Check!O55),SUMIFS('Master P&amp;L'!$H$11:$H$85,'Master P&amp;L'!$B$11:$B$85,Check!O55)))</f>
        <v>0</v>
      </c>
      <c r="R55" s="217">
        <f t="shared" si="1"/>
        <v>0</v>
      </c>
      <c r="S55" s="362" t="str">
        <f t="shared" si="2"/>
        <v>Ok</v>
      </c>
    </row>
    <row r="56" spans="1:19">
      <c r="B56"/>
      <c r="C56" s="233" t="str">
        <f>IF(B56="","",IF(LEN(B56)&gt;9,SUMIFS(Options!$H$3:$H$33,Options!$B$3:$B$33,Check!B56),SUMIFS('Master P&amp;L'!$H$11:$H$85,'Master P&amp;L'!$B$11:$B$85,Check!B56)))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307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IF(O56="","",IF(LEN(O56)&gt;9,SUMIFS(Options!$H$3:$H$33,Options!$B$3:$B$33,Check!O56),SUMIFS('Master P&amp;L'!$H$11:$H$85,'Master P&amp;L'!$B$11:$B$85,Check!O56)))</f>
        <v>0</v>
      </c>
      <c r="R56" s="217">
        <f t="shared" si="1"/>
        <v>0</v>
      </c>
      <c r="S56" s="362" t="str">
        <f t="shared" si="2"/>
        <v>Ok</v>
      </c>
    </row>
    <row r="57" spans="1:19">
      <c r="B57"/>
      <c r="C57" s="233" t="str">
        <f>IF(B57="","",IF(LEN(B57)&gt;9,SUMIFS(Options!$H$3:$H$33,Options!$B$3:$B$33,Check!B57),SUMIFS('Master P&amp;L'!$H$11:$H$85,'Master P&amp;L'!$B$11:$B$85,Check!B57)))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143</v>
      </c>
      <c r="P57" s="217">
        <f>IF(O57="","",IF(OR(LEFT(O57,4)="Cash",LEFT(O57,4)="Prov"),0,SUMIFS(Input_APM!N:N,Input_APM!L:L,Check!O57)))</f>
        <v>-9259</v>
      </c>
      <c r="Q57" s="22">
        <f>IF(O57="","",IF(LEN(O57)&gt;9,SUMIFS(Options!$H$3:$H$33,Options!$B$3:$B$33,Check!O57),SUMIFS('Master P&amp;L'!$H$11:$H$85,'Master P&amp;L'!$B$11:$B$85,Check!O57)))</f>
        <v>-10000</v>
      </c>
      <c r="R57" s="217">
        <f t="shared" si="1"/>
        <v>741</v>
      </c>
      <c r="S57" s="362">
        <f t="shared" si="2"/>
        <v>0.92589999999999995</v>
      </c>
    </row>
    <row r="58" spans="1:19">
      <c r="B58"/>
      <c r="C58" s="233" t="str">
        <f>IF(B58="","",IF(LEN(B58)&gt;9,SUMIFS(Options!$H$3:$H$33,Options!$B$3:$B$33,Check!B58),SUMIFS('Master P&amp;L'!$H$11:$H$85,'Master P&amp;L'!$B$11:$B$85,Check!B58)))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2183</v>
      </c>
      <c r="P58" s="217">
        <f>IF(O58="","",IF(OR(LEFT(O58,4)="Cash",LEFT(O58,4)="Prov"),0,SUMIFS(Input_APM!N:N,Input_APM!L:L,Check!O58)))</f>
        <v>20567</v>
      </c>
      <c r="Q58" s="22">
        <f>IF(O58="","",IF(LEN(O58)&gt;9,SUMIFS(Options!$H$3:$H$33,Options!$B$3:$B$33,Check!O58),SUMIFS('Master P&amp;L'!$H$11:$H$85,'Master P&amp;L'!$B$11:$B$85,Check!O58)))</f>
        <v>22000</v>
      </c>
      <c r="R58" s="217">
        <f t="shared" si="1"/>
        <v>-1433</v>
      </c>
      <c r="S58" s="362">
        <f t="shared" si="2"/>
        <v>0.93486363636363634</v>
      </c>
    </row>
    <row r="59" spans="1:19">
      <c r="B59"/>
      <c r="C59" s="233" t="str">
        <f>IF(B59="","",IF(LEN(B59)&gt;9,SUMIFS(Options!$H$3:$H$33,Options!$B$3:$B$33,Check!B59),SUMIFS('Master P&amp;L'!$H$11:$H$85,'Master P&amp;L'!$B$11:$B$85,Check!B59)))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3</v>
      </c>
      <c r="P59" s="217">
        <f>IF(O59="","",IF(OR(LEFT(O59,4)="Cash",LEFT(O59,4)="Prov"),0,SUMIFS(Input_APM!N:N,Input_APM!L:L,Check!O59)))</f>
        <v>-11687</v>
      </c>
      <c r="Q59" s="22">
        <f>IF(O59="","",IF(LEN(O59)&gt;9,SUMIFS(Options!$H$3:$H$33,Options!$B$3:$B$33,Check!O59),SUMIFS('Master P&amp;L'!$H$11:$H$85,'Master P&amp;L'!$B$11:$B$85,Check!O59)))</f>
        <v>-10000</v>
      </c>
      <c r="R59" s="217">
        <f t="shared" si="1"/>
        <v>-1687</v>
      </c>
      <c r="S59" s="362">
        <f t="shared" si="2"/>
        <v>1.1687000000000001</v>
      </c>
    </row>
    <row r="60" spans="1:19">
      <c r="B60"/>
      <c r="C60" s="233" t="str">
        <f>IF(B60="","",IF(LEN(B60)&gt;9,SUMIFS(Options!$H$3:$H$33,Options!$B$3:$B$33,Check!B60),SUMIFS('Master P&amp;L'!$H$11:$H$85,'Master P&amp;L'!$B$11:$B$85,Check!B60)))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95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IF(O60="","",IF(LEN(O60)&gt;9,SUMIFS(Options!$H$3:$H$33,Options!$B$3:$B$33,Check!O60),SUMIFS('Master P&amp;L'!$H$11:$H$85,'Master P&amp;L'!$B$11:$B$85,Check!O60)))</f>
        <v>0</v>
      </c>
      <c r="R60" s="217">
        <f t="shared" si="1"/>
        <v>0</v>
      </c>
      <c r="S60" s="362" t="str">
        <f t="shared" si="2"/>
        <v>Ok</v>
      </c>
    </row>
    <row r="61" spans="1:19">
      <c r="B61"/>
      <c r="C61" s="233" t="str">
        <f>IF(B61="","",IF(LEN(B61)&gt;9,SUMIFS(Options!$H$3:$H$33,Options!$B$3:$B$33,Check!B61),SUMIFS('Master P&amp;L'!$H$11:$H$85,'Master P&amp;L'!$B$11:$B$85,Check!B61)))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2175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IF(O61="","",IF(LEN(O61)&gt;9,SUMIFS(Options!$H$3:$H$33,Options!$B$3:$B$33,Check!O61),SUMIFS('Master P&amp;L'!$H$11:$H$85,'Master P&amp;L'!$B$11:$B$85,Check!O61)))</f>
        <v>0</v>
      </c>
      <c r="R61" s="217">
        <f t="shared" si="1"/>
        <v>0</v>
      </c>
      <c r="S61" s="362" t="str">
        <f t="shared" si="2"/>
        <v>Ok</v>
      </c>
    </row>
    <row r="62" spans="1:19">
      <c r="B62"/>
      <c r="C62" s="233" t="str">
        <f>IF(B62="","",IF(LEN(B62)&gt;9,SUMIFS(Options!$H$3:$H$33,Options!$B$3:$B$33,Check!B62),SUMIFS('Master P&amp;L'!$H$11:$H$85,'Master P&amp;L'!$B$11:$B$85,Check!B62)))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1761</v>
      </c>
      <c r="P62" s="217">
        <f>IF(O62="","",IF(OR(LEFT(O62,4)="Cash",LEFT(O62,4)="Prov"),0,SUMIFS(Input_APM!N:N,Input_APM!L:L,Check!O62)))</f>
        <v>1400</v>
      </c>
      <c r="Q62" s="22">
        <f>IF(O62="","",IF(LEN(O62)&gt;9,SUMIFS(Options!$H$3:$H$33,Options!$B$3:$B$33,Check!O62),SUMIFS('Master P&amp;L'!$H$11:$H$85,'Master P&amp;L'!$B$11:$B$85,Check!O62)))</f>
        <v>1500</v>
      </c>
      <c r="R62" s="217">
        <f t="shared" si="1"/>
        <v>-100</v>
      </c>
      <c r="S62" s="362">
        <f t="shared" si="2"/>
        <v>0.93333333333333335</v>
      </c>
    </row>
    <row r="63" spans="1:19">
      <c r="B63"/>
      <c r="C63" s="233" t="str">
        <f>IF(B63="","",IF(LEN(B63)&gt;9,SUMIFS(Options!$H$3:$H$33,Options!$B$3:$B$33,Check!B63),SUMIFS('Master P&amp;L'!$H$11:$H$85,'Master P&amp;L'!$B$11:$B$85,Check!B63)))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96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IF(O63="","",IF(LEN(O63)&gt;9,SUMIFS(Options!$H$3:$H$33,Options!$B$3:$B$33,Check!O63),SUMIFS('Master P&amp;L'!$H$11:$H$85,'Master P&amp;L'!$B$11:$B$85,Check!O63)))</f>
        <v>14500</v>
      </c>
      <c r="R63" s="217">
        <f t="shared" si="1"/>
        <v>-14500</v>
      </c>
      <c r="S63" s="362" t="str">
        <f t="shared" si="2"/>
        <v>Erro</v>
      </c>
    </row>
    <row r="64" spans="1:19">
      <c r="B64"/>
      <c r="C64" s="233" t="str">
        <f>IF(B64="","",IF(LEN(B64)&gt;9,SUMIFS(Options!$H$3:$H$33,Options!$B$3:$B$33,Check!B64),SUMIFS('Master P&amp;L'!$H$11:$H$85,'Master P&amp;L'!$B$11:$B$85,Check!B64)))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2060</v>
      </c>
      <c r="P64" s="217">
        <f>IF(O64="","",IF(OR(LEFT(O64,4)="Cash",LEFT(O64,4)="Prov"),0,SUMIFS(Input_APM!N:N,Input_APM!L:L,Check!O64)))</f>
        <v>0</v>
      </c>
      <c r="Q64" s="22">
        <f>IF(O64="","",IF(LEN(O64)&gt;9,SUMIFS(Options!$H$3:$H$33,Options!$B$3:$B$33,Check!O64),SUMIFS('Master P&amp;L'!$H$11:$H$85,'Master P&amp;L'!$B$11:$B$85,Check!O64)))</f>
        <v>0</v>
      </c>
      <c r="R64" s="217">
        <f t="shared" si="1"/>
        <v>0</v>
      </c>
      <c r="S64" s="362" t="str">
        <f t="shared" si="2"/>
        <v>Ok</v>
      </c>
    </row>
    <row r="65" spans="2:19">
      <c r="B65"/>
      <c r="C65" s="233" t="str">
        <f>IF(B65="","",IF(LEN(B65)&gt;9,SUMIFS(Options!$H$3:$H$33,Options!$B$3:$B$33,Check!B65),SUMIFS('Master P&amp;L'!$H$11:$H$85,'Master P&amp;L'!$B$11:$B$85,Check!B65)))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2353</v>
      </c>
      <c r="P65" s="217">
        <f>IF(O65="","",IF(OR(LEFT(O65,4)="Cash",LEFT(O65,4)="Prov"),0,SUMIFS(Input_APM!N:N,Input_APM!L:L,Check!O65)))</f>
        <v>-94</v>
      </c>
      <c r="Q65" s="22">
        <f>IF(O65="","",IF(LEN(O65)&gt;9,SUMIFS(Options!$H$3:$H$33,Options!$B$3:$B$33,Check!O65),SUMIFS('Master P&amp;L'!$H$11:$H$85,'Master P&amp;L'!$B$11:$B$85,Check!O65)))</f>
        <v>-100</v>
      </c>
      <c r="R65" s="217">
        <f t="shared" si="1"/>
        <v>6</v>
      </c>
      <c r="S65" s="362">
        <f t="shared" si="2"/>
        <v>0.94</v>
      </c>
    </row>
    <row r="66" spans="2:19">
      <c r="B66"/>
      <c r="C66" s="233" t="str">
        <f>IF(B66="","",IF(LEN(B66)&gt;9,SUMIFS(Options!$H$3:$H$33,Options!$B$3:$B$33,Check!B66),SUMIFS('Master P&amp;L'!$H$11:$H$85,'Master P&amp;L'!$B$11:$B$85,Check!B66)))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2354</v>
      </c>
      <c r="P66" s="217">
        <f>IF(O66="","",IF(OR(LEFT(O66,4)="Cash",LEFT(O66,4)="Prov"),0,SUMIFS(Input_APM!N:N,Input_APM!L:L,Check!O66)))</f>
        <v>-94</v>
      </c>
      <c r="Q66" s="22">
        <f>IF(O66="","",IF(LEN(O66)&gt;9,SUMIFS(Options!$H$3:$H$33,Options!$B$3:$B$33,Check!O66),SUMIFS('Master P&amp;L'!$H$11:$H$85,'Master P&amp;L'!$B$11:$B$85,Check!O66)))</f>
        <v>-100</v>
      </c>
      <c r="R66" s="217">
        <f t="shared" si="1"/>
        <v>6</v>
      </c>
      <c r="S66" s="362">
        <f t="shared" si="2"/>
        <v>0.94</v>
      </c>
    </row>
    <row r="67" spans="2:19">
      <c r="B67"/>
      <c r="C67" s="233" t="str">
        <f>IF(B67="","",IF(LEN(B67)&gt;9,SUMIFS(Options!$H$3:$H$33,Options!$B$3:$B$33,Check!B67),SUMIFS('Master P&amp;L'!$H$11:$H$85,'Master P&amp;L'!$B$11:$B$85,Check!B67)))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2352</v>
      </c>
      <c r="P67" s="217">
        <f>IF(O67="","",IF(OR(LEFT(O67,4)="Cash",LEFT(O67,4)="Prov"),0,SUMIFS(Input_APM!N:N,Input_APM!L:L,Check!O67)))</f>
        <v>94</v>
      </c>
      <c r="Q67" s="22">
        <f>IF(O67="","",IF(LEN(O67)&gt;9,SUMIFS(Options!$H$3:$H$33,Options!$B$3:$B$33,Check!O67),SUMIFS('Master P&amp;L'!$H$11:$H$85,'Master P&amp;L'!$B$11:$B$85,Check!O67)))</f>
        <v>100</v>
      </c>
      <c r="R67" s="217">
        <f t="shared" si="1"/>
        <v>-6</v>
      </c>
      <c r="S67" s="362">
        <f t="shared" si="2"/>
        <v>0.94</v>
      </c>
    </row>
    <row r="68" spans="2:19">
      <c r="B68"/>
      <c r="C68" s="233" t="str">
        <f>IF(B68="","",IF(LEN(B68)&gt;9,SUMIFS(Options!$H$3:$H$33,Options!$B$3:$B$33,Check!B68),SUMIFS('Master P&amp;L'!$H$11:$H$85,'Master P&amp;L'!$B$11:$B$85,Check!B68)))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2141</v>
      </c>
      <c r="P68" s="217">
        <f>IF(O68="","",IF(OR(LEFT(O68,4)="Cash",LEFT(O68,4)="Prov"),0,SUMIFS(Input_APM!N:N,Input_APM!L:L,Check!O68)))</f>
        <v>397</v>
      </c>
      <c r="Q68" s="22">
        <f>IF(O68="","",IF(LEN(O68)&gt;9,SUMIFS(Options!$H$3:$H$33,Options!$B$3:$B$33,Check!O68),SUMIFS('Master P&amp;L'!$H$11:$H$85,'Master P&amp;L'!$B$11:$B$85,Check!O68)))</f>
        <v>50</v>
      </c>
      <c r="R68" s="217">
        <f t="shared" si="1"/>
        <v>347</v>
      </c>
      <c r="S68" s="362">
        <f t="shared" si="2"/>
        <v>7.94</v>
      </c>
    </row>
    <row r="69" spans="2:19">
      <c r="B69"/>
      <c r="C69" s="233" t="str">
        <f>IF(B69="","",IF(LEN(B69)&gt;9,SUMIFS(Options!$H$3:$H$33,Options!$B$3:$B$33,Check!B69),SUMIFS('Master P&amp;L'!$H$11:$H$85,'Master P&amp;L'!$B$11:$B$85,Check!B69)))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2142</v>
      </c>
      <c r="P69" s="217">
        <f>IF(O69="","",IF(OR(LEFT(O69,4)="Cash",LEFT(O69,4)="Prov"),0,SUMIFS(Input_APM!N:N,Input_APM!L:L,Check!O69)))</f>
        <v>-351</v>
      </c>
      <c r="Q69" s="22">
        <f>IF(O69="","",IF(LEN(O69)&gt;9,SUMIFS(Options!$H$3:$H$33,Options!$B$3:$B$33,Check!O69),SUMIFS('Master P&amp;L'!$H$11:$H$85,'Master P&amp;L'!$B$11:$B$85,Check!O69)))</f>
        <v>0</v>
      </c>
      <c r="R69" s="217">
        <f t="shared" si="1"/>
        <v>-351</v>
      </c>
      <c r="S69" s="362" t="str">
        <f t="shared" si="2"/>
        <v>Erro</v>
      </c>
    </row>
    <row r="70" spans="2:19">
      <c r="B70"/>
      <c r="C70" s="233" t="str">
        <f>IF(B70="","",IF(LEN(B70)&gt;9,SUMIFS(Options!$H$3:$H$33,Options!$B$3:$B$33,Check!B70),SUMIFS('Master P&amp;L'!$H$11:$H$85,'Master P&amp;L'!$B$11:$B$85,Check!B70)))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2331</v>
      </c>
      <c r="P70" s="217">
        <f>IF(O70="","",IF(OR(LEFT(O70,4)="Cash",LEFT(O70,4)="Prov"),0,SUMIFS(Input_APM!N:N,Input_APM!L:L,Check!O70)))</f>
        <v>493</v>
      </c>
      <c r="Q70" s="22">
        <f>IF(O70="","",IF(LEN(O70)&gt;9,SUMIFS(Options!$H$3:$H$33,Options!$B$3:$B$33,Check!O70),SUMIFS('Master P&amp;L'!$H$11:$H$85,'Master P&amp;L'!$B$11:$B$85,Check!O70)))</f>
        <v>950</v>
      </c>
      <c r="R70" s="217">
        <f t="shared" ref="R70:R99" si="10">IF(O70="","",P70-Q70)</f>
        <v>-457</v>
      </c>
      <c r="S70" s="362">
        <f t="shared" ref="S70:S133" si="11">IF(O70="","",IF((P70+Q70)=0,"Ok",IF(OR(P70=0,Q70=0),"Erro",P70/Q70)))</f>
        <v>0.5189473684210526</v>
      </c>
    </row>
    <row r="71" spans="2:19">
      <c r="B71"/>
      <c r="C71" s="233" t="str">
        <f>IF(B71="","",IF(LEN(B71)&gt;9,SUMIFS(Options!$H$3:$H$33,Options!$B$3:$B$33,Check!B71),SUMIFS('Master P&amp;L'!$H$11:$H$85,'Master P&amp;L'!$B$11:$B$85,Check!B71)))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2332</v>
      </c>
      <c r="P71" s="217">
        <f>IF(O71="","",IF(OR(LEFT(O71,4)="Cash",LEFT(O71,4)="Prov"),0,SUMIFS(Input_APM!N:N,Input_APM!L:L,Check!O71)))</f>
        <v>-493</v>
      </c>
      <c r="Q71" s="22">
        <f>IF(O71="","",IF(LEN(O71)&gt;9,SUMIFS(Options!$H$3:$H$33,Options!$B$3:$B$33,Check!O71),SUMIFS('Master P&amp;L'!$H$11:$H$85,'Master P&amp;L'!$B$11:$B$85,Check!O71)))</f>
        <v>-950</v>
      </c>
      <c r="R71" s="217">
        <f t="shared" si="10"/>
        <v>457</v>
      </c>
      <c r="S71" s="362">
        <f t="shared" si="11"/>
        <v>0.5189473684210526</v>
      </c>
    </row>
    <row r="72" spans="2:19">
      <c r="B72"/>
      <c r="C72" s="233" t="str">
        <f>IF(B72="","",IF(LEN(B72)&gt;9,SUMIFS(Options!$H$3:$H$33,Options!$B$3:$B$33,Check!B72),SUMIFS('Master P&amp;L'!$H$11:$H$85,'Master P&amp;L'!$B$11:$B$85,Check!B72)))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87</v>
      </c>
      <c r="P72" s="217">
        <f>IF(O72="","",IF(OR(LEFT(O72,4)="Cash",LEFT(O72,4)="Prov"),0,SUMIFS(Input_APM!N:N,Input_APM!L:L,Check!O72)))</f>
        <v>3280</v>
      </c>
      <c r="Q72" s="22">
        <f>IF(O72="","",IF(LEN(O72)&gt;9,SUMIFS(Options!$H$3:$H$33,Options!$B$3:$B$33,Check!O72),SUMIFS('Master P&amp;L'!$H$11:$H$85,'Master P&amp;L'!$B$11:$B$85,Check!O72)))</f>
        <v>0</v>
      </c>
      <c r="R72" s="217">
        <f t="shared" si="10"/>
        <v>3280</v>
      </c>
      <c r="S72" s="362" t="str">
        <f t="shared" si="11"/>
        <v>Erro</v>
      </c>
    </row>
    <row r="73" spans="2:19">
      <c r="B73"/>
      <c r="C73" s="233" t="str">
        <f>IF(B73="","",IF(LEN(B73)&gt;9,SUMIFS(Options!$H$3:$H$33,Options!$B$3:$B$33,Check!B73),SUMIFS('Master P&amp;L'!$H$11:$H$85,'Master P&amp;L'!$B$11:$B$85,Check!B73)))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 t="s">
        <v>2100</v>
      </c>
      <c r="P73" s="217">
        <f>IF(O73="","",IF(OR(LEFT(O73,4)="Cash",LEFT(O73,4)="Prov"),0,SUMIFS(Input_APM!N:N,Input_APM!L:L,Check!O73)))</f>
        <v>0</v>
      </c>
      <c r="Q73" s="22">
        <f>IF(O73="","",IF(LEN(O73)&gt;9,SUMIFS(Options!$H$3:$H$33,Options!$B$3:$B$33,Check!O73),SUMIFS('Master P&amp;L'!$H$11:$H$85,'Master P&amp;L'!$B$11:$B$85,Check!O73)))</f>
        <v>0</v>
      </c>
      <c r="R73" s="217">
        <f t="shared" si="10"/>
        <v>0</v>
      </c>
      <c r="S73" s="362" t="str">
        <f t="shared" si="11"/>
        <v>Ok</v>
      </c>
    </row>
    <row r="74" spans="2:19">
      <c r="B74"/>
      <c r="C74" s="233" t="str">
        <f>IF(B74="","",IF(LEN(B74)&gt;9,SUMIFS(Options!$H$3:$H$33,Options!$B$3:$B$33,Check!B74),SUMIFS('Master P&amp;L'!$H$11:$H$85,'Master P&amp;L'!$B$11:$B$85,Check!B74)))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 t="s">
        <v>311</v>
      </c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IF(O74="","",IF(LEN(O74)&gt;9,SUMIFS(Options!$H$3:$H$33,Options!$B$3:$B$33,Check!O74),SUMIFS('Master P&amp;L'!$H$11:$H$85,'Master P&amp;L'!$B$11:$B$85,Check!O74)))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IF(B75="","",IF(LEN(B75)&gt;9,SUMIFS(Options!$H$3:$H$33,Options!$B$3:$B$33,Check!B75),SUMIFS('Master P&amp;L'!$H$11:$H$85,'Master P&amp;L'!$B$11:$B$85,Check!B75)))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IF(O75="","",IF(LEN(O75)&gt;9,SUMIFS(Options!$H$3:$H$33,Options!$B$3:$B$33,Check!O75),SUMIFS('Master P&amp;L'!$H$11:$H$85,'Master P&amp;L'!$B$11:$B$85,Check!O75)))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IF(B76="","",IF(LEN(B76)&gt;9,SUMIFS(Options!$H$3:$H$33,Options!$B$3:$B$33,Check!B76),SUMIFS('Master P&amp;L'!$H$11:$H$85,'Master P&amp;L'!$B$11:$B$85,Check!B76)))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IF(O76="","",IF(LEN(O76)&gt;9,SUMIFS(Options!$H$3:$H$33,Options!$B$3:$B$33,Check!O76),SUMIFS('Master P&amp;L'!$H$11:$H$85,'Master P&amp;L'!$B$11:$B$85,Check!O76)))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IF(B77="","",IF(LEN(B77)&gt;9,SUMIFS(Options!$H$3:$H$33,Options!$B$3:$B$33,Check!B77),SUMIFS('Master P&amp;L'!$H$11:$H$85,'Master P&amp;L'!$B$11:$B$85,Check!B77)))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IF(O77="","",IF(LEN(O77)&gt;9,SUMIFS(Options!$H$3:$H$33,Options!$B$3:$B$33,Check!O77),SUMIFS('Master P&amp;L'!$H$11:$H$85,'Master P&amp;L'!$B$11:$B$85,Check!O77)))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IF(B78="","",IF(LEN(B78)&gt;9,SUMIFS(Options!$H$3:$H$33,Options!$B$3:$B$33,Check!B78),SUMIFS('Master P&amp;L'!$H$11:$H$85,'Master P&amp;L'!$B$11:$B$85,Check!B78)))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IF(O78="","",IF(LEN(O78)&gt;9,SUMIFS(Options!$H$3:$H$33,Options!$B$3:$B$33,Check!O78),SUMIFS('Master P&amp;L'!$H$11:$H$85,'Master P&amp;L'!$B$11:$B$85,Check!O78)))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IF(B79="","",IF(LEN(B79)&gt;9,SUMIFS(Options!$H$3:$H$33,Options!$B$3:$B$33,Check!B79),SUMIFS('Master P&amp;L'!$H$11:$H$85,'Master P&amp;L'!$B$11:$B$85,Check!B79)))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IF(O79="","",IF(LEN(O79)&gt;9,SUMIFS(Options!$H$3:$H$33,Options!$B$3:$B$33,Check!O79),SUMIFS('Master P&amp;L'!$H$11:$H$85,'Master P&amp;L'!$B$11:$B$85,Check!O79)))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IF(B80="","",IF(LEN(B80)&gt;9,SUMIFS(Options!$H$3:$H$33,Options!$B$3:$B$33,Check!B80),SUMIFS('Master P&amp;L'!$H$11:$H$85,'Master P&amp;L'!$B$11:$B$85,Check!B80)))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IF(O80="","",IF(LEN(O80)&gt;9,SUMIFS(Options!$H$3:$H$33,Options!$B$3:$B$33,Check!O80),SUMIFS('Master P&amp;L'!$H$11:$H$85,'Master P&amp;L'!$B$11:$B$85,Check!O80)))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IF(B81="","",IF(LEN(B81)&gt;9,SUMIFS(Options!$H$3:$H$33,Options!$B$3:$B$33,Check!B81),SUMIFS('Master P&amp;L'!$H$11:$H$85,'Master P&amp;L'!$B$11:$B$85,Check!B81)))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IF(O81="","",IF(LEN(O81)&gt;9,SUMIFS(Options!$H$3:$H$33,Options!$B$3:$B$33,Check!O81),SUMIFS('Master P&amp;L'!$H$11:$H$85,'Master P&amp;L'!$B$11:$B$85,Check!O81)))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IF(B82="","",IF(LEN(B82)&gt;9,SUMIFS(Options!$H$3:$H$33,Options!$B$3:$B$33,Check!B82),SUMIFS('Master P&amp;L'!$H$11:$H$85,'Master P&amp;L'!$B$11:$B$85,Check!B82)))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IF(O82="","",IF(LEN(O82)&gt;9,SUMIFS(Options!$H$3:$H$33,Options!$B$3:$B$33,Check!O82),SUMIFS('Master P&amp;L'!$H$11:$H$85,'Master P&amp;L'!$B$11:$B$85,Check!O82)))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IF(B83="","",IF(LEN(B83)&gt;9,SUMIFS(Options!$H$3:$H$33,Options!$B$3:$B$33,Check!B83),SUMIFS('Master P&amp;L'!$H$11:$H$85,'Master P&amp;L'!$B$11:$B$85,Check!B83)))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IF(O83="","",IF(LEN(O83)&gt;9,SUMIFS(Options!$H$3:$H$33,Options!$B$3:$B$33,Check!O83),SUMIFS('Master P&amp;L'!$H$11:$H$85,'Master P&amp;L'!$B$11:$B$85,Check!O83)))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IF(B84="","",IF(LEN(B84)&gt;9,SUMIFS(Options!$H$3:$H$33,Options!$B$3:$B$33,Check!B84),SUMIFS('Master P&amp;L'!$H$11:$H$85,'Master P&amp;L'!$B$11:$B$85,Check!B84)))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IF(O84="","",IF(LEN(O84)&gt;9,SUMIFS(Options!$H$3:$H$33,Options!$B$3:$B$33,Check!O84),SUMIFS('Master P&amp;L'!$H$11:$H$85,'Master P&amp;L'!$B$11:$B$85,Check!O84)))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IF(B85="","",IF(LEN(B85)&gt;9,SUMIFS(Options!$H$3:$H$33,Options!$B$3:$B$33,Check!B85),SUMIFS('Master P&amp;L'!$H$11:$H$85,'Master P&amp;L'!$B$11:$B$85,Check!B85)))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IF(O85="","",IF(LEN(O85)&gt;9,SUMIFS(Options!$H$3:$H$33,Options!$B$3:$B$33,Check!O85),SUMIFS('Master P&amp;L'!$H$11:$H$85,'Master P&amp;L'!$B$11:$B$85,Check!O85)))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IF(B86="","",IF(LEN(B86)&gt;9,SUMIFS(Options!$H$3:$H$33,Options!$B$3:$B$33,Check!B86),SUMIFS('Master P&amp;L'!$H$11:$H$85,'Master P&amp;L'!$B$11:$B$85,Check!B86)))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IF(O86="","",IF(LEN(O86)&gt;9,SUMIFS(Options!$H$3:$H$33,Options!$B$3:$B$33,Check!O86),SUMIFS('Master P&amp;L'!$H$11:$H$85,'Master P&amp;L'!$B$11:$B$85,Check!O86)))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IF(B87="","",IF(LEN(B87)&gt;9,SUMIFS(Options!$H$3:$H$33,Options!$B$3:$B$33,Check!B87),SUMIFS('Master P&amp;L'!$H$11:$H$85,'Master P&amp;L'!$B$11:$B$85,Check!B87)))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IF(O87="","",IF(LEN(O87)&gt;9,SUMIFS(Options!$H$3:$H$33,Options!$B$3:$B$33,Check!O87),SUMIFS('Master P&amp;L'!$H$11:$H$85,'Master P&amp;L'!$B$11:$B$85,Check!O87)))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IF(B88="","",IF(LEN(B88)&gt;9,SUMIFS(Options!$H$3:$H$33,Options!$B$3:$B$33,Check!B88),SUMIFS('Master P&amp;L'!$H$11:$H$85,'Master P&amp;L'!$B$11:$B$85,Check!B88)))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IF(O88="","",IF(LEN(O88)&gt;9,SUMIFS(Options!$H$3:$H$33,Options!$B$3:$B$33,Check!O88),SUMIFS('Master P&amp;L'!$H$11:$H$85,'Master P&amp;L'!$B$11:$B$85,Check!O88)))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IF(B89="","",IF(LEN(B89)&gt;9,SUMIFS(Options!$H$3:$H$33,Options!$B$3:$B$33,Check!B89),SUMIFS('Master P&amp;L'!$H$11:$H$85,'Master P&amp;L'!$B$11:$B$85,Check!B89)))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IF(O89="","",IF(LEN(O89)&gt;9,SUMIFS(Options!$H$3:$H$33,Options!$B$3:$B$33,Check!O89),SUMIFS('Master P&amp;L'!$H$11:$H$85,'Master P&amp;L'!$B$11:$B$85,Check!O89)))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IF(B90="","",IF(LEN(B90)&gt;9,SUMIFS(Options!$H$3:$H$33,Options!$B$3:$B$33,Check!B90),SUMIFS('Master P&amp;L'!$H$11:$H$85,'Master P&amp;L'!$B$11:$B$85,Check!B90)))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IF(O90="","",IF(LEN(O90)&gt;9,SUMIFS(Options!$H$3:$H$33,Options!$B$3:$B$33,Check!O90),SUMIFS('Master P&amp;L'!$H$11:$H$85,'Master P&amp;L'!$B$11:$B$85,Check!O90)))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IF(B91="","",IF(LEN(B91)&gt;9,SUMIFS(Options!$H$3:$H$33,Options!$B$3:$B$33,Check!B91),SUMIFS('Master P&amp;L'!$H$11:$H$85,'Master P&amp;L'!$B$11:$B$85,Check!B91)))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IF(O91="","",IF(LEN(O91)&gt;9,SUMIFS(Options!$H$3:$H$33,Options!$B$3:$B$33,Check!O91),SUMIFS('Master P&amp;L'!$H$11:$H$85,'Master P&amp;L'!$B$11:$B$85,Check!O91)))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IF(B92="","",IF(LEN(B92)&gt;9,SUMIFS(Options!$H$3:$H$33,Options!$B$3:$B$33,Check!B92),SUMIFS('Master P&amp;L'!$H$11:$H$85,'Master P&amp;L'!$B$11:$B$85,Check!B92)))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IF(O92="","",IF(LEN(O92)&gt;9,SUMIFS(Options!$H$3:$H$33,Options!$B$3:$B$33,Check!O92),SUMIFS('Master P&amp;L'!$H$11:$H$85,'Master P&amp;L'!$B$11:$B$85,Check!O92)))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IF(B93="","",IF(LEN(B93)&gt;9,SUMIFS(Options!$H$3:$H$33,Options!$B$3:$B$33,Check!B93),SUMIFS('Master P&amp;L'!$H$11:$H$85,'Master P&amp;L'!$B$11:$B$85,Check!B93)))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IF(O93="","",IF(LEN(O93)&gt;9,SUMIFS(Options!$H$3:$H$33,Options!$B$3:$B$33,Check!O93),SUMIFS('Master P&amp;L'!$H$11:$H$85,'Master P&amp;L'!$B$11:$B$85,Check!O93)))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IF(B94="","",IF(LEN(B94)&gt;9,SUMIFS(Options!$H$3:$H$33,Options!$B$3:$B$33,Check!B94),SUMIFS('Master P&amp;L'!$H$11:$H$85,'Master P&amp;L'!$B$11:$B$85,Check!B94)))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IF(O94="","",IF(LEN(O94)&gt;9,SUMIFS(Options!$H$3:$H$33,Options!$B$3:$B$33,Check!O94),SUMIFS('Master P&amp;L'!$H$11:$H$85,'Master P&amp;L'!$B$11:$B$85,Check!O94)))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IF(B95="","",IF(LEN(B95)&gt;9,SUMIFS(Options!$H$3:$H$33,Options!$B$3:$B$33,Check!B95),SUMIFS('Master P&amp;L'!$H$11:$H$85,'Master P&amp;L'!$B$11:$B$85,Check!B95)))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IF(O95="","",IF(LEN(O95)&gt;9,SUMIFS(Options!$H$3:$H$33,Options!$B$3:$B$33,Check!O95),SUMIFS('Master P&amp;L'!$H$11:$H$85,'Master P&amp;L'!$B$11:$B$85,Check!O95)))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IF(B96="","",IF(LEN(B96)&gt;9,SUMIFS(Options!$H$3:$H$33,Options!$B$3:$B$33,Check!B96),SUMIFS('Master P&amp;L'!$H$11:$H$85,'Master P&amp;L'!$B$11:$B$85,Check!B96)))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IF(O96="","",IF(LEN(O96)&gt;9,SUMIFS(Options!$H$3:$H$33,Options!$B$3:$B$33,Check!O96),SUMIFS('Master P&amp;L'!$H$11:$H$85,'Master P&amp;L'!$B$11:$B$85,Check!O96)))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IF(B97="","",IF(LEN(B97)&gt;9,SUMIFS(Options!$H$3:$H$33,Options!$B$3:$B$33,Check!B97),SUMIFS('Master P&amp;L'!$H$11:$H$85,'Master P&amp;L'!$B$11:$B$85,Check!B97)))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IF(O97="","",IF(LEN(O97)&gt;9,SUMIFS(Options!$H$3:$H$33,Options!$B$3:$B$33,Check!O97),SUMIFS('Master P&amp;L'!$H$11:$H$85,'Master P&amp;L'!$B$11:$B$85,Check!O97)))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IF(B98="","",IF(LEN(B98)&gt;9,SUMIFS(Options!$H$3:$H$33,Options!$B$3:$B$33,Check!B98),SUMIFS('Master P&amp;L'!$H$11:$H$85,'Master P&amp;L'!$B$11:$B$85,Check!B98)))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IF(O98="","",IF(LEN(O98)&gt;9,SUMIFS(Options!$H$3:$H$33,Options!$B$3:$B$33,Check!O98),SUMIFS('Master P&amp;L'!$H$11:$H$85,'Master P&amp;L'!$B$11:$B$85,Check!O98)))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IF(B99="","",IF(LEN(B99)&gt;9,SUMIFS(Options!$H$3:$H$33,Options!$B$3:$B$33,Check!B99),SUMIFS('Master P&amp;L'!$H$11:$H$85,'Master P&amp;L'!$B$11:$B$85,Check!B99)))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IF(O99="","",IF(LEN(O99)&gt;9,SUMIFS(Options!$H$3:$H$33,Options!$B$3:$B$33,Check!O99),SUMIFS('Master P&amp;L'!$H$11:$H$85,'Master P&amp;L'!$B$11:$B$85,Check!O99)))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IF(B100="","",IF(LEN(B100)&gt;9,SUMIFS(Options!$H$3:$H$33,Options!$B$3:$B$33,Check!B100),SUMIFS('Master P&amp;L'!$H$11:$H$85,'Master P&amp;L'!$B$11:$B$85,Check!B100)))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IF(O100="","",IF(LEN(O100)&gt;9,SUMIFS(Options!$H$3:$H$33,Options!$B$3:$B$33,Check!O100),SUMIFS('Master P&amp;L'!$H$11:$H$85,'Master P&amp;L'!$B$11:$B$85,Check!O100)))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IF(B101="","",IF(LEN(B101)&gt;9,SUMIFS(Options!$H$3:$H$33,Options!$B$3:$B$33,Check!B101),SUMIFS('Master P&amp;L'!$H$11:$H$85,'Master P&amp;L'!$B$11:$B$85,Check!B101)))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IF(O101="","",IF(LEN(O101)&gt;9,SUMIFS(Options!$H$3:$H$33,Options!$B$3:$B$33,Check!O101),SUMIFS('Master P&amp;L'!$H$11:$H$85,'Master P&amp;L'!$B$11:$B$85,Check!O101)))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IF(B102="","",IF(LEN(B102)&gt;9,SUMIFS(Options!$H$3:$H$33,Options!$B$3:$B$33,Check!B102),SUMIFS('Master P&amp;L'!$H$11:$H$85,'Master P&amp;L'!$B$11:$B$85,Check!B102)))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IF(O102="","",IF(LEN(O102)&gt;9,SUMIFS(Options!$H$3:$H$33,Options!$B$3:$B$33,Check!O102),SUMIFS('Master P&amp;L'!$H$11:$H$85,'Master P&amp;L'!$B$11:$B$85,Check!O102)))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IF(B103="","",IF(LEN(B103)&gt;9,SUMIFS(Options!$H$3:$H$33,Options!$B$3:$B$33,Check!B103),SUMIFS('Master P&amp;L'!$H$11:$H$85,'Master P&amp;L'!$B$11:$B$85,Check!B103)))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IF(O103="","",IF(LEN(O103)&gt;9,SUMIFS(Options!$H$3:$H$33,Options!$B$3:$B$33,Check!O103),SUMIFS('Master P&amp;L'!$H$11:$H$85,'Master P&amp;L'!$B$11:$B$85,Check!O103)))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IF(B104="","",IF(LEN(B104)&gt;9,SUMIFS(Options!$H$3:$H$33,Options!$B$3:$B$33,Check!B104),SUMIFS('Master P&amp;L'!$H$11:$H$85,'Master P&amp;L'!$B$11:$B$85,Check!B104)))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IF(O104="","",IF(LEN(O104)&gt;9,SUMIFS(Options!$H$3:$H$33,Options!$B$3:$B$33,Check!O104),SUMIFS('Master P&amp;L'!$H$11:$H$85,'Master P&amp;L'!$B$11:$B$85,Check!O104)))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1770</v>
      </c>
      <c r="C105" s="233" t="str">
        <f>IF(B105="","",IF(LEN(B105)&gt;9,SUMIFS(Options!$H$3:$H$33,Options!$B$3:$B$33,Check!B105),SUMIFS('Master P&amp;L'!$H$11:$H$85,'Master P&amp;L'!$B$11:$B$85,Check!B105)))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IF(O105="","",IF(LEN(O105)&gt;9,SUMIFS(Options!$H$3:$H$33,Options!$B$3:$B$33,Check!O105),SUMIFS('Master P&amp;L'!$H$11:$H$85,'Master P&amp;L'!$B$11:$B$85,Check!O105)))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IF(B106="","",IF(LEN(B106)&gt;9,SUMIFS(Options!$H$3:$H$33,Options!$B$3:$B$33,Check!B106),SUMIFS('Master P&amp;L'!$H$11:$H$85,'Master P&amp;L'!$B$11:$B$85,Check!B106)))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IF(O106="","",IF(LEN(O106)&gt;9,SUMIFS(Options!$H$3:$H$33,Options!$B$3:$B$33,Check!O106),SUMIFS('Master P&amp;L'!$H$11:$H$85,'Master P&amp;L'!$B$11:$B$85,Check!O106)))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IF(B107="","",IF(LEN(B107)&gt;9,SUMIFS(Options!$H$3:$H$33,Options!$B$3:$B$33,Check!B107),SUMIFS('Master P&amp;L'!$H$11:$H$85,'Master P&amp;L'!$B$11:$B$85,Check!B107)))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IF(O107="","",IF(LEN(O107)&gt;9,SUMIFS(Options!$H$3:$H$33,Options!$B$3:$B$33,Check!O107),SUMIFS('Master P&amp;L'!$H$11:$H$85,'Master P&amp;L'!$B$11:$B$85,Check!O107)))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IF(B108="","",IF(LEN(B108)&gt;9,SUMIFS(Options!$H$3:$H$33,Options!$B$3:$B$33,Check!B108),SUMIFS('Master P&amp;L'!$H$11:$H$85,'Master P&amp;L'!$B$11:$B$85,Check!B108)))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IF(O108="","",IF(LEN(O108)&gt;9,SUMIFS(Options!$H$3:$H$33,Options!$B$3:$B$33,Check!O108),SUMIFS('Master P&amp;L'!$H$11:$H$85,'Master P&amp;L'!$B$11:$B$85,Check!O108)))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IF(B109="","",IF(LEN(B109)&gt;9,SUMIFS(Options!$H$3:$H$33,Options!$B$3:$B$33,Check!B109),SUMIFS('Master P&amp;L'!$H$11:$H$85,'Master P&amp;L'!$B$11:$B$85,Check!B109)))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IF(O109="","",IF(LEN(O109)&gt;9,SUMIFS(Options!$H$3:$H$33,Options!$B$3:$B$33,Check!O109),SUMIFS('Master P&amp;L'!$H$11:$H$85,'Master P&amp;L'!$B$11:$B$85,Check!O109)))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1770</v>
      </c>
      <c r="C110" s="233" t="str">
        <f>IF(B110="","",IF(LEN(B110)&gt;9,SUMIFS(Options!$H$3:$H$33,Options!$B$3:$B$33,Check!B110),SUMIFS('Master P&amp;L'!$H$11:$H$85,'Master P&amp;L'!$B$11:$B$85,Check!B110)))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IF(O110="","",IF(LEN(O110)&gt;9,SUMIFS(Options!$H$3:$H$33,Options!$B$3:$B$33,Check!O110),SUMIFS('Master P&amp;L'!$H$11:$H$85,'Master P&amp;L'!$B$11:$B$85,Check!O110)))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IF(B111="","",IF(LEN(B111)&gt;9,SUMIFS(Options!$H$3:$H$33,Options!$B$3:$B$33,Check!B111),SUMIFS('Master P&amp;L'!$H$11:$H$85,'Master P&amp;L'!$B$11:$B$85,Check!B111)))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IF(O111="","",IF(LEN(O111)&gt;9,SUMIFS(Options!$H$3:$H$33,Options!$B$3:$B$33,Check!O111),SUMIFS('Master P&amp;L'!$H$11:$H$85,'Master P&amp;L'!$B$11:$B$85,Check!O111)))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IF(B112="","",IF(LEN(B112)&gt;9,SUMIFS(Options!$H$3:$H$33,Options!$B$3:$B$33,Check!B112),SUMIFS('Master P&amp;L'!$H$11:$H$85,'Master P&amp;L'!$B$11:$B$85,Check!B112)))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IF(O112="","",IF(LEN(O112)&gt;9,SUMIFS(Options!$H$3:$H$33,Options!$B$3:$B$33,Check!O112),SUMIFS('Master P&amp;L'!$H$11:$H$85,'Master P&amp;L'!$B$11:$B$85,Check!O112)))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IF(B113="","",IF(LEN(B113)&gt;9,SUMIFS(Options!$H$3:$H$33,Options!$B$3:$B$33,Check!B113),SUMIFS('Master P&amp;L'!$H$11:$H$85,'Master P&amp;L'!$B$11:$B$85,Check!B113)))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IF(O113="","",IF(LEN(O113)&gt;9,SUMIFS(Options!$H$3:$H$33,Options!$B$3:$B$33,Check!O113),SUMIFS('Master P&amp;L'!$H$11:$H$85,'Master P&amp;L'!$B$11:$B$85,Check!O113)))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IF(B114="","",IF(LEN(B114)&gt;9,SUMIFS(Options!$H$3:$H$33,Options!$B$3:$B$33,Check!B114),SUMIFS('Master P&amp;L'!$H$11:$H$85,'Master P&amp;L'!$B$11:$B$85,Check!B114)))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IF(O114="","",IF(LEN(O114)&gt;9,SUMIFS(Options!$H$3:$H$33,Options!$B$3:$B$33,Check!O114),SUMIFS('Master P&amp;L'!$H$11:$H$85,'Master P&amp;L'!$B$11:$B$85,Check!O114)))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IF(B115="","",IF(LEN(B115)&gt;9,SUMIFS(Options!$H$3:$H$33,Options!$B$3:$B$33,Check!B115),SUMIFS('Master P&amp;L'!$H$11:$H$85,'Master P&amp;L'!$B$11:$B$85,Check!B115)))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IF(O115="","",IF(LEN(O115)&gt;9,SUMIFS(Options!$H$3:$H$33,Options!$B$3:$B$33,Check!O115),SUMIFS('Master P&amp;L'!$H$11:$H$85,'Master P&amp;L'!$B$11:$B$85,Check!O115)))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IF(B116="","",IF(LEN(B116)&gt;9,SUMIFS(Options!$H$3:$H$33,Options!$B$3:$B$33,Check!B116),SUMIFS('Master P&amp;L'!$H$11:$H$85,'Master P&amp;L'!$B$11:$B$85,Check!B116)))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IF(O116="","",IF(LEN(O116)&gt;9,SUMIFS(Options!$H$3:$H$33,Options!$B$3:$B$33,Check!O116),SUMIFS('Master P&amp;L'!$H$11:$H$85,'Master P&amp;L'!$B$11:$B$85,Check!O116)))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IF(B117="","",IF(LEN(B117)&gt;9,SUMIFS(Options!$H$3:$H$33,Options!$B$3:$B$33,Check!B117),SUMIFS('Master P&amp;L'!$H$11:$H$85,'Master P&amp;L'!$B$11:$B$85,Check!B117)))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IF(O117="","",IF(LEN(O117)&gt;9,SUMIFS(Options!$H$3:$H$33,Options!$B$3:$B$33,Check!O117),SUMIFS('Master P&amp;L'!$H$11:$H$85,'Master P&amp;L'!$B$11:$B$85,Check!O117)))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IF(B118="","",IF(LEN(B118)&gt;9,SUMIFS(Options!$H$3:$H$33,Options!$B$3:$B$33,Check!B118),SUMIFS('Master P&amp;L'!$H$11:$H$85,'Master P&amp;L'!$B$11:$B$85,Check!B118)))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IF(O118="","",IF(LEN(O118)&gt;9,SUMIFS(Options!$H$3:$H$33,Options!$B$3:$B$33,Check!O118),SUMIFS('Master P&amp;L'!$H$11:$H$85,'Master P&amp;L'!$B$11:$B$85,Check!O118)))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IF(B119="","",IF(LEN(B119)&gt;9,SUMIFS(Options!$H$3:$H$33,Options!$B$3:$B$33,Check!B119),SUMIFS('Master P&amp;L'!$H$11:$H$85,'Master P&amp;L'!$B$11:$B$85,Check!B119)))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IF(O119="","",IF(LEN(O119)&gt;9,SUMIFS(Options!$H$3:$H$33,Options!$B$3:$B$33,Check!O119),SUMIFS('Master P&amp;L'!$H$11:$H$85,'Master P&amp;L'!$B$11:$B$85,Check!O119)))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IF(B120="","",IF(LEN(B120)&gt;9,SUMIFS(Options!$H$3:$H$33,Options!$B$3:$B$33,Check!B120),SUMIFS('Master P&amp;L'!$H$11:$H$85,'Master P&amp;L'!$B$11:$B$85,Check!B120)))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IF(O120="","",IF(LEN(O120)&gt;9,SUMIFS(Options!$H$3:$H$33,Options!$B$3:$B$33,Check!O120),SUMIFS('Master P&amp;L'!$H$11:$H$85,'Master P&amp;L'!$B$11:$B$85,Check!O120)))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IF(B121="","",IF(LEN(B121)&gt;9,SUMIFS(Options!$H$3:$H$33,Options!$B$3:$B$33,Check!B121),SUMIFS('Master P&amp;L'!$H$11:$H$85,'Master P&amp;L'!$B$11:$B$85,Check!B121)))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IF(O121="","",IF(LEN(O121)&gt;9,SUMIFS(Options!$H$3:$H$33,Options!$B$3:$B$33,Check!O121),SUMIFS('Master P&amp;L'!$H$11:$H$85,'Master P&amp;L'!$B$11:$B$85,Check!O121)))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IF(B122="","",IF(LEN(B122)&gt;9,SUMIFS(Options!$H$3:$H$33,Options!$B$3:$B$33,Check!B122),SUMIFS('Master P&amp;L'!$H$11:$H$85,'Master P&amp;L'!$B$11:$B$85,Check!B122)))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IF(O122="","",IF(LEN(O122)&gt;9,SUMIFS(Options!$H$3:$H$33,Options!$B$3:$B$33,Check!O122),SUMIFS('Master P&amp;L'!$H$11:$H$85,'Master P&amp;L'!$B$11:$B$85,Check!O122)))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IF(B123="","",IF(LEN(B123)&gt;9,SUMIFS(Options!$H$3:$H$33,Options!$B$3:$B$33,Check!B123),SUMIFS('Master P&amp;L'!$H$11:$H$85,'Master P&amp;L'!$B$11:$B$85,Check!B123)))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IF(O123="","",IF(LEN(O123)&gt;9,SUMIFS(Options!$H$3:$H$33,Options!$B$3:$B$33,Check!O123),SUMIFS('Master P&amp;L'!$H$11:$H$85,'Master P&amp;L'!$B$11:$B$85,Check!O123)))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IF(B124="","",IF(LEN(B124)&gt;9,SUMIFS(Options!$H$3:$H$33,Options!$B$3:$B$33,Check!B124),SUMIFS('Master P&amp;L'!$H$11:$H$85,'Master P&amp;L'!$B$11:$B$85,Check!B124)))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IF(O124="","",IF(LEN(O124)&gt;9,SUMIFS(Options!$H$3:$H$33,Options!$B$3:$B$33,Check!O124),SUMIFS('Master P&amp;L'!$H$11:$H$85,'Master P&amp;L'!$B$11:$B$85,Check!O124)))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IF(B125="","",IF(LEN(B125)&gt;9,SUMIFS(Options!$H$3:$H$33,Options!$B$3:$B$33,Check!B125),SUMIFS('Master P&amp;L'!$H$11:$H$85,'Master P&amp;L'!$B$11:$B$85,Check!B125)))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IF(O125="","",IF(LEN(O125)&gt;9,SUMIFS(Options!$H$3:$H$33,Options!$B$3:$B$33,Check!O125),SUMIFS('Master P&amp;L'!$H$11:$H$85,'Master P&amp;L'!$B$11:$B$85,Check!O125)))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IF(B126="","",IF(LEN(B126)&gt;9,SUMIFS(Options!$H$3:$H$33,Options!$B$3:$B$33,Check!B126),SUMIFS('Master P&amp;L'!$H$11:$H$85,'Master P&amp;L'!$B$11:$B$85,Check!B126)))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IF(O126="","",IF(LEN(O126)&gt;9,SUMIFS(Options!$H$3:$H$33,Options!$B$3:$B$33,Check!O126),SUMIFS('Master P&amp;L'!$H$11:$H$85,'Master P&amp;L'!$B$11:$B$85,Check!O126)))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IF(B127="","",IF(LEN(B127)&gt;9,SUMIFS(Options!$H$3:$H$33,Options!$B$3:$B$33,Check!B127),SUMIFS('Master P&amp;L'!$H$11:$H$85,'Master P&amp;L'!$B$11:$B$85,Check!B127)))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IF(O127="","",IF(LEN(O127)&gt;9,SUMIFS(Options!$H$3:$H$33,Options!$B$3:$B$33,Check!O127),SUMIFS('Master P&amp;L'!$H$11:$H$85,'Master P&amp;L'!$B$11:$B$85,Check!O127)))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IF(B128="","",IF(LEN(B128)&gt;9,SUMIFS(Options!$H$3:$H$33,Options!$B$3:$B$33,Check!B128),SUMIFS('Master P&amp;L'!$H$11:$H$85,'Master P&amp;L'!$B$11:$B$85,Check!B128)))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IF(O128="","",IF(LEN(O128)&gt;9,SUMIFS(Options!$H$3:$H$33,Options!$B$3:$B$33,Check!O128),SUMIFS('Master P&amp;L'!$H$11:$H$85,'Master P&amp;L'!$B$11:$B$85,Check!O128)))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IF(B129="","",IF(LEN(B129)&gt;9,SUMIFS(Options!$H$3:$H$33,Options!$B$3:$B$33,Check!B129),SUMIFS('Master P&amp;L'!$H$11:$H$85,'Master P&amp;L'!$B$11:$B$85,Check!B129)))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IF(O129="","",IF(LEN(O129)&gt;9,SUMIFS(Options!$H$3:$H$33,Options!$B$3:$B$33,Check!O129),SUMIFS('Master P&amp;L'!$H$11:$H$85,'Master P&amp;L'!$B$11:$B$85,Check!O129)))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IF(B130="","",IF(LEN(B130)&gt;9,SUMIFS(Options!$H$3:$H$33,Options!$B$3:$B$33,Check!B130),SUMIFS('Master P&amp;L'!$H$11:$H$85,'Master P&amp;L'!$B$11:$B$85,Check!B130)))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IF(O130="","",IF(LEN(O130)&gt;9,SUMIFS(Options!$H$3:$H$33,Options!$B$3:$B$33,Check!O130),SUMIFS('Master P&amp;L'!$H$11:$H$85,'Master P&amp;L'!$B$11:$B$85,Check!O130)))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IF(B131="","",IF(LEN(B131)&gt;9,SUMIFS(Options!$H$3:$H$33,Options!$B$3:$B$33,Check!B131),SUMIFS('Master P&amp;L'!$H$11:$H$85,'Master P&amp;L'!$B$11:$B$85,Check!B131)))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IF(O131="","",IF(LEN(O131)&gt;9,SUMIFS(Options!$H$3:$H$33,Options!$B$3:$B$33,Check!O131),SUMIFS('Master P&amp;L'!$H$11:$H$85,'Master P&amp;L'!$B$11:$B$85,Check!O131)))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IF(B132="","",IF(LEN(B132)&gt;9,SUMIFS(Options!$H$3:$H$33,Options!$B$3:$B$33,Check!B132),SUMIFS('Master P&amp;L'!$H$11:$H$85,'Master P&amp;L'!$B$11:$B$85,Check!B132)))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IF(O132="","",IF(LEN(O132)&gt;9,SUMIFS(Options!$H$3:$H$33,Options!$B$3:$B$33,Check!O132),SUMIFS('Master P&amp;L'!$H$11:$H$85,'Master P&amp;L'!$B$11:$B$85,Check!O132)))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IF(B133="","",IF(LEN(B133)&gt;9,SUMIFS(Options!$H$3:$H$33,Options!$B$3:$B$33,Check!B133),SUMIFS('Master P&amp;L'!$H$11:$H$85,'Master P&amp;L'!$B$11:$B$85,Check!B133)))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IF(O133="","",IF(LEN(O133)&gt;9,SUMIFS(Options!$H$3:$H$33,Options!$B$3:$B$33,Check!O133),SUMIFS('Master P&amp;L'!$H$11:$H$85,'Master P&amp;L'!$B$11:$B$85,Check!O133)))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IF(B134="","",IF(LEN(B134)&gt;9,SUMIFS(Options!$H$3:$H$33,Options!$B$3:$B$33,Check!B134),SUMIFS('Master P&amp;L'!$H$11:$H$85,'Master P&amp;L'!$B$11:$B$85,Check!B134)))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IF(O134="","",IF(LEN(O134)&gt;9,SUMIFS(Options!$H$3:$H$33,Options!$B$3:$B$33,Check!O134),SUMIFS('Master P&amp;L'!$H$11:$H$85,'Master P&amp;L'!$B$11:$B$85,Check!O134)))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IF(B135="","",IF(LEN(B135)&gt;9,SUMIFS(Options!$H$3:$H$33,Options!$B$3:$B$33,Check!B135),SUMIFS('Master P&amp;L'!$H$11:$H$85,'Master P&amp;L'!$B$11:$B$85,Check!B135)))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IF(O135="","",IF(LEN(O135)&gt;9,SUMIFS(Options!$H$3:$H$33,Options!$B$3:$B$33,Check!O135),SUMIFS('Master P&amp;L'!$H$11:$H$85,'Master P&amp;L'!$B$11:$B$85,Check!O135)))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IF(B136="","",IF(LEN(B136)&gt;9,SUMIFS(Options!$H$3:$H$33,Options!$B$3:$B$33,Check!B136),SUMIFS('Master P&amp;L'!$H$11:$H$85,'Master P&amp;L'!$B$11:$B$85,Check!B136)))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IF(O136="","",IF(LEN(O136)&gt;9,SUMIFS(Options!$H$3:$H$33,Options!$B$3:$B$33,Check!O136),SUMIFS('Master P&amp;L'!$H$11:$H$85,'Master P&amp;L'!$B$11:$B$85,Check!O136)))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IF(B137="","",IF(LEN(B137)&gt;9,SUMIFS(Options!$H$3:$H$33,Options!$B$3:$B$33,Check!B137),SUMIFS('Master P&amp;L'!$H$11:$H$85,'Master P&amp;L'!$B$11:$B$85,Check!B137)))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IF(O137="","",IF(LEN(O137)&gt;9,SUMIFS(Options!$H$3:$H$33,Options!$B$3:$B$33,Check!O137),SUMIFS('Master P&amp;L'!$H$11:$H$85,'Master P&amp;L'!$B$11:$B$85,Check!O137)))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IF(B138="","",IF(LEN(B138)&gt;9,SUMIFS(Options!$H$3:$H$33,Options!$B$3:$B$33,Check!B138),SUMIFS('Master P&amp;L'!$H$11:$H$85,'Master P&amp;L'!$B$11:$B$85,Check!B138)))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IF(O138="","",IF(LEN(O138)&gt;9,SUMIFS(Options!$H$3:$H$33,Options!$B$3:$B$33,Check!O138),SUMIFS('Master P&amp;L'!$H$11:$H$85,'Master P&amp;L'!$B$11:$B$85,Check!O138)))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IF(B139="","",IF(LEN(B139)&gt;9,SUMIFS(Options!$H$3:$H$33,Options!$B$3:$B$33,Check!B139),SUMIFS('Master P&amp;L'!$H$11:$H$85,'Master P&amp;L'!$B$11:$B$85,Check!B139)))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IF(O139="","",IF(LEN(O139)&gt;9,SUMIFS(Options!$H$3:$H$33,Options!$B$3:$B$33,Check!O139),SUMIFS('Master P&amp;L'!$H$11:$H$85,'Master P&amp;L'!$B$11:$B$85,Check!O139)))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IF(B140="","",IF(LEN(B140)&gt;9,SUMIFS(Options!$H$3:$H$33,Options!$B$3:$B$33,Check!B140),SUMIFS('Master P&amp;L'!$H$11:$H$85,'Master P&amp;L'!$B$11:$B$85,Check!B140)))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IF(O140="","",IF(LEN(O140)&gt;9,SUMIFS(Options!$H$3:$H$33,Options!$B$3:$B$33,Check!O140),SUMIFS('Master P&amp;L'!$H$11:$H$85,'Master P&amp;L'!$B$11:$B$85,Check!O140)))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IF(B141="","",IF(LEN(B141)&gt;9,SUMIFS(Options!$H$3:$H$33,Options!$B$3:$B$33,Check!B141),SUMIFS('Master P&amp;L'!$H$11:$H$85,'Master P&amp;L'!$B$11:$B$85,Check!B141)))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IF(O141="","",IF(LEN(O141)&gt;9,SUMIFS(Options!$H$3:$H$33,Options!$B$3:$B$33,Check!O141),SUMIFS('Master P&amp;L'!$H$11:$H$85,'Master P&amp;L'!$B$11:$B$85,Check!O141)))</f>
        <v/>
      </c>
      <c r="R141" s="217" t="str">
        <f t="shared" si="42"/>
        <v/>
      </c>
      <c r="S141" s="362" t="str">
        <f t="shared" si="37"/>
        <v/>
      </c>
      <c r="T141" t="s">
        <v>1770</v>
      </c>
    </row>
    <row r="142" spans="3:20">
      <c r="C142" s="233" t="str">
        <f>IF(B142="","",IF(LEN(B142)&gt;9,SUMIFS(Options!$H$3:$H$33,Options!$B$3:$B$33,Check!B142),SUMIFS('Master P&amp;L'!$H$11:$H$85,'Master P&amp;L'!$B$11:$B$85,Check!B142)))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IF(O142="","",IF(LEN(O142)&gt;9,SUMIFS(Options!$H$3:$H$33,Options!$B$3:$B$33,Check!O142),SUMIFS('Master P&amp;L'!$H$11:$H$85,'Master P&amp;L'!$B$11:$B$85,Check!O142)))</f>
        <v/>
      </c>
      <c r="R142" s="327" t="str">
        <f t="shared" si="42"/>
        <v/>
      </c>
      <c r="S142" s="362" t="str">
        <f t="shared" si="37"/>
        <v/>
      </c>
      <c r="T142" s="59" t="s">
        <v>1770</v>
      </c>
    </row>
    <row r="143" spans="3:20">
      <c r="C143" s="233" t="str">
        <f>IF(B143="","",IF(LEN(B143)&gt;9,SUMIFS(Options!$H$3:$H$33,Options!$B$3:$B$33,Check!B143),SUMIFS('Master P&amp;L'!$H$11:$H$85,'Master P&amp;L'!$B$11:$B$85,Check!B143)))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IF(O143="","",IF(LEN(O143)&gt;9,SUMIFS(Options!$H$3:$H$33,Options!$B$3:$B$33,Check!O143),SUMIFS('Master P&amp;L'!$H$11:$H$85,'Master P&amp;L'!$B$11:$B$85,Check!O143)))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IF(B144="","",IF(LEN(B144)&gt;9,SUMIFS(Options!$H$3:$H$33,Options!$B$3:$B$33,Check!B144),SUMIFS('Master P&amp;L'!$H$11:$H$85,'Master P&amp;L'!$B$11:$B$85,Check!B144)))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IF(O144="","",IF(LEN(O144)&gt;9,SUMIFS(Options!$H$3:$H$33,Options!$B$3:$B$33,Check!O144),SUMIFS('Master P&amp;L'!$H$11:$H$85,'Master P&amp;L'!$B$11:$B$85,Check!O144)))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IF(B145="","",IF(LEN(B145)&gt;9,SUMIFS(Options!$H$3:$H$33,Options!$B$3:$B$33,Check!B145),SUMIFS('Master P&amp;L'!$H$11:$H$85,'Master P&amp;L'!$B$11:$B$85,Check!B145)))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IF(O145="","",IF(LEN(O145)&gt;9,SUMIFS(Options!$H$3:$H$33,Options!$B$3:$B$33,Check!O145),SUMIFS('Master P&amp;L'!$H$11:$H$85,'Master P&amp;L'!$B$11:$B$85,Check!O145)))</f>
        <v/>
      </c>
      <c r="R145" s="327" t="str">
        <f t="shared" si="43"/>
        <v/>
      </c>
      <c r="S145" s="362" t="str">
        <f t="shared" si="37"/>
        <v/>
      </c>
      <c r="T145" s="59" t="s">
        <v>1770</v>
      </c>
    </row>
    <row r="146" spans="3:20">
      <c r="C146" s="233" t="str">
        <f>IF(B146="","",IF(LEN(B146)&gt;9,SUMIFS(Options!$H$3:$H$33,Options!$B$3:$B$33,Check!B146),SUMIFS('Master P&amp;L'!$H$11:$H$85,'Master P&amp;L'!$B$11:$B$85,Check!B146)))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IF(O146="","",IF(LEN(O146)&gt;9,SUMIFS(Options!$H$3:$H$33,Options!$B$3:$B$33,Check!O146),SUMIFS('Master P&amp;L'!$H$11:$H$85,'Master P&amp;L'!$B$11:$B$85,Check!O146)))</f>
        <v/>
      </c>
      <c r="R146" s="327" t="str">
        <f t="shared" si="43"/>
        <v/>
      </c>
      <c r="S146" s="362" t="str">
        <f t="shared" si="37"/>
        <v/>
      </c>
      <c r="T146" s="59" t="s">
        <v>1770</v>
      </c>
    </row>
    <row r="147" spans="3:20">
      <c r="C147" s="233" t="str">
        <f>IF(B147="","",IF(LEN(B147)&gt;9,SUMIFS(Options!$H$3:$H$33,Options!$B$3:$B$33,Check!B147),SUMIFS('Master P&amp;L'!$H$11:$H$85,'Master P&amp;L'!$B$11:$B$85,Check!B147)))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IF(O147="","",IF(LEN(O147)&gt;9,SUMIFS(Options!$H$3:$H$33,Options!$B$3:$B$33,Check!O147),SUMIFS('Master P&amp;L'!$H$11:$H$85,'Master P&amp;L'!$B$11:$B$85,Check!O147)))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IF(B148="","",IF(LEN(B148)&gt;9,SUMIFS(Options!$H$3:$H$33,Options!$B$3:$B$33,Check!B148),SUMIFS('Master P&amp;L'!$H$11:$H$85,'Master P&amp;L'!$B$11:$B$85,Check!B148)))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IF(O148="","",IF(LEN(O148)&gt;9,SUMIFS(Options!$H$3:$H$33,Options!$B$3:$B$33,Check!O148),SUMIFS('Master P&amp;L'!$H$11:$H$85,'Master P&amp;L'!$B$11:$B$85,Check!O148)))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IF(B149="","",IF(LEN(B149)&gt;9,SUMIFS(Options!$H$3:$H$33,Options!$B$3:$B$33,Check!B149),SUMIFS('Master P&amp;L'!$H$11:$H$85,'Master P&amp;L'!$B$11:$B$85,Check!B149)))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IF(O149="","",IF(LEN(O149)&gt;9,SUMIFS(Options!$H$3:$H$33,Options!$B$3:$B$33,Check!O149),SUMIFS('Master P&amp;L'!$H$11:$H$85,'Master P&amp;L'!$B$11:$B$85,Check!O149)))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IF(B150="","",IF(LEN(B150)&gt;9,SUMIFS(Options!$H$3:$H$33,Options!$B$3:$B$33,Check!B150),SUMIFS('Master P&amp;L'!$H$11:$H$85,'Master P&amp;L'!$B$11:$B$85,Check!B150)))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IF(O150="","",IF(LEN(O150)&gt;9,SUMIFS(Options!$H$3:$H$33,Options!$B$3:$B$33,Check!O150),SUMIFS('Master P&amp;L'!$H$11:$H$85,'Master P&amp;L'!$B$11:$B$85,Check!O150)))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IF(B151="","",IF(LEN(B151)&gt;9,SUMIFS(Options!$H$3:$H$33,Options!$B$3:$B$33,Check!B151),SUMIFS('Master P&amp;L'!$H$11:$H$85,'Master P&amp;L'!$B$11:$B$85,Check!B151)))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IF(O151="","",IF(LEN(O151)&gt;9,SUMIFS(Options!$H$3:$H$33,Options!$B$3:$B$33,Check!O151),SUMIFS('Master P&amp;L'!$H$11:$H$85,'Master P&amp;L'!$B$11:$B$85,Check!O151)))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IF(B152="","",IF(LEN(B152)&gt;9,SUMIFS(Options!$H$3:$H$33,Options!$B$3:$B$33,Check!B152),SUMIFS('Master P&amp;L'!$H$11:$H$85,'Master P&amp;L'!$B$11:$B$85,Check!B152)))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IF(O152="","",IF(LEN(O152)&gt;9,SUMIFS(Options!$H$3:$H$33,Options!$B$3:$B$33,Check!O152),SUMIFS('Master P&amp;L'!$H$11:$H$85,'Master P&amp;L'!$B$11:$B$85,Check!O152)))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IF(B153="","",IF(LEN(B153)&gt;9,SUMIFS(Options!$H$3:$H$33,Options!$B$3:$B$33,Check!B153),SUMIFS('Master P&amp;L'!$H$11:$H$85,'Master P&amp;L'!$B$11:$B$85,Check!B153)))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IF(O153="","",IF(LEN(O153)&gt;9,SUMIFS(Options!$H$3:$H$33,Options!$B$3:$B$33,Check!O153),SUMIFS('Master P&amp;L'!$H$11:$H$85,'Master P&amp;L'!$B$11:$B$85,Check!O153)))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IF(B154="","",IF(LEN(B154)&gt;9,SUMIFS(Options!$H$3:$H$33,Options!$B$3:$B$33,Check!B154),SUMIFS('Master P&amp;L'!$H$11:$H$85,'Master P&amp;L'!$B$11:$B$85,Check!B154)))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IF(O154="","",IF(LEN(O154)&gt;9,SUMIFS(Options!$H$3:$H$33,Options!$B$3:$B$33,Check!O154),SUMIFS('Master P&amp;L'!$H$11:$H$85,'Master P&amp;L'!$B$11:$B$85,Check!O154)))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IF(B155="","",IF(LEN(B155)&gt;9,SUMIFS(Options!$H$3:$H$33,Options!$B$3:$B$33,Check!B155),SUMIFS('Master P&amp;L'!$H$11:$H$85,'Master P&amp;L'!$B$11:$B$85,Check!B155)))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IF(O155="","",IF(LEN(O155)&gt;9,SUMIFS(Options!$H$3:$H$33,Options!$B$3:$B$33,Check!O155),SUMIFS('Master P&amp;L'!$H$11:$H$85,'Master P&amp;L'!$B$11:$B$85,Check!O155)))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IF(B156="","",IF(LEN(B156)&gt;9,SUMIFS(Options!$H$3:$H$33,Options!$B$3:$B$33,Check!B156),SUMIFS('Master P&amp;L'!$H$11:$H$85,'Master P&amp;L'!$B$11:$B$85,Check!B156)))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IF(O156="","",IF(LEN(O156)&gt;9,SUMIFS(Options!$H$3:$H$33,Options!$B$3:$B$33,Check!O156),SUMIFS('Master P&amp;L'!$H$11:$H$85,'Master P&amp;L'!$B$11:$B$85,Check!O156)))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IF(B157="","",IF(LEN(B157)&gt;9,SUMIFS(Options!$H$3:$H$33,Options!$B$3:$B$33,Check!B157),SUMIFS('Master P&amp;L'!$H$11:$H$85,'Master P&amp;L'!$B$11:$B$85,Check!B157)))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IF(O157="","",IF(LEN(O157)&gt;9,SUMIFS(Options!$H$3:$H$33,Options!$B$3:$B$33,Check!O157),SUMIFS('Master P&amp;L'!$H$11:$H$85,'Master P&amp;L'!$B$11:$B$85,Check!O157)))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IF(B158="","",IF(LEN(B158)&gt;9,SUMIFS(Options!$H$3:$H$33,Options!$B$3:$B$33,Check!B158),SUMIFS('Master P&amp;L'!$H$11:$H$85,'Master P&amp;L'!$B$11:$B$85,Check!B158)))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IF(O158="","",IF(LEN(O158)&gt;9,SUMIFS(Options!$H$3:$H$33,Options!$B$3:$B$33,Check!O158),SUMIFS('Master P&amp;L'!$H$11:$H$85,'Master P&amp;L'!$B$11:$B$85,Check!O158)))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IF(B159="","",IF(LEN(B159)&gt;9,SUMIFS(Options!$H$3:$H$33,Options!$B$3:$B$33,Check!B159),SUMIFS('Master P&amp;L'!$H$11:$H$85,'Master P&amp;L'!$B$11:$B$85,Check!B159)))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IF(O159="","",IF(LEN(O159)&gt;9,SUMIFS(Options!$H$3:$H$33,Options!$B$3:$B$33,Check!O159),SUMIFS('Master P&amp;L'!$H$11:$H$85,'Master P&amp;L'!$B$11:$B$85,Check!O159)))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IF(B160="","",IF(LEN(B160)&gt;9,SUMIFS(Options!$H$3:$H$33,Options!$B$3:$B$33,Check!B160),SUMIFS('Master P&amp;L'!$H$11:$H$85,'Master P&amp;L'!$B$11:$B$85,Check!B160)))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IF(O160="","",IF(LEN(O160)&gt;9,SUMIFS(Options!$H$3:$H$33,Options!$B$3:$B$33,Check!O160),SUMIFS('Master P&amp;L'!$H$11:$H$85,'Master P&amp;L'!$B$11:$B$85,Check!O160)))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IF(B161="","",IF(LEN(B161)&gt;9,SUMIFS(Options!$H$3:$H$33,Options!$B$3:$B$33,Check!B161),SUMIFS('Master P&amp;L'!$H$11:$H$85,'Master P&amp;L'!$B$11:$B$85,Check!B161)))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IF(O161="","",IF(LEN(O161)&gt;9,SUMIFS(Options!$H$3:$H$33,Options!$B$3:$B$33,Check!O161),SUMIFS('Master P&amp;L'!$H$11:$H$85,'Master P&amp;L'!$B$11:$B$85,Check!O161)))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IF(B162="","",IF(LEN(B162)&gt;9,SUMIFS(Options!$H$3:$H$33,Options!$B$3:$B$33,Check!B162),SUMIFS('Master P&amp;L'!$H$11:$H$85,'Master P&amp;L'!$B$11:$B$85,Check!B162)))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IF(O162="","",IF(LEN(O162)&gt;9,SUMIFS(Options!$H$3:$H$33,Options!$B$3:$B$33,Check!O162),SUMIFS('Master P&amp;L'!$H$11:$H$85,'Master P&amp;L'!$B$11:$B$85,Check!O162)))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IF(B163="","",IF(LEN(B163)&gt;9,SUMIFS(Options!$H$3:$H$33,Options!$B$3:$B$33,Check!B163),SUMIFS('Master P&amp;L'!$H$11:$H$85,'Master P&amp;L'!$B$11:$B$85,Check!B163)))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IF(O163="","",IF(LEN(O163)&gt;9,SUMIFS(Options!$H$3:$H$33,Options!$B$3:$B$33,Check!O163),SUMIFS('Master P&amp;L'!$H$11:$H$85,'Master P&amp;L'!$B$11:$B$85,Check!O163)))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IF(B164="","",IF(LEN(B164)&gt;9,SUMIFS(Options!$H$3:$H$33,Options!$B$3:$B$33,Check!B164),SUMIFS('Master P&amp;L'!$H$11:$H$85,'Master P&amp;L'!$B$11:$B$85,Check!B164)))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IF(O164="","",IF(LEN(O164)&gt;9,SUMIFS(Options!$H$3:$H$33,Options!$B$3:$B$33,Check!O164),SUMIFS('Master P&amp;L'!$H$11:$H$85,'Master P&amp;L'!$B$11:$B$85,Check!O164)))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IF(B165="","",IF(LEN(B165)&gt;9,SUMIFS(Options!$H$3:$H$33,Options!$B$3:$B$33,Check!B165),SUMIFS('Master P&amp;L'!$H$11:$H$85,'Master P&amp;L'!$B$11:$B$85,Check!B165)))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IF(O165="","",IF(LEN(O165)&gt;9,SUMIFS(Options!$H$3:$H$33,Options!$B$3:$B$33,Check!O165),SUMIFS('Master P&amp;L'!$H$11:$H$85,'Master P&amp;L'!$B$11:$B$85,Check!O165)))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IF(B166="","",IF(LEN(B166)&gt;9,SUMIFS(Options!$H$3:$H$33,Options!$B$3:$B$33,Check!B166),SUMIFS('Master P&amp;L'!$H$11:$H$85,'Master P&amp;L'!$B$11:$B$85,Check!B166)))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IF(O166="","",IF(LEN(O166)&gt;9,SUMIFS(Options!$H$3:$H$33,Options!$B$3:$B$33,Check!O166),SUMIFS('Master P&amp;L'!$H$11:$H$85,'Master P&amp;L'!$B$11:$B$85,Check!O166)))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IF(B167="","",IF(LEN(B167)&gt;9,SUMIFS(Options!$H$3:$H$33,Options!$B$3:$B$33,Check!B167),SUMIFS('Master P&amp;L'!$H$11:$H$85,'Master P&amp;L'!$B$11:$B$85,Check!B167)))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IF(O167="","",IF(LEN(O167)&gt;9,SUMIFS(Options!$H$3:$H$33,Options!$B$3:$B$33,Check!O167),SUMIFS('Master P&amp;L'!$H$11:$H$85,'Master P&amp;L'!$B$11:$B$85,Check!O167)))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IF(B168="","",IF(LEN(B168)&gt;9,SUMIFS(Options!$H$3:$H$33,Options!$B$3:$B$33,Check!B168),SUMIFS('Master P&amp;L'!$H$11:$H$85,'Master P&amp;L'!$B$11:$B$85,Check!B168)))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IF(O168="","",IF(LEN(O168)&gt;9,SUMIFS(Options!$H$3:$H$33,Options!$B$3:$B$33,Check!O168),SUMIFS('Master P&amp;L'!$H$11:$H$85,'Master P&amp;L'!$B$11:$B$85,Check!O168)))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IF(B169="","",IF(LEN(B169)&gt;9,SUMIFS(Options!$H$3:$H$33,Options!$B$3:$B$33,Check!B169),SUMIFS('Master P&amp;L'!$H$11:$H$85,'Master P&amp;L'!$B$11:$B$85,Check!B169)))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IF(O169="","",IF(LEN(O169)&gt;9,SUMIFS(Options!$H$3:$H$33,Options!$B$3:$B$33,Check!O169),SUMIFS('Master P&amp;L'!$H$11:$H$85,'Master P&amp;L'!$B$11:$B$85,Check!O169)))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IF(B170="","",IF(LEN(B170)&gt;9,SUMIFS(Options!$H$3:$H$33,Options!$B$3:$B$33,Check!B170),SUMIFS('Master P&amp;L'!$H$11:$H$85,'Master P&amp;L'!$B$11:$B$85,Check!B170)))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IF(O170="","",IF(LEN(O170)&gt;9,SUMIFS(Options!$H$3:$H$33,Options!$B$3:$B$33,Check!O170),SUMIFS('Master P&amp;L'!$H$11:$H$85,'Master P&amp;L'!$B$11:$B$85,Check!O170)))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IF(B171="","",IF(LEN(B171)&gt;9,SUMIFS(Options!$H$3:$H$33,Options!$B$3:$B$33,Check!B171),SUMIFS('Master P&amp;L'!$H$11:$H$85,'Master P&amp;L'!$B$11:$B$85,Check!B171)))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IF(O171="","",IF(LEN(O171)&gt;9,SUMIFS(Options!$H$3:$H$33,Options!$B$3:$B$33,Check!O171),SUMIFS('Master P&amp;L'!$H$11:$H$85,'Master P&amp;L'!$B$11:$B$85,Check!O171)))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IF(B172="","",IF(LEN(B172)&gt;9,SUMIFS(Options!$H$3:$H$33,Options!$B$3:$B$33,Check!B172),SUMIFS('Master P&amp;L'!$H$11:$H$85,'Master P&amp;L'!$B$11:$B$85,Check!B172)))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IF(O172="","",IF(LEN(O172)&gt;9,SUMIFS(Options!$H$3:$H$33,Options!$B$3:$B$33,Check!O172),SUMIFS('Master P&amp;L'!$H$11:$H$85,'Master P&amp;L'!$B$11:$B$85,Check!O172)))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IF(B173="","",IF(LEN(B173)&gt;9,SUMIFS(Options!$H$3:$H$33,Options!$B$3:$B$33,Check!B173),SUMIFS('Master P&amp;L'!$H$11:$H$85,'Master P&amp;L'!$B$11:$B$85,Check!B173)))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IF(O173="","",IF(LEN(O173)&gt;9,SUMIFS(Options!$H$3:$H$33,Options!$B$3:$B$33,Check!O173),SUMIFS('Master P&amp;L'!$H$11:$H$85,'Master P&amp;L'!$B$11:$B$85,Check!O173)))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IF(B174="","",IF(LEN(B174)&gt;9,SUMIFS(Options!$H$3:$H$33,Options!$B$3:$B$33,Check!B174),SUMIFS('Master P&amp;L'!$H$11:$H$85,'Master P&amp;L'!$B$11:$B$85,Check!B174)))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IF(O174="","",IF(LEN(O174)&gt;9,SUMIFS(Options!$H$3:$H$33,Options!$B$3:$B$33,Check!O174),SUMIFS('Master P&amp;L'!$H$11:$H$85,'Master P&amp;L'!$B$11:$B$85,Check!O174)))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IF(B175="","",IF(LEN(B175)&gt;9,SUMIFS(Options!$H$3:$H$33,Options!$B$3:$B$33,Check!B175),SUMIFS('Master P&amp;L'!$H$11:$H$85,'Master P&amp;L'!$B$11:$B$85,Check!B175)))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IF(O175="","",IF(LEN(O175)&gt;9,SUMIFS(Options!$H$3:$H$33,Options!$B$3:$B$33,Check!O175),SUMIFS('Master P&amp;L'!$H$11:$H$85,'Master P&amp;L'!$B$11:$B$85,Check!O175)))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IF(B176="","",IF(LEN(B176)&gt;9,SUMIFS(Options!$H$3:$H$33,Options!$B$3:$B$33,Check!B176),SUMIFS('Master P&amp;L'!$H$11:$H$85,'Master P&amp;L'!$B$11:$B$85,Check!B176)))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IF(O176="","",IF(LEN(O176)&gt;9,SUMIFS(Options!$H$3:$H$33,Options!$B$3:$B$33,Check!O176),SUMIFS('Master P&amp;L'!$H$11:$H$85,'Master P&amp;L'!$B$11:$B$85,Check!O176)))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IF(B177="","",IF(LEN(B177)&gt;9,SUMIFS(Options!$H$3:$H$33,Options!$B$3:$B$33,Check!B177),SUMIFS('Master P&amp;L'!$H$11:$H$85,'Master P&amp;L'!$B$11:$B$85,Check!B177)))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IF(O177="","",IF(LEN(O177)&gt;9,SUMIFS(Options!$H$3:$H$33,Options!$B$3:$B$33,Check!O177),SUMIFS('Master P&amp;L'!$H$11:$H$85,'Master P&amp;L'!$B$11:$B$85,Check!O177)))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IF(B178="","",IF(LEN(B178)&gt;9,SUMIFS(Options!$H$3:$H$33,Options!$B$3:$B$33,Check!B178),SUMIFS('Master P&amp;L'!$H$11:$H$85,'Master P&amp;L'!$B$11:$B$85,Check!B178)))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IF(O178="","",IF(LEN(O178)&gt;9,SUMIFS(Options!$H$3:$H$33,Options!$B$3:$B$33,Check!O178),SUMIFS('Master P&amp;L'!$H$11:$H$85,'Master P&amp;L'!$B$11:$B$85,Check!O178)))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IF(B179="","",IF(LEN(B179)&gt;9,SUMIFS(Options!$H$3:$H$33,Options!$B$3:$B$33,Check!B179),SUMIFS('Master P&amp;L'!$H$11:$H$85,'Master P&amp;L'!$B$11:$B$85,Check!B179)))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IF(O179="","",IF(LEN(O179)&gt;9,SUMIFS(Options!$H$3:$H$33,Options!$B$3:$B$33,Check!O179),SUMIFS('Master P&amp;L'!$H$11:$H$85,'Master P&amp;L'!$B$11:$B$85,Check!O179)))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IF(B180="","",IF(LEN(B180)&gt;9,SUMIFS(Options!$H$3:$H$33,Options!$B$3:$B$33,Check!B180),SUMIFS('Master P&amp;L'!$H$11:$H$85,'Master P&amp;L'!$B$11:$B$85,Check!B180)))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IF(O180="","",IF(LEN(O180)&gt;9,SUMIFS(Options!$H$3:$H$33,Options!$B$3:$B$33,Check!O180),SUMIFS('Master P&amp;L'!$H$11:$H$85,'Master P&amp;L'!$B$11:$B$85,Check!O180)))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IF(B181="","",IF(LEN(B181)&gt;9,SUMIFS(Options!$H$3:$H$33,Options!$B$3:$B$33,Check!B181),SUMIFS('Master P&amp;L'!$H$11:$H$85,'Master P&amp;L'!$B$11:$B$85,Check!B181)))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IF(O181="","",IF(LEN(O181)&gt;9,SUMIFS(Options!$H$3:$H$33,Options!$B$3:$B$33,Check!O181),SUMIFS('Master P&amp;L'!$H$11:$H$85,'Master P&amp;L'!$B$11:$B$85,Check!O181)))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IF(B182="","",IF(LEN(B182)&gt;9,SUMIFS(Options!$H$3:$H$33,Options!$B$3:$B$33,Check!B182),SUMIFS('Master P&amp;L'!$H$11:$H$85,'Master P&amp;L'!$B$11:$B$85,Check!B182)))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IF(O182="","",IF(LEN(O182)&gt;9,SUMIFS(Options!$H$3:$H$33,Options!$B$3:$B$33,Check!O182),SUMIFS('Master P&amp;L'!$H$11:$H$85,'Master P&amp;L'!$B$11:$B$85,Check!O182)))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IF(B183="","",IF(LEN(B183)&gt;9,SUMIFS(Options!$H$3:$H$33,Options!$B$3:$B$33,Check!B183),SUMIFS('Master P&amp;L'!$H$11:$H$85,'Master P&amp;L'!$B$11:$B$85,Check!B183)))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IF(O183="","",IF(LEN(O183)&gt;9,SUMIFS(Options!$H$3:$H$33,Options!$B$3:$B$33,Check!O183),SUMIFS('Master P&amp;L'!$H$11:$H$85,'Master P&amp;L'!$B$11:$B$85,Check!O183)))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IF(B184="","",IF(LEN(B184)&gt;9,SUMIFS(Options!$H$3:$H$33,Options!$B$3:$B$33,Check!B184),SUMIFS('Master P&amp;L'!$H$11:$H$85,'Master P&amp;L'!$B$11:$B$85,Check!B184)))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IF(O184="","",IF(LEN(O184)&gt;9,SUMIFS(Options!$H$3:$H$33,Options!$B$3:$B$33,Check!O184),SUMIFS('Master P&amp;L'!$H$11:$H$85,'Master P&amp;L'!$B$11:$B$85,Check!O184)))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IF(B185="","",IF(LEN(B185)&gt;9,SUMIFS(Options!$H$3:$H$33,Options!$B$3:$B$33,Check!B185),SUMIFS('Master P&amp;L'!$H$11:$H$85,'Master P&amp;L'!$B$11:$B$85,Check!B185)))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IF(O185="","",IF(LEN(O185)&gt;9,SUMIFS(Options!$H$3:$H$33,Options!$B$3:$B$33,Check!O185),SUMIFS('Master P&amp;L'!$H$11:$H$85,'Master P&amp;L'!$B$11:$B$85,Check!O185)))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IF(B186="","",IF(LEN(B186)&gt;9,SUMIFS(Options!$H$3:$H$33,Options!$B$3:$B$33,Check!B186),SUMIFS('Master P&amp;L'!$H$11:$H$85,'Master P&amp;L'!$B$11:$B$85,Check!B186)))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IF(O186="","",IF(LEN(O186)&gt;9,SUMIFS(Options!$H$3:$H$33,Options!$B$3:$B$33,Check!O186),SUMIFS('Master P&amp;L'!$H$11:$H$85,'Master P&amp;L'!$B$11:$B$85,Check!O186)))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IF(B187="","",IF(LEN(B187)&gt;9,SUMIFS(Options!$H$3:$H$33,Options!$B$3:$B$33,Check!B187),SUMIFS('Master P&amp;L'!$H$11:$H$85,'Master P&amp;L'!$B$11:$B$85,Check!B187)))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IF(O187="","",IF(LEN(O187)&gt;9,SUMIFS(Options!$H$3:$H$33,Options!$B$3:$B$33,Check!O187),SUMIFS('Master P&amp;L'!$H$11:$H$85,'Master P&amp;L'!$B$11:$B$85,Check!O187)))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IF(B188="","",IF(LEN(B188)&gt;9,SUMIFS(Options!$H$3:$H$33,Options!$B$3:$B$33,Check!B188),SUMIFS('Master P&amp;L'!$H$11:$H$85,'Master P&amp;L'!$B$11:$B$85,Check!B188)))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IF(O188="","",IF(LEN(O188)&gt;9,SUMIFS(Options!$H$3:$H$33,Options!$B$3:$B$33,Check!O188),SUMIFS('Master P&amp;L'!$H$11:$H$85,'Master P&amp;L'!$B$11:$B$85,Check!O188)))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IF(B189="","",IF(LEN(B189)&gt;9,SUMIFS(Options!$H$3:$H$33,Options!$B$3:$B$33,Check!B189),SUMIFS('Master P&amp;L'!$H$11:$H$85,'Master P&amp;L'!$B$11:$B$85,Check!B189)))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IF(O189="","",IF(LEN(O189)&gt;9,SUMIFS(Options!$H$3:$H$33,Options!$B$3:$B$33,Check!O189),SUMIFS('Master P&amp;L'!$H$11:$H$85,'Master P&amp;L'!$B$11:$B$85,Check!O189)))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IF(B190="","",IF(LEN(B190)&gt;9,SUMIFS(Options!$H$3:$H$33,Options!$B$3:$B$33,Check!B190),SUMIFS('Master P&amp;L'!$H$11:$H$85,'Master P&amp;L'!$B$11:$B$85,Check!B190)))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IF(O190="","",IF(LEN(O190)&gt;9,SUMIFS(Options!$H$3:$H$33,Options!$B$3:$B$33,Check!O190),SUMIFS('Master P&amp;L'!$H$11:$H$85,'Master P&amp;L'!$B$11:$B$85,Check!O190)))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IF(B191="","",IF(LEN(B191)&gt;9,SUMIFS(Options!$H$3:$H$33,Options!$B$3:$B$33,Check!B191),SUMIFS('Master P&amp;L'!$H$11:$H$85,'Master P&amp;L'!$B$11:$B$85,Check!B191)))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IF(O191="","",IF(LEN(O191)&gt;9,SUMIFS(Options!$H$3:$H$33,Options!$B$3:$B$33,Check!O191),SUMIFS('Master P&amp;L'!$H$11:$H$85,'Master P&amp;L'!$B$11:$B$85,Check!O191)))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IF(O192="","",IF(LEN(O192)&gt;9,SUMIFS(Options!$H$3:$H$33,Options!$B$3:$B$33,Check!O192),SUMIFS('Master P&amp;L'!$H$11:$H$85,'Master P&amp;L'!$B$11:$B$85,Check!O192)))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IF(O193="","",IF(LEN(O193)&gt;9,SUMIFS(Options!$H$3:$H$33,Options!$B$3:$B$33,Check!O193),SUMIFS('Master P&amp;L'!$H$11:$H$85,'Master P&amp;L'!$B$11:$B$85,Check!O193)))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IF(O194="","",IF(LEN(O194)&gt;9,SUMIFS(Options!$H$3:$H$33,Options!$B$3:$B$33,Check!O194),SUMIFS('Master P&amp;L'!$H$11:$H$85,'Master P&amp;L'!$B$11:$B$85,Check!O194)))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IF(O195="","",IF(LEN(O195)&gt;9,SUMIFS(Options!$H$3:$H$33,Options!$B$3:$B$33,Check!O195),SUMIFS('Master P&amp;L'!$H$11:$H$85,'Master P&amp;L'!$B$11:$B$85,Check!O195)))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IF(O196="","",IF(LEN(O196)&gt;9,SUMIFS(Options!$H$3:$H$33,Options!$B$3:$B$33,Check!O196),SUMIFS('Master P&amp;L'!$H$11:$H$85,'Master P&amp;L'!$B$11:$B$85,Check!O196)))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IF(O197="","",IF(LEN(O197)&gt;9,SUMIFS(Options!$H$3:$H$33,Options!$B$3:$B$33,Check!O197),SUMIFS('Master P&amp;L'!$H$11:$H$85,'Master P&amp;L'!$B$11:$B$85,Check!O197)))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IF(O198="","",IF(LEN(O198)&gt;9,SUMIFS(Options!$H$3:$H$33,Options!$B$3:$B$33,Check!O198),SUMIFS('Master P&amp;L'!$H$11:$H$85,'Master P&amp;L'!$B$11:$B$85,Check!O198)))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IF(O199="","",IF(LEN(O199)&gt;9,SUMIFS(Options!$H$3:$H$33,Options!$B$3:$B$33,Check!O199),SUMIFS('Master P&amp;L'!$H$11:$H$85,'Master P&amp;L'!$B$11:$B$85,Check!O199)))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IF(O200="","",IF(LEN(O200)&gt;9,SUMIFS(Options!$H$3:$H$33,Options!$B$3:$B$33,Check!O200),SUMIFS('Master P&amp;L'!$H$11:$H$85,'Master P&amp;L'!$B$11:$B$85,Check!O200)))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IF(O201="","",IF(LEN(O201)&gt;9,SUMIFS(Options!$H$3:$H$33,Options!$B$3:$B$33,Check!O201),SUMIFS('Master P&amp;L'!$H$11:$H$85,'Master P&amp;L'!$B$11:$B$85,Check!O201)))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IF(O202="","",IF(LEN(O202)&gt;9,SUMIFS(Options!$H$3:$H$33,Options!$B$3:$B$33,Check!O202),SUMIFS('Master P&amp;L'!$H$11:$H$85,'Master P&amp;L'!$B$11:$B$85,Check!O202)))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IF(O203="","",IF(LEN(O203)&gt;9,SUMIFS(Options!$H$3:$H$33,Options!$B$3:$B$33,Check!O203),SUMIFS('Master P&amp;L'!$H$11:$H$85,'Master P&amp;L'!$B$11:$B$85,Check!O203)))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IF(O204="","",IF(LEN(O204)&gt;9,SUMIFS(Options!$H$3:$H$33,Options!$B$3:$B$33,Check!O204),SUMIFS('Master P&amp;L'!$H$11:$H$85,'Master P&amp;L'!$B$11:$B$85,Check!O204)))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IF(O205="","",IF(LEN(O205)&gt;9,SUMIFS(Options!$H$3:$H$33,Options!$B$3:$B$33,Check!O205),SUMIFS('Master P&amp;L'!$H$11:$H$85,'Master P&amp;L'!$B$11:$B$85,Check!O205)))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IF(O206="","",IF(LEN(O206)&gt;9,SUMIFS(Options!$H$3:$H$33,Options!$B$3:$B$33,Check!O206),SUMIFS('Master P&amp;L'!$H$11:$H$85,'Master P&amp;L'!$B$11:$B$85,Check!O206)))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85" priority="4">
      <formula>J5&lt;&gt;0</formula>
    </cfRule>
  </conditionalFormatting>
  <conditionalFormatting sqref="E5:E191">
    <cfRule type="expression" dxfId="84" priority="3">
      <formula>E5&lt;&gt;0</formula>
    </cfRule>
  </conditionalFormatting>
  <conditionalFormatting sqref="S5:S206">
    <cfRule type="cellIs" dxfId="83" priority="2" operator="lessThan">
      <formula>0.9</formula>
    </cfRule>
  </conditionalFormatting>
  <conditionalFormatting sqref="S5:S198">
    <cfRule type="expression" dxfId="82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5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1" style="213" bestFit="1" customWidth="1"/>
    <col min="12" max="12" width="28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2361</v>
      </c>
      <c r="G2" s="213" t="s">
        <v>282</v>
      </c>
      <c r="H2" s="213">
        <v>0</v>
      </c>
      <c r="I2" s="213">
        <v>0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AMAT</v>
      </c>
      <c r="M2" s="214" t="str">
        <f>IF(E2="","",G2)</f>
        <v>EQTY.IntlUS.off</v>
      </c>
      <c r="N2" s="215">
        <f>IF(E2="","",H2)</f>
        <v>0</v>
      </c>
      <c r="O2" s="215">
        <f>IF(E2="","",I2)</f>
        <v>0</v>
      </c>
    </row>
    <row r="3" spans="5:15">
      <c r="E3" s="213" t="s">
        <v>319</v>
      </c>
      <c r="F3" s="213" t="s">
        <v>2357</v>
      </c>
      <c r="G3" s="213" t="s">
        <v>282</v>
      </c>
      <c r="H3" s="213">
        <v>-117</v>
      </c>
      <c r="I3" s="213">
        <v>0</v>
      </c>
      <c r="K3" s="214" t="str">
        <f t="shared" ref="K3:K66" si="0">IF(E3="","",E3)</f>
        <v>US Equity Options</v>
      </c>
      <c r="L3" s="214" t="str">
        <f>IF(E3="","",IF(COUNTIFS(Table2[[#All],[De (Lote)]],Input_APM!F3)&gt;0,INDEX(Table2[[#All],[Para (Ticker Daniel)]],MATCH(Input_APM!F3,Table2[[#All],[De (Lote)]],0)),Input_APM!F3))</f>
        <v>AMAT US 01/23/26 P280</v>
      </c>
      <c r="M3" s="214" t="str">
        <f t="shared" ref="M3:M66" si="1">IF(E3="","",G3)</f>
        <v>EQTY.IntlUS.off</v>
      </c>
      <c r="N3" s="215">
        <f t="shared" ref="N3:N66" si="2">IF(E3="","",H3)</f>
        <v>-117</v>
      </c>
      <c r="O3" s="215">
        <f t="shared" ref="O3:O66" si="3">IF(E3="","",I3)</f>
        <v>0</v>
      </c>
    </row>
    <row r="4" spans="5:15">
      <c r="E4" s="213" t="s">
        <v>319</v>
      </c>
      <c r="F4" s="213" t="s">
        <v>2358</v>
      </c>
      <c r="G4" s="213" t="s">
        <v>282</v>
      </c>
      <c r="H4" s="213">
        <v>117</v>
      </c>
      <c r="I4" s="213">
        <v>0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AMAT US 01/23/26 P290</v>
      </c>
      <c r="M4" s="214" t="str">
        <f t="shared" si="1"/>
        <v>EQTY.IntlUS.off</v>
      </c>
      <c r="N4" s="215">
        <f t="shared" si="2"/>
        <v>117</v>
      </c>
      <c r="O4" s="215">
        <f t="shared" si="3"/>
        <v>0</v>
      </c>
    </row>
    <row r="5" spans="5:15">
      <c r="E5" s="213" t="s">
        <v>317</v>
      </c>
      <c r="F5" s="213" t="s">
        <v>399</v>
      </c>
      <c r="G5" s="213" t="s">
        <v>282</v>
      </c>
      <c r="H5" s="213">
        <v>15396</v>
      </c>
      <c r="I5" s="213">
        <v>15396</v>
      </c>
      <c r="K5" s="214" t="str">
        <f t="shared" si="0"/>
        <v>US Equity</v>
      </c>
      <c r="L5" s="214" t="str">
        <f>IF(E5="","",IF(COUNTIFS(Table2[[#All],[De (Lote)]],Input_APM!F5)&gt;0,INDEX(Table2[[#All],[Para (Ticker Daniel)]],MATCH(Input_APM!F5,Table2[[#All],[De (Lote)]],0)),Input_APM!F5))</f>
        <v>AMZN</v>
      </c>
      <c r="M5" s="214" t="str">
        <f t="shared" si="1"/>
        <v>EQTY.IntlUS.off</v>
      </c>
      <c r="N5" s="215">
        <f t="shared" si="2"/>
        <v>15396</v>
      </c>
      <c r="O5" s="215">
        <f t="shared" si="3"/>
        <v>15396</v>
      </c>
    </row>
    <row r="6" spans="5:15">
      <c r="E6" s="213" t="s">
        <v>324</v>
      </c>
      <c r="F6" s="213" t="s">
        <v>2330</v>
      </c>
      <c r="G6" s="213" t="s">
        <v>282</v>
      </c>
      <c r="H6" s="213">
        <v>1405</v>
      </c>
      <c r="I6" s="213">
        <v>1405</v>
      </c>
      <c r="K6" s="214" t="str">
        <f t="shared" si="0"/>
        <v>ETF Options</v>
      </c>
      <c r="L6" s="214" t="str">
        <f>IF(E6="","",IF(COUNTIFS(Table2[[#All],[De (Lote)]],Input_APM!F6)&gt;0,INDEX(Table2[[#All],[Para (Ticker Daniel)]],MATCH(Input_APM!F6,Table2[[#All],[De (Lote)]],0)),Input_APM!F6))</f>
        <v>ASHR US 02/20/26 C35</v>
      </c>
      <c r="M6" s="214" t="str">
        <f t="shared" si="1"/>
        <v>EQTY.IntlUS.off</v>
      </c>
      <c r="N6" s="215">
        <f t="shared" si="2"/>
        <v>1405</v>
      </c>
      <c r="O6" s="215">
        <f t="shared" si="3"/>
        <v>1405</v>
      </c>
    </row>
    <row r="7" spans="5:15">
      <c r="E7" s="213" t="s">
        <v>317</v>
      </c>
      <c r="F7" s="213" t="s">
        <v>137</v>
      </c>
      <c r="G7" s="213" t="s">
        <v>282</v>
      </c>
      <c r="H7" s="213">
        <v>6718</v>
      </c>
      <c r="I7" s="213">
        <v>4743</v>
      </c>
      <c r="K7" s="214" t="str">
        <f t="shared" si="0"/>
        <v>US Equity</v>
      </c>
      <c r="L7" s="214" t="str">
        <f>IF(E7="","",IF(COUNTIFS(Table2[[#All],[De (Lote)]],Input_APM!F7)&gt;0,INDEX(Table2[[#All],[Para (Ticker Daniel)]],MATCH(Input_APM!F7,Table2[[#All],[De (Lote)]],0)),Input_APM!F7))</f>
        <v>AVGO</v>
      </c>
      <c r="M7" s="214" t="str">
        <f t="shared" si="1"/>
        <v>EQTY.IntlUS.off</v>
      </c>
      <c r="N7" s="215">
        <f t="shared" si="2"/>
        <v>6718</v>
      </c>
      <c r="O7" s="215">
        <f t="shared" si="3"/>
        <v>4743</v>
      </c>
    </row>
    <row r="8" spans="5:15">
      <c r="E8" s="213" t="s">
        <v>319</v>
      </c>
      <c r="F8" s="213" t="s">
        <v>2152</v>
      </c>
      <c r="G8" s="213" t="s">
        <v>282</v>
      </c>
      <c r="H8" s="213">
        <v>48</v>
      </c>
      <c r="I8" s="213">
        <v>48</v>
      </c>
      <c r="K8" s="214" t="str">
        <f t="shared" si="0"/>
        <v>US Equity Options</v>
      </c>
      <c r="L8" s="214" t="str">
        <f>IF(E8="","",IF(COUNTIFS(Table2[[#All],[De (Lote)]],Input_APM!F8)&gt;0,INDEX(Table2[[#All],[Para (Ticker Daniel)]],MATCH(Input_APM!F8,Table2[[#All],[De (Lote)]],0)),Input_APM!F8))</f>
        <v>AVGO US 06/18/26 C350</v>
      </c>
      <c r="M8" s="214" t="str">
        <f t="shared" si="1"/>
        <v>EQTY.IntlUS.off</v>
      </c>
      <c r="N8" s="215">
        <f t="shared" si="2"/>
        <v>48</v>
      </c>
      <c r="O8" s="215">
        <f t="shared" si="3"/>
        <v>48</v>
      </c>
    </row>
    <row r="9" spans="5:15">
      <c r="E9" s="213" t="s">
        <v>319</v>
      </c>
      <c r="F9" s="213" t="s">
        <v>2154</v>
      </c>
      <c r="G9" s="213" t="s">
        <v>282</v>
      </c>
      <c r="H9" s="213">
        <v>-48</v>
      </c>
      <c r="I9" s="213">
        <v>-48</v>
      </c>
      <c r="K9" s="214" t="str">
        <f t="shared" si="0"/>
        <v>US Equity Options</v>
      </c>
      <c r="L9" s="214" t="str">
        <f>IF(E9="","",IF(COUNTIFS(Table2[[#All],[De (Lote)]],Input_APM!F9)&gt;0,INDEX(Table2[[#All],[Para (Ticker Daniel)]],MATCH(Input_APM!F9,Table2[[#All],[De (Lote)]],0)),Input_APM!F9))</f>
        <v>AVGO US 06/18/26 C410</v>
      </c>
      <c r="M9" s="214" t="str">
        <f t="shared" si="1"/>
        <v>EQTY.IntlUS.off</v>
      </c>
      <c r="N9" s="215">
        <f t="shared" si="2"/>
        <v>-48</v>
      </c>
      <c r="O9" s="215">
        <f t="shared" si="3"/>
        <v>-48</v>
      </c>
    </row>
    <row r="10" spans="5:15">
      <c r="E10" s="213" t="s">
        <v>39</v>
      </c>
      <c r="F10" s="213" t="s">
        <v>461</v>
      </c>
      <c r="G10" s="213" t="s">
        <v>282</v>
      </c>
      <c r="H10" s="213">
        <v>3163</v>
      </c>
      <c r="I10" s="213">
        <v>3163</v>
      </c>
      <c r="K10" s="214" t="str">
        <f t="shared" si="0"/>
        <v>ADR</v>
      </c>
      <c r="L10" s="214" t="str">
        <f>IF(E10="","",IF(COUNTIFS(Table2[[#All],[De (Lote)]],Input_APM!F10)&gt;0,INDEX(Table2[[#All],[Para (Ticker Daniel)]],MATCH(Input_APM!F10,Table2[[#All],[De (Lote)]],0)),Input_APM!F10))</f>
        <v>BABA</v>
      </c>
      <c r="M10" s="214" t="str">
        <f t="shared" si="1"/>
        <v>EQTY.IntlUS.off</v>
      </c>
      <c r="N10" s="215">
        <f t="shared" si="2"/>
        <v>3163</v>
      </c>
      <c r="O10" s="215">
        <f t="shared" si="3"/>
        <v>3163</v>
      </c>
    </row>
    <row r="11" spans="5:15">
      <c r="E11" s="213" t="s">
        <v>39</v>
      </c>
      <c r="F11" s="213" t="s">
        <v>2209</v>
      </c>
      <c r="G11" s="213" t="s">
        <v>282</v>
      </c>
      <c r="H11" s="213">
        <v>3285</v>
      </c>
      <c r="I11" s="213">
        <v>3285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BIDU</v>
      </c>
      <c r="M11" s="214" t="str">
        <f t="shared" si="1"/>
        <v>EQTY.IntlUS.off</v>
      </c>
      <c r="N11" s="215">
        <f t="shared" si="2"/>
        <v>3285</v>
      </c>
      <c r="O11" s="215">
        <f t="shared" si="3"/>
        <v>3285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-0.28999999999999998</v>
      </c>
      <c r="I12" s="213">
        <v>-0.28999999999999998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CAD</v>
      </c>
      <c r="M12" s="214" t="str">
        <f t="shared" si="1"/>
        <v>EQTY.IntlUS.off</v>
      </c>
      <c r="N12" s="215">
        <f t="shared" si="2"/>
        <v>-0.28999999999999998</v>
      </c>
      <c r="O12" s="215">
        <f t="shared" si="3"/>
        <v>-0.28999999999999998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0.39</v>
      </c>
      <c r="I13" s="213">
        <v>0.39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CHF</v>
      </c>
      <c r="M13" s="214" t="str">
        <f t="shared" si="1"/>
        <v>EQTY.InternacionalUS2.off</v>
      </c>
      <c r="N13" s="215">
        <f t="shared" si="2"/>
        <v>0.39</v>
      </c>
      <c r="O13" s="215">
        <f t="shared" si="3"/>
        <v>0.39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-34454.449999999997</v>
      </c>
      <c r="I14" s="213">
        <v>-34454.449999999997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EQTY.IntlUS.off</v>
      </c>
      <c r="N14" s="215">
        <f t="shared" si="2"/>
        <v>-34454.449999999997</v>
      </c>
      <c r="O14" s="215">
        <f t="shared" si="3"/>
        <v>-34454.449999999997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-0.36</v>
      </c>
      <c r="I15" s="213">
        <v>-0.36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CNH</v>
      </c>
      <c r="M15" s="214" t="str">
        <f t="shared" si="1"/>
        <v>EQTY.IntlUS.off</v>
      </c>
      <c r="N15" s="215">
        <f t="shared" si="2"/>
        <v>-0.36</v>
      </c>
      <c r="O15" s="215">
        <f t="shared" si="3"/>
        <v>-0.36</v>
      </c>
    </row>
    <row r="16" spans="5:15">
      <c r="E16" s="213" t="s">
        <v>321</v>
      </c>
      <c r="F16" s="213" t="s">
        <v>2174</v>
      </c>
      <c r="G16" s="213" t="s">
        <v>283</v>
      </c>
      <c r="H16" s="213">
        <v>-0.19</v>
      </c>
      <c r="I16" s="213">
        <v>-0.19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CNY</v>
      </c>
      <c r="M16" s="214" t="str">
        <f t="shared" si="1"/>
        <v>EQTY.InternacionalUS2.off</v>
      </c>
      <c r="N16" s="215">
        <f t="shared" si="2"/>
        <v>-0.19</v>
      </c>
      <c r="O16" s="215">
        <f t="shared" si="3"/>
        <v>-0.19</v>
      </c>
    </row>
    <row r="17" spans="5:15">
      <c r="E17" s="213" t="s">
        <v>321</v>
      </c>
      <c r="F17" s="213" t="s">
        <v>2174</v>
      </c>
      <c r="G17" s="213" t="s">
        <v>282</v>
      </c>
      <c r="H17" s="213">
        <v>-143145.81</v>
      </c>
      <c r="I17" s="213">
        <v>-143145.81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EQTY.IntlUS.off</v>
      </c>
      <c r="N17" s="215">
        <f t="shared" si="2"/>
        <v>-143145.81</v>
      </c>
      <c r="O17" s="215">
        <f t="shared" si="3"/>
        <v>-143145.81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-0.15</v>
      </c>
      <c r="I18" s="213">
        <v>-0.15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EUR</v>
      </c>
      <c r="M18" s="214" t="str">
        <f t="shared" si="1"/>
        <v>EQTY.InternacionalUS2.off</v>
      </c>
      <c r="N18" s="215">
        <f t="shared" si="2"/>
        <v>-0.15</v>
      </c>
      <c r="O18" s="215">
        <f t="shared" si="3"/>
        <v>-0.15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42629.42</v>
      </c>
      <c r="I19" s="213">
        <v>42629.42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EQTY.IntlUS.off</v>
      </c>
      <c r="N19" s="215">
        <f t="shared" si="2"/>
        <v>42629.42</v>
      </c>
      <c r="O19" s="215">
        <f t="shared" si="3"/>
        <v>42629.42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-0.47</v>
      </c>
      <c r="I20" s="213">
        <v>-0.47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GBP</v>
      </c>
      <c r="M20" s="214" t="str">
        <f t="shared" si="1"/>
        <v>EQTY.IntlUS.off</v>
      </c>
      <c r="N20" s="215">
        <f t="shared" si="2"/>
        <v>-0.47</v>
      </c>
      <c r="O20" s="215">
        <f t="shared" si="3"/>
        <v>-0.47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0.2</v>
      </c>
      <c r="I21" s="213">
        <v>0.2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HKD</v>
      </c>
      <c r="M21" s="214" t="str">
        <f t="shared" si="1"/>
        <v>EQTY.InternacionalUS2.off</v>
      </c>
      <c r="N21" s="215">
        <f t="shared" si="2"/>
        <v>0.2</v>
      </c>
      <c r="O21" s="215">
        <f t="shared" si="3"/>
        <v>0.2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-341409.97</v>
      </c>
      <c r="I22" s="213">
        <v>-341409.97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EQTY.IntlUS.off</v>
      </c>
      <c r="N22" s="215">
        <f t="shared" si="2"/>
        <v>-341409.97</v>
      </c>
      <c r="O22" s="215">
        <f t="shared" si="3"/>
        <v>-341409.97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1.000005E-2</v>
      </c>
      <c r="I23" s="213">
        <v>1.000005E-2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KRW</v>
      </c>
      <c r="M23" s="214" t="str">
        <f t="shared" si="1"/>
        <v>EQTY.IntlUS.off</v>
      </c>
      <c r="N23" s="215">
        <f t="shared" si="2"/>
        <v>1.000005E-2</v>
      </c>
      <c r="O23" s="215">
        <f t="shared" si="3"/>
        <v>1.000005E-2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-4521355.4056468504</v>
      </c>
      <c r="I24" s="213">
        <v>4.3531500000000001E-3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USD</v>
      </c>
      <c r="M24" s="214" t="str">
        <f t="shared" si="1"/>
        <v>EQTY.IntlUS.off</v>
      </c>
      <c r="N24" s="215">
        <f t="shared" si="2"/>
        <v>-4521355.4056468504</v>
      </c>
      <c r="O24" s="215">
        <f t="shared" si="3"/>
        <v>4.3531500000000001E-3</v>
      </c>
    </row>
    <row r="25" spans="5:15">
      <c r="E25" s="213" t="s">
        <v>477</v>
      </c>
      <c r="F25" s="213" t="s">
        <v>1915</v>
      </c>
      <c r="G25" s="213" t="s">
        <v>282</v>
      </c>
      <c r="H25" s="213">
        <v>4625000</v>
      </c>
      <c r="I25" s="213">
        <v>4625000</v>
      </c>
      <c r="K25" s="214" t="str">
        <f t="shared" si="0"/>
        <v>CDS</v>
      </c>
      <c r="L25" s="214" t="str">
        <f>IF(E25="","",IF(COUNTIFS(Table2[[#All],[De (Lote)]],Input_APM!F25)&gt;0,INDEX(Table2[[#All],[Para (Ticker Daniel)]],MATCH(Input_APM!F25,Table2[[#All],[De (Lote)]],0)),Input_APM!F25))</f>
        <v>CHINAGOV 12/20/30</v>
      </c>
      <c r="M25" s="214" t="str">
        <f t="shared" si="1"/>
        <v>EQTY.IntlUS.off</v>
      </c>
      <c r="N25" s="215">
        <f t="shared" si="2"/>
        <v>4625000</v>
      </c>
      <c r="O25" s="215">
        <f t="shared" si="3"/>
        <v>4625000</v>
      </c>
    </row>
    <row r="26" spans="5:15">
      <c r="E26" s="213" t="s">
        <v>317</v>
      </c>
      <c r="F26" s="213" t="s">
        <v>2210</v>
      </c>
      <c r="G26" s="213" t="s">
        <v>282</v>
      </c>
      <c r="H26" s="213">
        <v>2923</v>
      </c>
      <c r="I26" s="213">
        <v>2923</v>
      </c>
      <c r="K26" s="214" t="str">
        <f t="shared" si="0"/>
        <v>US Equity</v>
      </c>
      <c r="L26" s="214" t="str">
        <f>IF(E26="","",IF(COUNTIFS(Table2[[#All],[De (Lote)]],Input_APM!F26)&gt;0,INDEX(Table2[[#All],[Para (Ticker Daniel)]],MATCH(Input_APM!F26,Table2[[#All],[De (Lote)]],0)),Input_APM!F26))</f>
        <v>COHR</v>
      </c>
      <c r="M26" s="214" t="str">
        <f t="shared" si="1"/>
        <v>EQTY.IntlUS.off</v>
      </c>
      <c r="N26" s="215">
        <f t="shared" si="2"/>
        <v>2923</v>
      </c>
      <c r="O26" s="215">
        <f t="shared" si="3"/>
        <v>2923</v>
      </c>
    </row>
    <row r="27" spans="5:15">
      <c r="E27" s="213" t="s">
        <v>320</v>
      </c>
      <c r="F27" s="213" t="s">
        <v>1754</v>
      </c>
      <c r="G27" s="213" t="s">
        <v>282</v>
      </c>
      <c r="H27" s="213">
        <v>41651</v>
      </c>
      <c r="I27" s="213">
        <v>41651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>EWY</v>
      </c>
      <c r="M27" s="214" t="str">
        <f t="shared" si="1"/>
        <v>EQTY.IntlUS.off</v>
      </c>
      <c r="N27" s="215">
        <f t="shared" si="2"/>
        <v>41651</v>
      </c>
      <c r="O27" s="215">
        <f t="shared" si="3"/>
        <v>41651</v>
      </c>
    </row>
    <row r="28" spans="5:15">
      <c r="E28" s="213" t="s">
        <v>320</v>
      </c>
      <c r="F28" s="213" t="s">
        <v>131</v>
      </c>
      <c r="G28" s="213" t="s">
        <v>282</v>
      </c>
      <c r="H28" s="213">
        <v>26139</v>
      </c>
      <c r="I28" s="213">
        <v>23518</v>
      </c>
      <c r="K28" s="214" t="str">
        <f t="shared" si="0"/>
        <v>ETF</v>
      </c>
      <c r="L28" s="214" t="str">
        <f>IF(E28="","",IF(COUNTIFS(Table2[[#All],[De (Lote)]],Input_APM!F28)&gt;0,INDEX(Table2[[#All],[Para (Ticker Daniel)]],MATCH(Input_APM!F28,Table2[[#All],[De (Lote)]],0)),Input_APM!F28))</f>
        <v xml:space="preserve">GDX </v>
      </c>
      <c r="M28" s="214" t="str">
        <f t="shared" si="1"/>
        <v>EQTY.IntlUS.off</v>
      </c>
      <c r="N28" s="215">
        <f t="shared" si="2"/>
        <v>26139</v>
      </c>
      <c r="O28" s="215">
        <f t="shared" si="3"/>
        <v>23518</v>
      </c>
    </row>
    <row r="29" spans="5:15">
      <c r="E29" s="213" t="s">
        <v>317</v>
      </c>
      <c r="F29" s="213" t="s">
        <v>2218</v>
      </c>
      <c r="G29" s="213" t="s">
        <v>282</v>
      </c>
      <c r="H29" s="213">
        <v>1668</v>
      </c>
      <c r="I29" s="213">
        <v>1668</v>
      </c>
      <c r="K29" s="214" t="str">
        <f t="shared" si="0"/>
        <v>US Equity</v>
      </c>
      <c r="L29" s="214" t="str">
        <f>IF(E29="","",IF(COUNTIFS(Table2[[#All],[De (Lote)]],Input_APM!F29)&gt;0,INDEX(Table2[[#All],[Para (Ticker Daniel)]],MATCH(Input_APM!F29,Table2[[#All],[De (Lote)]],0)),Input_APM!F29))</f>
        <v>GOOG</v>
      </c>
      <c r="M29" s="214" t="str">
        <f t="shared" si="1"/>
        <v>EQTY.IntlUS.off</v>
      </c>
      <c r="N29" s="215">
        <f t="shared" si="2"/>
        <v>1668</v>
      </c>
      <c r="O29" s="215">
        <f t="shared" si="3"/>
        <v>1668</v>
      </c>
    </row>
    <row r="30" spans="5:15">
      <c r="E30" s="213" t="s">
        <v>325</v>
      </c>
      <c r="F30" s="213" t="s">
        <v>1899</v>
      </c>
      <c r="G30" s="213" t="s">
        <v>282</v>
      </c>
      <c r="H30" s="213">
        <v>276451</v>
      </c>
      <c r="I30" s="213">
        <v>276451</v>
      </c>
      <c r="K30" s="214" t="str">
        <f t="shared" si="0"/>
        <v>Basket Index Options</v>
      </c>
      <c r="L30" s="214" t="str">
        <f>IF(E30="","",IF(COUNTIFS(Table2[[#All],[De (Lote)]],Input_APM!F30)&gt;0,INDEX(Table2[[#All],[Para (Ticker Daniel)]],MATCH(Input_APM!F30,Table2[[#All],[De (Lote)]],0)),Input_APM!F30))</f>
        <v>GSC1000P 03/20/26 C104</v>
      </c>
      <c r="M30" s="214" t="str">
        <f t="shared" si="1"/>
        <v>EQTY.IntlUS.off</v>
      </c>
      <c r="N30" s="215">
        <f t="shared" si="2"/>
        <v>276451</v>
      </c>
      <c r="O30" s="215">
        <f t="shared" si="3"/>
        <v>276451</v>
      </c>
    </row>
    <row r="31" spans="5:15">
      <c r="E31" s="213" t="s">
        <v>325</v>
      </c>
      <c r="F31" s="213" t="s">
        <v>1900</v>
      </c>
      <c r="G31" s="213" t="s">
        <v>282</v>
      </c>
      <c r="H31" s="213">
        <v>-276451</v>
      </c>
      <c r="I31" s="213">
        <v>-276451</v>
      </c>
      <c r="K31" s="214" t="str">
        <f t="shared" si="0"/>
        <v>Basket Index Options</v>
      </c>
      <c r="L31" s="214" t="str">
        <f>IF(E31="","",IF(COUNTIFS(Table2[[#All],[De (Lote)]],Input_APM!F31)&gt;0,INDEX(Table2[[#All],[Para (Ticker Daniel)]],MATCH(Input_APM!F31,Table2[[#All],[De (Lote)]],0)),Input_APM!F31))</f>
        <v>GSC1000P 03/20/26 C119</v>
      </c>
      <c r="M31" s="214" t="str">
        <f t="shared" si="1"/>
        <v>EQTY.IntlUS.off</v>
      </c>
      <c r="N31" s="215">
        <f t="shared" si="2"/>
        <v>-276451</v>
      </c>
      <c r="O31" s="215">
        <f t="shared" si="3"/>
        <v>-276451</v>
      </c>
    </row>
    <row r="32" spans="5:15">
      <c r="E32" s="213" t="s">
        <v>317</v>
      </c>
      <c r="F32" s="213" t="s">
        <v>2101</v>
      </c>
      <c r="G32" s="213" t="s">
        <v>282</v>
      </c>
      <c r="H32" s="213">
        <v>1874</v>
      </c>
      <c r="I32" s="213">
        <v>1405</v>
      </c>
      <c r="K32" s="214" t="str">
        <f t="shared" si="0"/>
        <v>US Equity</v>
      </c>
      <c r="L32" s="214" t="str">
        <f>IF(E32="","",IF(COUNTIFS(Table2[[#All],[De (Lote)]],Input_APM!F32)&gt;0,INDEX(Table2[[#All],[Para (Ticker Daniel)]],MATCH(Input_APM!F32,Table2[[#All],[De (Lote)]],0)),Input_APM!F32))</f>
        <v>LITE</v>
      </c>
      <c r="M32" s="214" t="str">
        <f t="shared" si="1"/>
        <v>EQTY.IntlUS.off</v>
      </c>
      <c r="N32" s="215">
        <f t="shared" si="2"/>
        <v>1874</v>
      </c>
      <c r="O32" s="215">
        <f t="shared" si="3"/>
        <v>1405</v>
      </c>
    </row>
    <row r="33" spans="5:15">
      <c r="E33" s="213" t="s">
        <v>319</v>
      </c>
      <c r="F33" s="213" t="s">
        <v>2113</v>
      </c>
      <c r="G33" s="213" t="s">
        <v>282</v>
      </c>
      <c r="H33" s="213">
        <v>84</v>
      </c>
      <c r="I33" s="213">
        <v>84</v>
      </c>
      <c r="K33" s="214" t="str">
        <f t="shared" si="0"/>
        <v>US Equity Options</v>
      </c>
      <c r="L33" s="214" t="str">
        <f>IF(E33="","",IF(COUNTIFS(Table2[[#All],[De (Lote)]],Input_APM!F33)&gt;0,INDEX(Table2[[#All],[Para (Ticker Daniel)]],MATCH(Input_APM!F33,Table2[[#All],[De (Lote)]],0)),Input_APM!F33))</f>
        <v>LITE US 02/20/26 C400</v>
      </c>
      <c r="M33" s="214" t="str">
        <f t="shared" si="1"/>
        <v>EQTY.IntlUS.off</v>
      </c>
      <c r="N33" s="215">
        <f t="shared" si="2"/>
        <v>84</v>
      </c>
      <c r="O33" s="215">
        <f t="shared" si="3"/>
        <v>84</v>
      </c>
    </row>
    <row r="34" spans="5:15">
      <c r="E34" s="213" t="s">
        <v>319</v>
      </c>
      <c r="F34" s="213" t="s">
        <v>2114</v>
      </c>
      <c r="G34" s="213" t="s">
        <v>282</v>
      </c>
      <c r="H34" s="213">
        <v>0</v>
      </c>
      <c r="I34" s="213">
        <v>-8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LITE US 02/20/26 C450</v>
      </c>
      <c r="M34" s="214" t="str">
        <f t="shared" si="1"/>
        <v>EQTY.IntlUS.off</v>
      </c>
      <c r="N34" s="215">
        <f t="shared" si="2"/>
        <v>0</v>
      </c>
      <c r="O34" s="215">
        <f t="shared" si="3"/>
        <v>-8</v>
      </c>
    </row>
    <row r="35" spans="5:15">
      <c r="E35" s="213" t="s">
        <v>317</v>
      </c>
      <c r="F35" s="213" t="s">
        <v>86</v>
      </c>
      <c r="G35" s="213" t="s">
        <v>282</v>
      </c>
      <c r="H35" s="213">
        <v>1968</v>
      </c>
      <c r="I35" s="213">
        <v>1968</v>
      </c>
      <c r="K35" s="214" t="str">
        <f t="shared" si="0"/>
        <v>US Equity</v>
      </c>
      <c r="L35" s="214" t="str">
        <f>IF(E35="","",IF(COUNTIFS(Table2[[#All],[De (Lote)]],Input_APM!F35)&gt;0,INDEX(Table2[[#All],[Para (Ticker Daniel)]],MATCH(Input_APM!F35,Table2[[#All],[De (Lote)]],0)),Input_APM!F35))</f>
        <v>MA</v>
      </c>
      <c r="M35" s="214" t="str">
        <f t="shared" si="1"/>
        <v>EQTY.IntlUS.off</v>
      </c>
      <c r="N35" s="215">
        <f t="shared" si="2"/>
        <v>1968</v>
      </c>
      <c r="O35" s="215">
        <f t="shared" si="3"/>
        <v>1968</v>
      </c>
    </row>
    <row r="36" spans="5:15">
      <c r="E36" s="213" t="s">
        <v>317</v>
      </c>
      <c r="F36" s="213" t="s">
        <v>326</v>
      </c>
      <c r="G36" s="213" t="s">
        <v>282</v>
      </c>
      <c r="H36" s="213">
        <v>5618</v>
      </c>
      <c r="I36" s="213">
        <v>5618</v>
      </c>
      <c r="K36" s="214" t="str">
        <f t="shared" si="0"/>
        <v>US Equity</v>
      </c>
      <c r="L36" s="214" t="str">
        <f>IF(E36="","",IF(COUNTIFS(Table2[[#All],[De (Lote)]],Input_APM!F36)&gt;0,INDEX(Table2[[#All],[Para (Ticker Daniel)]],MATCH(Input_APM!F36,Table2[[#All],[De (Lote)]],0)),Input_APM!F36))</f>
        <v>META</v>
      </c>
      <c r="M36" s="214" t="str">
        <f t="shared" si="1"/>
        <v>EQTY.IntlUS.off</v>
      </c>
      <c r="N36" s="215">
        <f t="shared" si="2"/>
        <v>5618</v>
      </c>
      <c r="O36" s="215">
        <f t="shared" si="3"/>
        <v>5618</v>
      </c>
    </row>
    <row r="37" spans="5:15">
      <c r="E37" s="213" t="s">
        <v>319</v>
      </c>
      <c r="F37" s="213" t="s">
        <v>2107</v>
      </c>
      <c r="G37" s="213" t="s">
        <v>282</v>
      </c>
      <c r="H37" s="213">
        <v>57</v>
      </c>
      <c r="I37" s="213">
        <v>57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META US 04/17/26 C690</v>
      </c>
      <c r="M37" s="214" t="str">
        <f t="shared" si="1"/>
        <v>EQTY.IntlUS.off</v>
      </c>
      <c r="N37" s="215">
        <f t="shared" si="2"/>
        <v>57</v>
      </c>
      <c r="O37" s="215">
        <f t="shared" si="3"/>
        <v>57</v>
      </c>
    </row>
    <row r="38" spans="5:15">
      <c r="E38" s="213" t="s">
        <v>319</v>
      </c>
      <c r="F38" s="213" t="s">
        <v>2106</v>
      </c>
      <c r="G38" s="213" t="s">
        <v>282</v>
      </c>
      <c r="H38" s="213">
        <v>0</v>
      </c>
      <c r="I38" s="213">
        <v>-1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META US 04/17/26 C750</v>
      </c>
      <c r="M38" s="214" t="str">
        <f t="shared" si="1"/>
        <v>EQTY.IntlUS.off</v>
      </c>
      <c r="N38" s="215">
        <f t="shared" si="2"/>
        <v>0</v>
      </c>
      <c r="O38" s="215">
        <f t="shared" si="3"/>
        <v>-1</v>
      </c>
    </row>
    <row r="39" spans="5:15">
      <c r="E39" s="213" t="s">
        <v>319</v>
      </c>
      <c r="F39" s="213" t="s">
        <v>2156</v>
      </c>
      <c r="G39" s="213" t="s">
        <v>282</v>
      </c>
      <c r="H39" s="213">
        <v>19</v>
      </c>
      <c r="I39" s="213">
        <v>19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META US 04/17/26 P570</v>
      </c>
      <c r="M39" s="214" t="str">
        <f t="shared" si="1"/>
        <v>EQTY.IntlUS.off</v>
      </c>
      <c r="N39" s="215">
        <f t="shared" si="2"/>
        <v>19</v>
      </c>
      <c r="O39" s="215">
        <f t="shared" si="3"/>
        <v>19</v>
      </c>
    </row>
    <row r="40" spans="5:15">
      <c r="E40" s="213" t="s">
        <v>319</v>
      </c>
      <c r="F40" s="213" t="s">
        <v>2155</v>
      </c>
      <c r="G40" s="213" t="s">
        <v>282</v>
      </c>
      <c r="H40" s="213">
        <v>-19</v>
      </c>
      <c r="I40" s="213">
        <v>-19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META US 04/17/26 P600</v>
      </c>
      <c r="M40" s="214" t="str">
        <f t="shared" si="1"/>
        <v>EQTY.IntlUS.off</v>
      </c>
      <c r="N40" s="215">
        <f t="shared" si="2"/>
        <v>-19</v>
      </c>
      <c r="O40" s="215">
        <f t="shared" si="3"/>
        <v>-19</v>
      </c>
    </row>
    <row r="41" spans="5:15">
      <c r="E41" s="213" t="s">
        <v>319</v>
      </c>
      <c r="F41" s="213" t="s">
        <v>2140</v>
      </c>
      <c r="G41" s="213" t="s">
        <v>282</v>
      </c>
      <c r="H41" s="213">
        <v>-94</v>
      </c>
      <c r="I41" s="213">
        <v>-94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MRVL US 03/20/26 P75</v>
      </c>
      <c r="M41" s="214" t="str">
        <f t="shared" si="1"/>
        <v>EQTY.IntlUS.off</v>
      </c>
      <c r="N41" s="215">
        <f t="shared" si="2"/>
        <v>-94</v>
      </c>
      <c r="O41" s="215">
        <f t="shared" si="3"/>
        <v>-94</v>
      </c>
    </row>
    <row r="42" spans="5:15">
      <c r="E42" s="213" t="s">
        <v>319</v>
      </c>
      <c r="F42" s="213" t="s">
        <v>2095</v>
      </c>
      <c r="G42" s="213" t="s">
        <v>282</v>
      </c>
      <c r="H42" s="213">
        <v>-94</v>
      </c>
      <c r="I42" s="213">
        <v>-188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MRVL US 03/20/26 P80</v>
      </c>
      <c r="M42" s="214" t="str">
        <f t="shared" si="1"/>
        <v>EQTY.IntlUS.off</v>
      </c>
      <c r="N42" s="215">
        <f t="shared" si="2"/>
        <v>-94</v>
      </c>
      <c r="O42" s="215">
        <f t="shared" si="3"/>
        <v>-188</v>
      </c>
    </row>
    <row r="43" spans="5:15">
      <c r="E43" s="213" t="s">
        <v>319</v>
      </c>
      <c r="F43" s="213" t="s">
        <v>2139</v>
      </c>
      <c r="G43" s="213" t="s">
        <v>282</v>
      </c>
      <c r="H43" s="213">
        <v>186</v>
      </c>
      <c r="I43" s="213">
        <v>280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MRVL US 03/20/26 P85</v>
      </c>
      <c r="M43" s="214" t="str">
        <f t="shared" si="1"/>
        <v>EQTY.IntlUS.off</v>
      </c>
      <c r="N43" s="215">
        <f t="shared" si="2"/>
        <v>186</v>
      </c>
      <c r="O43" s="215">
        <f t="shared" si="3"/>
        <v>280</v>
      </c>
    </row>
    <row r="44" spans="5:15">
      <c r="E44" s="213" t="s">
        <v>317</v>
      </c>
      <c r="F44" s="213" t="s">
        <v>90</v>
      </c>
      <c r="G44" s="213" t="s">
        <v>282</v>
      </c>
      <c r="H44" s="213">
        <v>7966</v>
      </c>
      <c r="I44" s="213">
        <v>7966</v>
      </c>
      <c r="K44" s="214" t="str">
        <f t="shared" si="0"/>
        <v>US Equity</v>
      </c>
      <c r="L44" s="214" t="str">
        <f>IF(E44="","",IF(COUNTIFS(Table2[[#All],[De (Lote)]],Input_APM!F44)&gt;0,INDEX(Table2[[#All],[Para (Ticker Daniel)]],MATCH(Input_APM!F44,Table2[[#All],[De (Lote)]],0)),Input_APM!F44))</f>
        <v>MSFT</v>
      </c>
      <c r="M44" s="214" t="str">
        <f t="shared" si="1"/>
        <v>EQTY.IntlUS.off</v>
      </c>
      <c r="N44" s="215">
        <f t="shared" si="2"/>
        <v>7966</v>
      </c>
      <c r="O44" s="215">
        <f t="shared" si="3"/>
        <v>7966</v>
      </c>
    </row>
    <row r="45" spans="5:15">
      <c r="E45" s="213" t="s">
        <v>319</v>
      </c>
      <c r="F45" s="213" t="s">
        <v>2085</v>
      </c>
      <c r="G45" s="213" t="s">
        <v>282</v>
      </c>
      <c r="H45" s="213">
        <v>118</v>
      </c>
      <c r="I45" s="213">
        <v>118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MSFT US 03/20/26 C490</v>
      </c>
      <c r="M45" s="214" t="str">
        <f t="shared" si="1"/>
        <v>EQTY.IntlUS.off</v>
      </c>
      <c r="N45" s="215">
        <f t="shared" si="2"/>
        <v>118</v>
      </c>
      <c r="O45" s="215">
        <f t="shared" si="3"/>
        <v>118</v>
      </c>
    </row>
    <row r="46" spans="5:15">
      <c r="E46" s="213" t="s">
        <v>319</v>
      </c>
      <c r="F46" s="213" t="s">
        <v>2084</v>
      </c>
      <c r="G46" s="213" t="s">
        <v>282</v>
      </c>
      <c r="H46" s="213">
        <v>-48</v>
      </c>
      <c r="I46" s="213">
        <v>-71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MSFT US 03/20/26 C515</v>
      </c>
      <c r="M46" s="214" t="str">
        <f t="shared" si="1"/>
        <v>EQTY.IntlUS.off</v>
      </c>
      <c r="N46" s="215">
        <f t="shared" si="2"/>
        <v>-48</v>
      </c>
      <c r="O46" s="215">
        <f t="shared" si="3"/>
        <v>-71</v>
      </c>
    </row>
    <row r="47" spans="5:15">
      <c r="E47" s="213" t="s">
        <v>319</v>
      </c>
      <c r="F47" s="213" t="s">
        <v>2086</v>
      </c>
      <c r="G47" s="213" t="s">
        <v>282</v>
      </c>
      <c r="H47" s="213">
        <v>-46</v>
      </c>
      <c r="I47" s="213">
        <v>-46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MSFT US 03/20/26 P465</v>
      </c>
      <c r="M47" s="214" t="str">
        <f t="shared" si="1"/>
        <v>EQTY.IntlUS.off</v>
      </c>
      <c r="N47" s="215">
        <f t="shared" si="2"/>
        <v>-46</v>
      </c>
      <c r="O47" s="215">
        <f t="shared" si="3"/>
        <v>-46</v>
      </c>
    </row>
    <row r="48" spans="5:15">
      <c r="E48" s="213" t="s">
        <v>318</v>
      </c>
      <c r="F48" s="213" t="s">
        <v>2192</v>
      </c>
      <c r="G48" s="213" t="s">
        <v>282</v>
      </c>
      <c r="H48" s="225">
        <v>1.7564595611308E-13</v>
      </c>
      <c r="I48" s="213">
        <v>-0.01</v>
      </c>
      <c r="K48" s="214" t="str">
        <f t="shared" si="0"/>
        <v>Provisions and Costs</v>
      </c>
      <c r="L48" s="214" t="str">
        <f>IF(E48="","",IF(COUNTIFS(Table2[[#All],[De (Lote)]],Input_APM!F48)&gt;0,INDEX(Table2[[#All],[Para (Ticker Daniel)]],MATCH(Input_APM!F48,Table2[[#All],[De (Lote)]],0)),Input_APM!F48))</f>
        <v>MU DIVIDEND_</v>
      </c>
      <c r="M48" s="214" t="str">
        <f t="shared" si="1"/>
        <v>EQTY.IntlUS.off</v>
      </c>
      <c r="N48" s="215">
        <f t="shared" si="2"/>
        <v>1.7564595611308E-13</v>
      </c>
      <c r="O48" s="215">
        <f t="shared" si="3"/>
        <v>-0.01</v>
      </c>
    </row>
    <row r="49" spans="5:15">
      <c r="E49" s="213" t="s">
        <v>319</v>
      </c>
      <c r="F49" s="213" t="s">
        <v>2133</v>
      </c>
      <c r="G49" s="213" t="s">
        <v>282</v>
      </c>
      <c r="H49" s="213">
        <v>-161</v>
      </c>
      <c r="I49" s="213">
        <v>-161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NFLX US 03/20/26 C104</v>
      </c>
      <c r="M49" s="214" t="str">
        <f t="shared" si="1"/>
        <v>EQTY.IntlUS.off</v>
      </c>
      <c r="N49" s="215">
        <f t="shared" si="2"/>
        <v>-161</v>
      </c>
      <c r="O49" s="215">
        <f t="shared" si="3"/>
        <v>-161</v>
      </c>
    </row>
    <row r="50" spans="5:15">
      <c r="E50" s="213" t="s">
        <v>319</v>
      </c>
      <c r="F50" s="213" t="s">
        <v>2134</v>
      </c>
      <c r="G50" s="213" t="s">
        <v>282</v>
      </c>
      <c r="H50" s="213">
        <v>-239</v>
      </c>
      <c r="I50" s="213">
        <v>-239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NFLX US 03/20/26 P83</v>
      </c>
      <c r="M50" s="214" t="str">
        <f t="shared" si="1"/>
        <v>EQTY.IntlUS.off</v>
      </c>
      <c r="N50" s="215">
        <f t="shared" si="2"/>
        <v>-239</v>
      </c>
      <c r="O50" s="215">
        <f t="shared" si="3"/>
        <v>-239</v>
      </c>
    </row>
    <row r="51" spans="5:15">
      <c r="E51" s="213" t="s">
        <v>319</v>
      </c>
      <c r="F51" s="213" t="s">
        <v>2132</v>
      </c>
      <c r="G51" s="213" t="s">
        <v>282</v>
      </c>
      <c r="H51" s="213">
        <v>159</v>
      </c>
      <c r="I51" s="213">
        <v>159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NFLX US 03/20/26 P92</v>
      </c>
      <c r="M51" s="214" t="str">
        <f t="shared" si="1"/>
        <v>EQTY.IntlUS.off</v>
      </c>
      <c r="N51" s="215">
        <f t="shared" si="2"/>
        <v>159</v>
      </c>
      <c r="O51" s="215">
        <f t="shared" si="3"/>
        <v>159</v>
      </c>
    </row>
    <row r="52" spans="5:15">
      <c r="E52" s="213" t="s">
        <v>317</v>
      </c>
      <c r="F52" s="213" t="s">
        <v>94</v>
      </c>
      <c r="G52" s="213" t="s">
        <v>282</v>
      </c>
      <c r="H52" s="213">
        <v>21414</v>
      </c>
      <c r="I52" s="213">
        <v>21414</v>
      </c>
      <c r="K52" s="214" t="str">
        <f t="shared" si="0"/>
        <v>US Equity</v>
      </c>
      <c r="L52" s="214" t="str">
        <f>IF(E52="","",IF(COUNTIFS(Table2[[#All],[De (Lote)]],Input_APM!F52)&gt;0,INDEX(Table2[[#All],[Para (Ticker Daniel)]],MATCH(Input_APM!F52,Table2[[#All],[De (Lote)]],0)),Input_APM!F52))</f>
        <v>NVDA</v>
      </c>
      <c r="M52" s="214" t="str">
        <f t="shared" si="1"/>
        <v>EQTY.IntlUS.off</v>
      </c>
      <c r="N52" s="215">
        <f t="shared" si="2"/>
        <v>21414</v>
      </c>
      <c r="O52" s="215">
        <f t="shared" si="3"/>
        <v>21414</v>
      </c>
    </row>
    <row r="53" spans="5:15">
      <c r="E53" s="213" t="s">
        <v>318</v>
      </c>
      <c r="F53" s="213" t="s">
        <v>336</v>
      </c>
      <c r="G53" s="213" t="s">
        <v>282</v>
      </c>
      <c r="H53" s="213">
        <v>0</v>
      </c>
      <c r="I53" s="213">
        <v>-38618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ETF Options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-38618</v>
      </c>
    </row>
    <row r="54" spans="5:15">
      <c r="E54" s="213" t="s">
        <v>318</v>
      </c>
      <c r="F54" s="213" t="s">
        <v>306</v>
      </c>
      <c r="G54" s="213" t="s">
        <v>282</v>
      </c>
      <c r="H54" s="213">
        <v>-4092782.72</v>
      </c>
      <c r="I54" s="213">
        <v>-4239625.1100000003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ETF USD_</v>
      </c>
      <c r="M54" s="214" t="str">
        <f t="shared" si="1"/>
        <v>EQTY.IntlUS.off</v>
      </c>
      <c r="N54" s="215">
        <f t="shared" si="2"/>
        <v>-4092782.72</v>
      </c>
      <c r="O54" s="215">
        <f t="shared" si="3"/>
        <v>-4239625.1100000003</v>
      </c>
    </row>
    <row r="55" spans="5:15">
      <c r="E55" s="213" t="s">
        <v>318</v>
      </c>
      <c r="F55" s="213" t="s">
        <v>1666</v>
      </c>
      <c r="G55" s="213" t="s">
        <v>282</v>
      </c>
      <c r="H55" s="213">
        <v>-1190310.02</v>
      </c>
      <c r="I55" s="213">
        <v>1379681.76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NYSE USD_</v>
      </c>
      <c r="M55" s="214" t="str">
        <f t="shared" si="1"/>
        <v>EQTY.IntlUS.off</v>
      </c>
      <c r="N55" s="215">
        <f t="shared" si="2"/>
        <v>-1190310.02</v>
      </c>
      <c r="O55" s="215">
        <f t="shared" si="3"/>
        <v>1379681.76</v>
      </c>
    </row>
    <row r="56" spans="5:15">
      <c r="E56" s="213" t="s">
        <v>318</v>
      </c>
      <c r="F56" s="213" t="s">
        <v>337</v>
      </c>
      <c r="G56" s="213" t="s">
        <v>282</v>
      </c>
      <c r="H56" s="213">
        <v>-20201</v>
      </c>
      <c r="I56" s="213">
        <v>56511</v>
      </c>
      <c r="K56" s="214" t="str">
        <f t="shared" si="0"/>
        <v>Provisions and Costs</v>
      </c>
      <c r="L56" s="214" t="str">
        <f>IF(E56="","",IF(COUNTIFS(Table2[[#All],[De (Lote)]],Input_APM!F56)&gt;0,INDEX(Table2[[#All],[Para (Ticker Daniel)]],MATCH(Input_APM!F56,Table2[[#All],[De (Lote)]],0)),Input_APM!F56))</f>
        <v>Provision US Equity Options USD_</v>
      </c>
      <c r="M56" s="214" t="str">
        <f t="shared" si="1"/>
        <v>EQTY.IntlUS.off</v>
      </c>
      <c r="N56" s="215">
        <f t="shared" si="2"/>
        <v>-20201</v>
      </c>
      <c r="O56" s="215">
        <f t="shared" si="3"/>
        <v>56511</v>
      </c>
    </row>
    <row r="57" spans="5:15">
      <c r="E57" s="213" t="s">
        <v>318</v>
      </c>
      <c r="F57" s="213" t="s">
        <v>307</v>
      </c>
      <c r="G57" s="213" t="s">
        <v>282</v>
      </c>
      <c r="H57" s="213">
        <v>-748845.32</v>
      </c>
      <c r="I57" s="213">
        <v>-1679305.05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US Equity USD_</v>
      </c>
      <c r="M57" s="214" t="str">
        <f t="shared" si="1"/>
        <v>EQTY.IntlUS.off</v>
      </c>
      <c r="N57" s="215">
        <f t="shared" si="2"/>
        <v>-748845.32</v>
      </c>
      <c r="O57" s="215">
        <f t="shared" si="3"/>
        <v>-1679305.05</v>
      </c>
    </row>
    <row r="58" spans="5:15">
      <c r="E58" s="213" t="s">
        <v>320</v>
      </c>
      <c r="F58" s="213" t="s">
        <v>143</v>
      </c>
      <c r="G58" s="213" t="s">
        <v>282</v>
      </c>
      <c r="H58" s="213">
        <v>-9259</v>
      </c>
      <c r="I58" s="213">
        <v>-42995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QQQE</v>
      </c>
      <c r="M58" s="214" t="str">
        <f t="shared" si="1"/>
        <v>EQTY.IntlUS.off</v>
      </c>
      <c r="N58" s="215">
        <f t="shared" si="2"/>
        <v>-9259</v>
      </c>
      <c r="O58" s="215">
        <f t="shared" si="3"/>
        <v>-42995</v>
      </c>
    </row>
    <row r="59" spans="5:15">
      <c r="E59" s="213" t="s">
        <v>317</v>
      </c>
      <c r="F59" s="213" t="s">
        <v>2183</v>
      </c>
      <c r="G59" s="213" t="s">
        <v>282</v>
      </c>
      <c r="H59" s="213">
        <v>20567</v>
      </c>
      <c r="I59" s="213">
        <v>20567</v>
      </c>
      <c r="K59" s="214" t="str">
        <f t="shared" si="0"/>
        <v>US Equity</v>
      </c>
      <c r="L59" s="214" t="str">
        <f>IF(E59="","",IF(COUNTIFS(Table2[[#All],[De (Lote)]],Input_APM!F59)&gt;0,INDEX(Table2[[#All],[Para (Ticker Daniel)]],MATCH(Input_APM!F59,Table2[[#All],[De (Lote)]],0)),Input_APM!F59))</f>
        <v>RIOT</v>
      </c>
      <c r="M59" s="214" t="str">
        <f t="shared" si="1"/>
        <v>EQTY.IntlUS.off</v>
      </c>
      <c r="N59" s="215">
        <f t="shared" si="2"/>
        <v>20567</v>
      </c>
      <c r="O59" s="215">
        <f t="shared" si="3"/>
        <v>20567</v>
      </c>
    </row>
    <row r="60" spans="5:15">
      <c r="E60" s="213" t="s">
        <v>320</v>
      </c>
      <c r="F60" s="213" t="s">
        <v>3</v>
      </c>
      <c r="G60" s="213" t="s">
        <v>282</v>
      </c>
      <c r="H60" s="213">
        <v>-11687</v>
      </c>
      <c r="I60" s="213">
        <v>-11687</v>
      </c>
      <c r="K60" s="214" t="str">
        <f t="shared" si="0"/>
        <v>ETF</v>
      </c>
      <c r="L60" s="214" t="str">
        <f>IF(E60="","",IF(COUNTIFS(Table2[[#All],[De (Lote)]],Input_APM!F60)&gt;0,INDEX(Table2[[#All],[Para (Ticker Daniel)]],MATCH(Input_APM!F60,Table2[[#All],[De (Lote)]],0)),Input_APM!F60))</f>
        <v>RSP</v>
      </c>
      <c r="M60" s="214" t="str">
        <f t="shared" si="1"/>
        <v>EQTY.IntlUS.off</v>
      </c>
      <c r="N60" s="215">
        <f t="shared" si="2"/>
        <v>-11687</v>
      </c>
      <c r="O60" s="215">
        <f t="shared" si="3"/>
        <v>-11687</v>
      </c>
    </row>
    <row r="61" spans="5:15">
      <c r="E61" s="213" t="s">
        <v>320</v>
      </c>
      <c r="F61" s="213" t="s">
        <v>95</v>
      </c>
      <c r="G61" s="213" t="s">
        <v>282</v>
      </c>
      <c r="H61" s="213">
        <v>0</v>
      </c>
      <c r="I61" s="213">
        <v>-1018</v>
      </c>
      <c r="K61" s="214" t="str">
        <f t="shared" si="0"/>
        <v>ETF</v>
      </c>
      <c r="L61" s="214" t="str">
        <f>IF(E61="","",IF(COUNTIFS(Table2[[#All],[De (Lote)]],Input_APM!F61)&gt;0,INDEX(Table2[[#All],[Para (Ticker Daniel)]],MATCH(Input_APM!F61,Table2[[#All],[De (Lote)]],0)),Input_APM!F61))</f>
        <v>SOXX</v>
      </c>
      <c r="M61" s="214" t="str">
        <f t="shared" si="1"/>
        <v>EQTY.IntlUS.off</v>
      </c>
      <c r="N61" s="215">
        <f t="shared" si="2"/>
        <v>0</v>
      </c>
      <c r="O61" s="215">
        <f t="shared" si="3"/>
        <v>-1018</v>
      </c>
    </row>
    <row r="62" spans="5:15">
      <c r="E62" s="213" t="s">
        <v>318</v>
      </c>
      <c r="F62" s="213" t="s">
        <v>2175</v>
      </c>
      <c r="G62" s="213" t="s">
        <v>283</v>
      </c>
      <c r="H62" s="213">
        <v>-0.01</v>
      </c>
      <c r="I62" s="213">
        <v>-0.01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SPY DIVIDEND_</v>
      </c>
      <c r="M62" s="214" t="str">
        <f t="shared" si="1"/>
        <v>EQTY.InternacionalUS2.off</v>
      </c>
      <c r="N62" s="215">
        <f t="shared" si="2"/>
        <v>-0.01</v>
      </c>
      <c r="O62" s="215">
        <f t="shared" si="3"/>
        <v>-0.01</v>
      </c>
    </row>
    <row r="63" spans="5:15">
      <c r="E63" s="213" t="s">
        <v>318</v>
      </c>
      <c r="F63" s="213" t="s">
        <v>2175</v>
      </c>
      <c r="G63" s="213" t="s">
        <v>282</v>
      </c>
      <c r="H63" s="213">
        <v>0.01</v>
      </c>
      <c r="I63" s="213">
        <v>0.01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SPY DIVIDEND_</v>
      </c>
      <c r="M63" s="214" t="str">
        <f t="shared" si="1"/>
        <v>EQTY.IntlUS.off</v>
      </c>
      <c r="N63" s="215">
        <f t="shared" si="2"/>
        <v>0.01</v>
      </c>
      <c r="O63" s="215">
        <f t="shared" si="3"/>
        <v>0.01</v>
      </c>
    </row>
    <row r="64" spans="5:15">
      <c r="E64" s="213" t="s">
        <v>2185</v>
      </c>
      <c r="F64" s="213" t="s">
        <v>2186</v>
      </c>
      <c r="G64" s="213" t="s">
        <v>282</v>
      </c>
      <c r="H64" s="213">
        <v>1400</v>
      </c>
      <c r="I64" s="213">
        <v>1400</v>
      </c>
      <c r="K64" s="214" t="str">
        <f t="shared" si="0"/>
        <v>Equity Total Return Swap</v>
      </c>
      <c r="L64" s="214" t="str">
        <f>IF(E64="","",IF(COUNTIFS(Table2[[#All],[De (Lote)]],Input_APM!F64)&gt;0,INDEX(Table2[[#All],[Para (Ticker Daniel)]],MATCH(Input_APM!F64,Table2[[#All],[De (Lote)]],0)),Input_APM!F64))</f>
        <v>000660 KS</v>
      </c>
      <c r="M64" s="214" t="str">
        <f t="shared" si="1"/>
        <v>EQTY.IntlUS.off</v>
      </c>
      <c r="N64" s="215">
        <f t="shared" si="2"/>
        <v>1400</v>
      </c>
      <c r="O64" s="215">
        <f t="shared" si="3"/>
        <v>1400</v>
      </c>
    </row>
    <row r="65" spans="5:15">
      <c r="E65" s="213" t="s">
        <v>39</v>
      </c>
      <c r="F65" s="213" t="s">
        <v>96</v>
      </c>
      <c r="G65" s="213" t="s">
        <v>282</v>
      </c>
      <c r="H65" s="213">
        <v>0</v>
      </c>
      <c r="I65" s="213">
        <v>-4030</v>
      </c>
      <c r="K65" s="214" t="str">
        <f t="shared" si="0"/>
        <v>ADR</v>
      </c>
      <c r="L65" s="214" t="str">
        <f>IF(E65="","",IF(COUNTIFS(Table2[[#All],[De (Lote)]],Input_APM!F65)&gt;0,INDEX(Table2[[#All],[Para (Ticker Daniel)]],MATCH(Input_APM!F65,Table2[[#All],[De (Lote)]],0)),Input_APM!F65))</f>
        <v>TSM</v>
      </c>
      <c r="M65" s="214" t="str">
        <f t="shared" si="1"/>
        <v>EQTY.IntlUS.off</v>
      </c>
      <c r="N65" s="215">
        <f t="shared" si="2"/>
        <v>0</v>
      </c>
      <c r="O65" s="215">
        <f t="shared" si="3"/>
        <v>-4030</v>
      </c>
    </row>
    <row r="66" spans="5:15">
      <c r="E66" s="213" t="s">
        <v>327</v>
      </c>
      <c r="F66" s="213" t="s">
        <v>2060</v>
      </c>
      <c r="G66" s="213" t="s">
        <v>282</v>
      </c>
      <c r="H66" s="213">
        <v>0</v>
      </c>
      <c r="I66" s="213">
        <v>47</v>
      </c>
      <c r="K66" s="214" t="str">
        <f t="shared" si="0"/>
        <v>ADR Options</v>
      </c>
      <c r="L66" s="214" t="str">
        <f>IF(E66="","",IF(COUNTIFS(Table2[[#All],[De (Lote)]],Input_APM!F66)&gt;0,INDEX(Table2[[#All],[Para (Ticker Daniel)]],MATCH(Input_APM!F66,Table2[[#All],[De (Lote)]],0)),Input_APM!F66))</f>
        <v>TSM US 01/16/26 C300</v>
      </c>
      <c r="M66" s="214" t="str">
        <f t="shared" si="1"/>
        <v>EQTY.IntlUS.off</v>
      </c>
      <c r="N66" s="215">
        <f t="shared" si="2"/>
        <v>0</v>
      </c>
      <c r="O66" s="215">
        <f t="shared" si="3"/>
        <v>47</v>
      </c>
    </row>
    <row r="67" spans="5:15">
      <c r="E67" s="213" t="s">
        <v>327</v>
      </c>
      <c r="F67" s="213" t="s">
        <v>2353</v>
      </c>
      <c r="G67" s="213" t="s">
        <v>282</v>
      </c>
      <c r="H67" s="213">
        <v>-94</v>
      </c>
      <c r="I67" s="213">
        <v>0</v>
      </c>
      <c r="K67" s="214" t="str">
        <f t="shared" ref="K67:K130" si="4">IF(E67="","",E67)</f>
        <v>ADR Options</v>
      </c>
      <c r="L67" s="214" t="str">
        <f>IF(E67="","",IF(COUNTIFS(Table2[[#All],[De (Lote)]],Input_APM!F67)&gt;0,INDEX(Table2[[#All],[Para (Ticker Daniel)]],MATCH(Input_APM!F67,Table2[[#All],[De (Lote)]],0)),Input_APM!F67))</f>
        <v>TSM US 01/16/26 C335</v>
      </c>
      <c r="M67" s="214" t="str">
        <f t="shared" ref="M67:M130" si="5">IF(E67="","",G67)</f>
        <v>EQTY.IntlUS.off</v>
      </c>
      <c r="N67" s="215">
        <f t="shared" ref="N67:N130" si="6">IF(E67="","",H67)</f>
        <v>-94</v>
      </c>
      <c r="O67" s="215">
        <f t="shared" ref="O67:O130" si="7">IF(E67="","",I67)</f>
        <v>0</v>
      </c>
    </row>
    <row r="68" spans="5:15">
      <c r="E68" s="213" t="s">
        <v>327</v>
      </c>
      <c r="F68" s="213" t="s">
        <v>2354</v>
      </c>
      <c r="G68" s="213" t="s">
        <v>282</v>
      </c>
      <c r="H68" s="213">
        <v>-94</v>
      </c>
      <c r="I68" s="213">
        <v>0</v>
      </c>
      <c r="K68" s="214" t="str">
        <f t="shared" si="4"/>
        <v>ADR Options</v>
      </c>
      <c r="L68" s="214" t="str">
        <f>IF(E68="","",IF(COUNTIFS(Table2[[#All],[De (Lote)]],Input_APM!F68)&gt;0,INDEX(Table2[[#All],[Para (Ticker Daniel)]],MATCH(Input_APM!F68,Table2[[#All],[De (Lote)]],0)),Input_APM!F68))</f>
        <v>TSM US 01/16/26 P315</v>
      </c>
      <c r="M68" s="214" t="str">
        <f t="shared" si="5"/>
        <v>EQTY.IntlUS.off</v>
      </c>
      <c r="N68" s="215">
        <f t="shared" si="6"/>
        <v>-94</v>
      </c>
      <c r="O68" s="215">
        <f t="shared" si="7"/>
        <v>0</v>
      </c>
    </row>
    <row r="69" spans="5:15">
      <c r="E69" s="213" t="s">
        <v>327</v>
      </c>
      <c r="F69" s="213" t="s">
        <v>2352</v>
      </c>
      <c r="G69" s="213" t="s">
        <v>282</v>
      </c>
      <c r="H69" s="213">
        <v>94</v>
      </c>
      <c r="I69" s="213">
        <v>0</v>
      </c>
      <c r="K69" s="214" t="str">
        <f t="shared" si="4"/>
        <v>ADR Options</v>
      </c>
      <c r="L69" s="214" t="str">
        <f>IF(E69="","",IF(COUNTIFS(Table2[[#All],[De (Lote)]],Input_APM!F69)&gt;0,INDEX(Table2[[#All],[Para (Ticker Daniel)]],MATCH(Input_APM!F69,Table2[[#All],[De (Lote)]],0)),Input_APM!F69))</f>
        <v>TSM US 01/16/26 P325</v>
      </c>
      <c r="M69" s="214" t="str">
        <f t="shared" si="5"/>
        <v>EQTY.IntlUS.off</v>
      </c>
      <c r="N69" s="215">
        <f t="shared" si="6"/>
        <v>94</v>
      </c>
      <c r="O69" s="215">
        <f t="shared" si="7"/>
        <v>0</v>
      </c>
    </row>
    <row r="70" spans="5:15">
      <c r="E70" s="213" t="s">
        <v>327</v>
      </c>
      <c r="F70" s="213" t="s">
        <v>2141</v>
      </c>
      <c r="G70" s="213" t="s">
        <v>282</v>
      </c>
      <c r="H70" s="213">
        <v>397</v>
      </c>
      <c r="I70" s="213">
        <v>397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03/20/26 C300</v>
      </c>
      <c r="M70" s="214" t="str">
        <f t="shared" si="5"/>
        <v>EQTY.IntlUS.off</v>
      </c>
      <c r="N70" s="215">
        <f t="shared" si="6"/>
        <v>397</v>
      </c>
      <c r="O70" s="215">
        <f t="shared" si="7"/>
        <v>397</v>
      </c>
    </row>
    <row r="71" spans="5:15">
      <c r="E71" s="213" t="s">
        <v>327</v>
      </c>
      <c r="F71" s="213" t="s">
        <v>2142</v>
      </c>
      <c r="G71" s="213" t="s">
        <v>282</v>
      </c>
      <c r="H71" s="213">
        <v>-351</v>
      </c>
      <c r="I71" s="213">
        <v>-351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03/20/26 C330</v>
      </c>
      <c r="M71" s="214" t="str">
        <f t="shared" si="5"/>
        <v>EQTY.IntlUS.off</v>
      </c>
      <c r="N71" s="215">
        <f t="shared" si="6"/>
        <v>-351</v>
      </c>
      <c r="O71" s="215">
        <f t="shared" si="7"/>
        <v>-351</v>
      </c>
    </row>
    <row r="72" spans="5:15">
      <c r="E72" s="213" t="s">
        <v>327</v>
      </c>
      <c r="F72" s="213" t="s">
        <v>2331</v>
      </c>
      <c r="G72" s="213" t="s">
        <v>282</v>
      </c>
      <c r="H72" s="213">
        <v>493</v>
      </c>
      <c r="I72" s="213">
        <v>493</v>
      </c>
      <c r="K72" s="214" t="str">
        <f t="shared" si="4"/>
        <v>ADR Options</v>
      </c>
      <c r="L72" s="214" t="str">
        <f>IF(E72="","",IF(COUNTIFS(Table2[[#All],[De (Lote)]],Input_APM!F72)&gt;0,INDEX(Table2[[#All],[Para (Ticker Daniel)]],MATCH(Input_APM!F72,Table2[[#All],[De (Lote)]],0)),Input_APM!F72))</f>
        <v>TSM US 06/18/26 C340</v>
      </c>
      <c r="M72" s="214" t="str">
        <f t="shared" si="5"/>
        <v>EQTY.IntlUS.off</v>
      </c>
      <c r="N72" s="215">
        <f t="shared" si="6"/>
        <v>493</v>
      </c>
      <c r="O72" s="215">
        <f t="shared" si="7"/>
        <v>493</v>
      </c>
    </row>
    <row r="73" spans="5:15">
      <c r="E73" s="213" t="s">
        <v>327</v>
      </c>
      <c r="F73" s="213" t="s">
        <v>2332</v>
      </c>
      <c r="G73" s="213" t="s">
        <v>282</v>
      </c>
      <c r="H73" s="213">
        <v>-493</v>
      </c>
      <c r="I73" s="213">
        <v>-493</v>
      </c>
      <c r="K73" s="214" t="str">
        <f t="shared" si="4"/>
        <v>ADR Options</v>
      </c>
      <c r="L73" s="214" t="str">
        <f>IF(E73="","",IF(COUNTIFS(Table2[[#All],[De (Lote)]],Input_APM!F73)&gt;0,INDEX(Table2[[#All],[Para (Ticker Daniel)]],MATCH(Input_APM!F73,Table2[[#All],[De (Lote)]],0)),Input_APM!F73))</f>
        <v>TSM US 06/18/26 C380</v>
      </c>
      <c r="M73" s="214" t="str">
        <f t="shared" si="5"/>
        <v>EQTY.IntlUS.off</v>
      </c>
      <c r="N73" s="215">
        <f t="shared" si="6"/>
        <v>-493</v>
      </c>
      <c r="O73" s="215">
        <f t="shared" si="7"/>
        <v>-493</v>
      </c>
    </row>
    <row r="74" spans="5:15">
      <c r="E74" s="213" t="s">
        <v>317</v>
      </c>
      <c r="F74" s="213" t="s">
        <v>87</v>
      </c>
      <c r="G74" s="213" t="s">
        <v>282</v>
      </c>
      <c r="H74" s="213">
        <v>3280</v>
      </c>
      <c r="I74" s="213">
        <v>3280</v>
      </c>
      <c r="K74" s="214" t="str">
        <f t="shared" si="4"/>
        <v>US Equity</v>
      </c>
      <c r="L74" s="214" t="str">
        <f>IF(E74="","",IF(COUNTIFS(Table2[[#All],[De (Lote)]],Input_APM!F74)&gt;0,INDEX(Table2[[#All],[Para (Ticker Daniel)]],MATCH(Input_APM!F74,Table2[[#All],[De (Lote)]],0)),Input_APM!F74))</f>
        <v>V</v>
      </c>
      <c r="M74" s="214" t="str">
        <f t="shared" si="5"/>
        <v>EQTY.IntlUS.off</v>
      </c>
      <c r="N74" s="215">
        <f t="shared" si="6"/>
        <v>3280</v>
      </c>
      <c r="O74" s="215">
        <f t="shared" si="7"/>
        <v>3280</v>
      </c>
    </row>
    <row r="75" spans="5:15">
      <c r="E75" s="213" t="s">
        <v>317</v>
      </c>
      <c r="F75" s="213" t="s">
        <v>2100</v>
      </c>
      <c r="G75" s="213" t="s">
        <v>282</v>
      </c>
      <c r="H75" s="213">
        <v>0</v>
      </c>
      <c r="I75" s="213">
        <v>2777</v>
      </c>
      <c r="K75" s="214" t="str">
        <f t="shared" si="4"/>
        <v>US Equity</v>
      </c>
      <c r="L75" s="214" t="str">
        <f>IF(E75="","",IF(COUNTIFS(Table2[[#All],[De (Lote)]],Input_APM!F75)&gt;0,INDEX(Table2[[#All],[Para (Ticker Daniel)]],MATCH(Input_APM!F75,Table2[[#All],[De (Lote)]],0)),Input_APM!F75))</f>
        <v>WBD</v>
      </c>
      <c r="M75" s="214" t="str">
        <f t="shared" si="5"/>
        <v>EQTY.IntlUS.off</v>
      </c>
      <c r="N75" s="215">
        <f t="shared" si="6"/>
        <v>0</v>
      </c>
      <c r="O75" s="215">
        <f t="shared" si="7"/>
        <v>2777</v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5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2.85546875" style="213" bestFit="1" customWidth="1"/>
    <col min="12" max="12" width="30.285156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2361</v>
      </c>
      <c r="G2" s="213" t="s">
        <v>282</v>
      </c>
      <c r="H2" s="213">
        <v>0</v>
      </c>
      <c r="I2" s="213">
        <v>0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AMAT</v>
      </c>
      <c r="M2" s="214" t="str">
        <f>IF(E2="","",G2)</f>
        <v>EQTY.IntlUS.off</v>
      </c>
      <c r="N2" s="215">
        <f>IF(E2="","",H2)</f>
        <v>0</v>
      </c>
      <c r="O2" s="215">
        <f>IF(E2="","",I2)</f>
        <v>0</v>
      </c>
    </row>
    <row r="3" spans="5:15">
      <c r="E3" s="213" t="s">
        <v>319</v>
      </c>
      <c r="F3" s="213" t="s">
        <v>2357</v>
      </c>
      <c r="G3" s="213" t="s">
        <v>282</v>
      </c>
      <c r="H3" s="213">
        <v>-8</v>
      </c>
      <c r="I3" s="213">
        <v>0</v>
      </c>
      <c r="K3" s="214" t="str">
        <f t="shared" ref="K3:K66" si="0">IF(E3="","",E3)</f>
        <v>US Equity Options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AMAT US 01/23/26 P280</v>
      </c>
      <c r="M3" s="214" t="str">
        <f t="shared" ref="M3:M66" si="1">IF(E3="","",G3)</f>
        <v>EQTY.IntlUS.off</v>
      </c>
      <c r="N3" s="215">
        <f t="shared" ref="N3:N66" si="2">IF(E3="","",H3)</f>
        <v>-8</v>
      </c>
      <c r="O3" s="215">
        <f t="shared" ref="O3:O66" si="3">IF(E3="","",I3)</f>
        <v>0</v>
      </c>
    </row>
    <row r="4" spans="5:15">
      <c r="E4" s="213" t="s">
        <v>319</v>
      </c>
      <c r="F4" s="213" t="s">
        <v>2358</v>
      </c>
      <c r="G4" s="213" t="s">
        <v>282</v>
      </c>
      <c r="H4" s="213">
        <v>8</v>
      </c>
      <c r="I4" s="213">
        <v>0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AMAT US 01/23/26 P290</v>
      </c>
      <c r="M4" s="214" t="str">
        <f t="shared" si="1"/>
        <v>EQTY.IntlUS.off</v>
      </c>
      <c r="N4" s="215">
        <f t="shared" si="2"/>
        <v>8</v>
      </c>
      <c r="O4" s="215">
        <f t="shared" si="3"/>
        <v>0</v>
      </c>
    </row>
    <row r="5" spans="5:15">
      <c r="E5" s="213" t="s">
        <v>317</v>
      </c>
      <c r="F5" s="213" t="s">
        <v>399</v>
      </c>
      <c r="G5" s="213" t="s">
        <v>282</v>
      </c>
      <c r="H5" s="213">
        <v>1039</v>
      </c>
      <c r="I5" s="213">
        <v>1039</v>
      </c>
      <c r="K5" s="214" t="str">
        <f t="shared" si="0"/>
        <v>US Equity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AMZN</v>
      </c>
      <c r="M5" s="214" t="str">
        <f t="shared" si="1"/>
        <v>EQTY.IntlUS.off</v>
      </c>
      <c r="N5" s="215">
        <f t="shared" si="2"/>
        <v>1039</v>
      </c>
      <c r="O5" s="215">
        <f t="shared" si="3"/>
        <v>1039</v>
      </c>
    </row>
    <row r="6" spans="5:15">
      <c r="E6" s="213" t="s">
        <v>324</v>
      </c>
      <c r="F6" s="213" t="s">
        <v>2330</v>
      </c>
      <c r="G6" s="213" t="s">
        <v>282</v>
      </c>
      <c r="H6" s="213">
        <v>95</v>
      </c>
      <c r="I6" s="213">
        <v>95</v>
      </c>
      <c r="K6" s="214" t="str">
        <f t="shared" si="0"/>
        <v>ETF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ASHR US 02/20/26 C35</v>
      </c>
      <c r="M6" s="214" t="str">
        <f t="shared" si="1"/>
        <v>EQTY.IntlUS.off</v>
      </c>
      <c r="N6" s="215">
        <f t="shared" si="2"/>
        <v>95</v>
      </c>
      <c r="O6" s="215">
        <f t="shared" si="3"/>
        <v>95</v>
      </c>
    </row>
    <row r="7" spans="5:15">
      <c r="E7" s="213" t="s">
        <v>317</v>
      </c>
      <c r="F7" s="213" t="s">
        <v>137</v>
      </c>
      <c r="G7" s="213" t="s">
        <v>282</v>
      </c>
      <c r="H7" s="213">
        <v>282</v>
      </c>
      <c r="I7" s="213">
        <v>149</v>
      </c>
      <c r="K7" s="214" t="str">
        <f t="shared" si="0"/>
        <v>US Equity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AVGO</v>
      </c>
      <c r="M7" s="214" t="str">
        <f t="shared" si="1"/>
        <v>EQTY.IntlUS.off</v>
      </c>
      <c r="N7" s="215">
        <f t="shared" si="2"/>
        <v>282</v>
      </c>
      <c r="O7" s="215">
        <f t="shared" si="3"/>
        <v>149</v>
      </c>
    </row>
    <row r="8" spans="5:15">
      <c r="E8" s="213" t="s">
        <v>319</v>
      </c>
      <c r="F8" s="213" t="s">
        <v>2152</v>
      </c>
      <c r="G8" s="213" t="s">
        <v>282</v>
      </c>
      <c r="H8" s="213">
        <v>2</v>
      </c>
      <c r="I8" s="213">
        <v>2</v>
      </c>
      <c r="K8" s="214" t="str">
        <f t="shared" si="0"/>
        <v>US Equity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AVGO US 06/18/26 C350</v>
      </c>
      <c r="M8" s="214" t="str">
        <f t="shared" si="1"/>
        <v>EQTY.IntlUS.off</v>
      </c>
      <c r="N8" s="215">
        <f t="shared" si="2"/>
        <v>2</v>
      </c>
      <c r="O8" s="215">
        <f t="shared" si="3"/>
        <v>2</v>
      </c>
    </row>
    <row r="9" spans="5:15">
      <c r="E9" s="213" t="s">
        <v>319</v>
      </c>
      <c r="F9" s="213" t="s">
        <v>2154</v>
      </c>
      <c r="G9" s="213" t="s">
        <v>282</v>
      </c>
      <c r="H9" s="213">
        <v>-2</v>
      </c>
      <c r="I9" s="213">
        <v>-2</v>
      </c>
      <c r="K9" s="214" t="str">
        <f t="shared" si="0"/>
        <v>US Equity Options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 US 06/18/26 C410</v>
      </c>
      <c r="M9" s="214" t="str">
        <f t="shared" si="1"/>
        <v>EQTY.IntlUS.off</v>
      </c>
      <c r="N9" s="215">
        <f t="shared" si="2"/>
        <v>-2</v>
      </c>
      <c r="O9" s="215">
        <f t="shared" si="3"/>
        <v>-2</v>
      </c>
    </row>
    <row r="10" spans="5:15">
      <c r="E10" s="213" t="s">
        <v>39</v>
      </c>
      <c r="F10" s="213" t="s">
        <v>461</v>
      </c>
      <c r="G10" s="213" t="s">
        <v>282</v>
      </c>
      <c r="H10" s="213">
        <v>215</v>
      </c>
      <c r="I10" s="213">
        <v>215</v>
      </c>
      <c r="K10" s="214" t="str">
        <f t="shared" si="0"/>
        <v>ADR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BABA</v>
      </c>
      <c r="M10" s="214" t="str">
        <f t="shared" si="1"/>
        <v>EQTY.IntlUS.off</v>
      </c>
      <c r="N10" s="215">
        <f t="shared" si="2"/>
        <v>215</v>
      </c>
      <c r="O10" s="215">
        <f t="shared" si="3"/>
        <v>215</v>
      </c>
    </row>
    <row r="11" spans="5:15">
      <c r="E11" s="213" t="s">
        <v>39</v>
      </c>
      <c r="F11" s="213" t="s">
        <v>2209</v>
      </c>
      <c r="G11" s="213" t="s">
        <v>282</v>
      </c>
      <c r="H11" s="213">
        <v>225</v>
      </c>
      <c r="I11" s="213">
        <v>225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BIDU</v>
      </c>
      <c r="M11" s="214" t="str">
        <f t="shared" si="1"/>
        <v>EQTY.IntlUS.off</v>
      </c>
      <c r="N11" s="215">
        <f t="shared" si="2"/>
        <v>225</v>
      </c>
      <c r="O11" s="215">
        <f t="shared" si="3"/>
        <v>225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0.05</v>
      </c>
      <c r="I12" s="213">
        <v>0.05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CAD</v>
      </c>
      <c r="M12" s="214" t="str">
        <f t="shared" si="1"/>
        <v>EQTY.IntlUS.off</v>
      </c>
      <c r="N12" s="215">
        <f t="shared" si="2"/>
        <v>0.05</v>
      </c>
      <c r="O12" s="215">
        <f t="shared" si="3"/>
        <v>0.05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0.49</v>
      </c>
      <c r="I13" s="213">
        <v>0.49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214" t="str">
        <f t="shared" si="1"/>
        <v>EQTY.InternacionalUS2.off</v>
      </c>
      <c r="N13" s="215">
        <f t="shared" si="2"/>
        <v>0.49</v>
      </c>
      <c r="O13" s="215">
        <f t="shared" si="3"/>
        <v>0.49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-2610.69</v>
      </c>
      <c r="I14" s="213">
        <v>-2610.69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EQTY.IntlUS.off</v>
      </c>
      <c r="N14" s="215">
        <f t="shared" si="2"/>
        <v>-2610.69</v>
      </c>
      <c r="O14" s="215">
        <f t="shared" si="3"/>
        <v>-2610.69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0.16</v>
      </c>
      <c r="I15" s="213">
        <v>0.16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CNH</v>
      </c>
      <c r="M15" s="214" t="str">
        <f t="shared" si="1"/>
        <v>EQTY.IntlUS.off</v>
      </c>
      <c r="N15" s="215">
        <f t="shared" si="2"/>
        <v>0.16</v>
      </c>
      <c r="O15" s="215">
        <f t="shared" si="3"/>
        <v>0.16</v>
      </c>
    </row>
    <row r="16" spans="5:15">
      <c r="E16" s="213" t="s">
        <v>321</v>
      </c>
      <c r="F16" s="213" t="s">
        <v>2174</v>
      </c>
      <c r="G16" s="213" t="s">
        <v>283</v>
      </c>
      <c r="H16" s="213">
        <v>-0.21</v>
      </c>
      <c r="I16" s="213">
        <v>-0.21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214" t="str">
        <f t="shared" si="1"/>
        <v>EQTY.InternacionalUS2.off</v>
      </c>
      <c r="N16" s="215">
        <f t="shared" si="2"/>
        <v>-0.21</v>
      </c>
      <c r="O16" s="215">
        <f t="shared" si="3"/>
        <v>-0.21</v>
      </c>
    </row>
    <row r="17" spans="5:15">
      <c r="E17" s="213" t="s">
        <v>321</v>
      </c>
      <c r="F17" s="213" t="s">
        <v>2174</v>
      </c>
      <c r="G17" s="213" t="s">
        <v>282</v>
      </c>
      <c r="H17" s="213">
        <v>-10000.790000000001</v>
      </c>
      <c r="I17" s="213">
        <v>-10000.790000000001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EQTY.IntlUS.off</v>
      </c>
      <c r="N17" s="215">
        <f t="shared" si="2"/>
        <v>-10000.790000000001</v>
      </c>
      <c r="O17" s="215">
        <f t="shared" si="3"/>
        <v>-10000.790000000001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0.47</v>
      </c>
      <c r="I18" s="213">
        <v>0.47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214" t="str">
        <f t="shared" si="1"/>
        <v>EQTY.InternacionalUS2.off</v>
      </c>
      <c r="N18" s="215">
        <f t="shared" si="2"/>
        <v>0.47</v>
      </c>
      <c r="O18" s="215">
        <f t="shared" si="3"/>
        <v>0.47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3360.55</v>
      </c>
      <c r="I19" s="213">
        <v>3360.55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EQTY.IntlUS.off</v>
      </c>
      <c r="N19" s="215">
        <f t="shared" si="2"/>
        <v>3360.55</v>
      </c>
      <c r="O19" s="215">
        <f t="shared" si="3"/>
        <v>3360.55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0.82</v>
      </c>
      <c r="I20" s="213">
        <v>0.82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GBP</v>
      </c>
      <c r="M20" s="214" t="str">
        <f t="shared" si="1"/>
        <v>EQTY.IntlUS.off</v>
      </c>
      <c r="N20" s="215">
        <f t="shared" si="2"/>
        <v>0.82</v>
      </c>
      <c r="O20" s="215">
        <f t="shared" si="3"/>
        <v>0.82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-0.06</v>
      </c>
      <c r="I21" s="213">
        <v>-0.06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214" t="str">
        <f t="shared" si="1"/>
        <v>EQTY.InternacionalUS2.off</v>
      </c>
      <c r="N21" s="215">
        <f t="shared" si="2"/>
        <v>-0.06</v>
      </c>
      <c r="O21" s="215">
        <f t="shared" si="3"/>
        <v>-0.06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-17957.060000000001</v>
      </c>
      <c r="I22" s="213">
        <v>-17957.060000000001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EQTY.IntlUS.off</v>
      </c>
      <c r="N22" s="215">
        <f t="shared" si="2"/>
        <v>-17957.060000000001</v>
      </c>
      <c r="O22" s="215">
        <f t="shared" si="3"/>
        <v>-17957.060000000001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-0.01</v>
      </c>
      <c r="I23" s="213">
        <v>-0.01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KRW</v>
      </c>
      <c r="M23" s="214" t="str">
        <f t="shared" si="1"/>
        <v>EQTY.IntlUS.off</v>
      </c>
      <c r="N23" s="215">
        <f t="shared" si="2"/>
        <v>-0.01</v>
      </c>
      <c r="O23" s="215">
        <f t="shared" si="3"/>
        <v>-0.01</v>
      </c>
    </row>
    <row r="24" spans="5:15">
      <c r="E24" s="213" t="s">
        <v>321</v>
      </c>
      <c r="F24" s="213" t="s">
        <v>302</v>
      </c>
      <c r="G24" s="213" t="s">
        <v>283</v>
      </c>
      <c r="H24" s="213">
        <v>-1.9999999999996E-2</v>
      </c>
      <c r="I24" s="213">
        <v>0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USD</v>
      </c>
      <c r="M24" s="214" t="str">
        <f t="shared" si="1"/>
        <v>EQTY.InternacionalUS2.off</v>
      </c>
      <c r="N24" s="215">
        <f t="shared" si="2"/>
        <v>-1.9999999999996E-2</v>
      </c>
      <c r="O24" s="215">
        <f t="shared" si="3"/>
        <v>0</v>
      </c>
    </row>
    <row r="25" spans="5:15">
      <c r="E25" s="213" t="s">
        <v>321</v>
      </c>
      <c r="F25" s="213" t="s">
        <v>302</v>
      </c>
      <c r="G25" s="213" t="s">
        <v>282</v>
      </c>
      <c r="H25" s="213">
        <v>-337449.53614409</v>
      </c>
      <c r="I25" s="213">
        <v>3.8559100000000002E-3</v>
      </c>
      <c r="K25" s="214" t="str">
        <f t="shared" si="0"/>
        <v>Cash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Cash USD</v>
      </c>
      <c r="M25" s="214" t="str">
        <f t="shared" si="1"/>
        <v>EQTY.IntlUS.off</v>
      </c>
      <c r="N25" s="215">
        <f t="shared" si="2"/>
        <v>-337449.53614409</v>
      </c>
      <c r="O25" s="215">
        <f t="shared" si="3"/>
        <v>3.8559100000000002E-3</v>
      </c>
    </row>
    <row r="26" spans="5:15">
      <c r="E26" s="213" t="s">
        <v>477</v>
      </c>
      <c r="F26" s="213" t="s">
        <v>1915</v>
      </c>
      <c r="G26" s="213" t="s">
        <v>282</v>
      </c>
      <c r="H26" s="213">
        <v>375000</v>
      </c>
      <c r="I26" s="213">
        <v>375000</v>
      </c>
      <c r="K26" s="214" t="str">
        <f t="shared" si="0"/>
        <v>CDS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CHINAGOV 12/20/30</v>
      </c>
      <c r="M26" s="214" t="str">
        <f t="shared" si="1"/>
        <v>EQTY.IntlUS.off</v>
      </c>
      <c r="N26" s="215">
        <f t="shared" si="2"/>
        <v>375000</v>
      </c>
      <c r="O26" s="215">
        <f t="shared" si="3"/>
        <v>375000</v>
      </c>
    </row>
    <row r="27" spans="5:15">
      <c r="E27" s="213" t="s">
        <v>317</v>
      </c>
      <c r="F27" s="213" t="s">
        <v>2210</v>
      </c>
      <c r="G27" s="213" t="s">
        <v>282</v>
      </c>
      <c r="H27" s="213">
        <v>197</v>
      </c>
      <c r="I27" s="213">
        <v>197</v>
      </c>
      <c r="K27" s="214" t="str">
        <f t="shared" si="0"/>
        <v>US Equity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COHR</v>
      </c>
      <c r="M27" s="214" t="str">
        <f t="shared" si="1"/>
        <v>EQTY.IntlUS.off</v>
      </c>
      <c r="N27" s="215">
        <f t="shared" si="2"/>
        <v>197</v>
      </c>
      <c r="O27" s="215">
        <f t="shared" si="3"/>
        <v>197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2849</v>
      </c>
      <c r="I28" s="213">
        <v>2849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EWY</v>
      </c>
      <c r="M28" s="214" t="str">
        <f t="shared" si="1"/>
        <v>EQTY.IntlUS.off</v>
      </c>
      <c r="N28" s="215">
        <f t="shared" si="2"/>
        <v>2849</v>
      </c>
      <c r="O28" s="215">
        <f t="shared" si="3"/>
        <v>2849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1779</v>
      </c>
      <c r="I29" s="213">
        <v>1603</v>
      </c>
      <c r="K29" s="214" t="str">
        <f t="shared" si="0"/>
        <v>ETF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 xml:space="preserve">GDX </v>
      </c>
      <c r="M29" s="214" t="str">
        <f t="shared" si="1"/>
        <v>EQTY.IntlUS.off</v>
      </c>
      <c r="N29" s="215">
        <f t="shared" si="2"/>
        <v>1779</v>
      </c>
      <c r="O29" s="215">
        <f t="shared" si="3"/>
        <v>1603</v>
      </c>
    </row>
    <row r="30" spans="5:15">
      <c r="E30" s="213" t="s">
        <v>317</v>
      </c>
      <c r="F30" s="213" t="s">
        <v>2218</v>
      </c>
      <c r="G30" s="213" t="s">
        <v>282</v>
      </c>
      <c r="H30" s="213">
        <v>112</v>
      </c>
      <c r="I30" s="213">
        <v>112</v>
      </c>
      <c r="K30" s="214" t="str">
        <f t="shared" si="0"/>
        <v>US Equity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GOOG</v>
      </c>
      <c r="M30" s="214" t="str">
        <f t="shared" si="1"/>
        <v>EQTY.IntlUS.off</v>
      </c>
      <c r="N30" s="215">
        <f t="shared" si="2"/>
        <v>112</v>
      </c>
      <c r="O30" s="215">
        <f t="shared" si="3"/>
        <v>112</v>
      </c>
    </row>
    <row r="31" spans="5:15">
      <c r="E31" s="213" t="s">
        <v>325</v>
      </c>
      <c r="F31" s="213" t="s">
        <v>1899</v>
      </c>
      <c r="G31" s="213" t="s">
        <v>282</v>
      </c>
      <c r="H31" s="213">
        <v>19314</v>
      </c>
      <c r="I31" s="213">
        <v>19314</v>
      </c>
      <c r="K31" s="214" t="str">
        <f t="shared" si="0"/>
        <v>Basket Index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GSC1000P 03/20/26 C104</v>
      </c>
      <c r="M31" s="214" t="str">
        <f t="shared" si="1"/>
        <v>EQTY.IntlUS.off</v>
      </c>
      <c r="N31" s="215">
        <f t="shared" si="2"/>
        <v>19314</v>
      </c>
      <c r="O31" s="215">
        <f t="shared" si="3"/>
        <v>19314</v>
      </c>
    </row>
    <row r="32" spans="5:15">
      <c r="E32" s="213" t="s">
        <v>325</v>
      </c>
      <c r="F32" s="213" t="s">
        <v>1900</v>
      </c>
      <c r="G32" s="213" t="s">
        <v>282</v>
      </c>
      <c r="H32" s="213">
        <v>-19314</v>
      </c>
      <c r="I32" s="213">
        <v>-19314</v>
      </c>
      <c r="K32" s="214" t="str">
        <f t="shared" si="0"/>
        <v>Basket Index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GSC1000P 03/20/26 C119</v>
      </c>
      <c r="M32" s="214" t="str">
        <f t="shared" si="1"/>
        <v>EQTY.IntlUS.off</v>
      </c>
      <c r="N32" s="215">
        <f t="shared" si="2"/>
        <v>-19314</v>
      </c>
      <c r="O32" s="215">
        <f t="shared" si="3"/>
        <v>-19314</v>
      </c>
    </row>
    <row r="33" spans="5:15">
      <c r="E33" s="213" t="s">
        <v>39</v>
      </c>
      <c r="F33" s="213" t="s">
        <v>526</v>
      </c>
      <c r="G33" s="213" t="s">
        <v>282</v>
      </c>
      <c r="H33" s="213">
        <v>1</v>
      </c>
      <c r="I33" s="213">
        <v>1</v>
      </c>
      <c r="K33" s="214" t="str">
        <f t="shared" si="0"/>
        <v>ADR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ITUB</v>
      </c>
      <c r="M33" s="214" t="str">
        <f t="shared" si="1"/>
        <v>EQTY.IntlUS.off</v>
      </c>
      <c r="N33" s="215">
        <f t="shared" si="2"/>
        <v>1</v>
      </c>
      <c r="O33" s="215">
        <f t="shared" si="3"/>
        <v>1</v>
      </c>
    </row>
    <row r="34" spans="5:15">
      <c r="E34" s="213" t="s">
        <v>317</v>
      </c>
      <c r="F34" s="213" t="s">
        <v>2101</v>
      </c>
      <c r="G34" s="213" t="s">
        <v>282</v>
      </c>
      <c r="H34" s="213">
        <v>126</v>
      </c>
      <c r="I34" s="213">
        <v>95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LITE</v>
      </c>
      <c r="M34" s="214" t="str">
        <f t="shared" si="1"/>
        <v>EQTY.IntlUS.off</v>
      </c>
      <c r="N34" s="215">
        <f t="shared" si="2"/>
        <v>126</v>
      </c>
      <c r="O34" s="215">
        <f t="shared" si="3"/>
        <v>95</v>
      </c>
    </row>
    <row r="35" spans="5:15">
      <c r="E35" s="213" t="s">
        <v>319</v>
      </c>
      <c r="F35" s="213" t="s">
        <v>2113</v>
      </c>
      <c r="G35" s="213" t="s">
        <v>282</v>
      </c>
      <c r="H35" s="213">
        <v>6</v>
      </c>
      <c r="I35" s="213">
        <v>6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LITE US 02/20/26 C400</v>
      </c>
      <c r="M35" s="214" t="str">
        <f t="shared" si="1"/>
        <v>EQTY.IntlUS.off</v>
      </c>
      <c r="N35" s="215">
        <f t="shared" si="2"/>
        <v>6</v>
      </c>
      <c r="O35" s="215">
        <f t="shared" si="3"/>
        <v>6</v>
      </c>
    </row>
    <row r="36" spans="5:15">
      <c r="E36" s="213" t="s">
        <v>319</v>
      </c>
      <c r="F36" s="213" t="s">
        <v>2114</v>
      </c>
      <c r="G36" s="213" t="s">
        <v>282</v>
      </c>
      <c r="H36" s="213">
        <v>0</v>
      </c>
      <c r="I36" s="213">
        <v>-2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LITE US 02/20/26 C450</v>
      </c>
      <c r="M36" s="214" t="str">
        <f t="shared" si="1"/>
        <v>EQTY.IntlUS.off</v>
      </c>
      <c r="N36" s="215">
        <f t="shared" si="2"/>
        <v>0</v>
      </c>
      <c r="O36" s="215">
        <f t="shared" si="3"/>
        <v>-2</v>
      </c>
    </row>
    <row r="37" spans="5:15">
      <c r="E37" s="213" t="s">
        <v>317</v>
      </c>
      <c r="F37" s="213" t="s">
        <v>86</v>
      </c>
      <c r="G37" s="213" t="s">
        <v>282</v>
      </c>
      <c r="H37" s="213">
        <v>132</v>
      </c>
      <c r="I37" s="213">
        <v>132</v>
      </c>
      <c r="K37" s="214" t="str">
        <f t="shared" si="0"/>
        <v>US Equity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MA</v>
      </c>
      <c r="M37" s="214" t="str">
        <f t="shared" si="1"/>
        <v>EQTY.IntlUS.off</v>
      </c>
      <c r="N37" s="215">
        <f t="shared" si="2"/>
        <v>132</v>
      </c>
      <c r="O37" s="215">
        <f t="shared" si="3"/>
        <v>132</v>
      </c>
    </row>
    <row r="38" spans="5:15">
      <c r="E38" s="213" t="s">
        <v>317</v>
      </c>
      <c r="F38" s="213" t="s">
        <v>326</v>
      </c>
      <c r="G38" s="213" t="s">
        <v>282</v>
      </c>
      <c r="H38" s="213">
        <v>382</v>
      </c>
      <c r="I38" s="213">
        <v>382</v>
      </c>
      <c r="K38" s="214" t="str">
        <f t="shared" si="0"/>
        <v>US Equity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META</v>
      </c>
      <c r="M38" s="214" t="str">
        <f t="shared" si="1"/>
        <v>EQTY.IntlUS.off</v>
      </c>
      <c r="N38" s="215">
        <f t="shared" si="2"/>
        <v>382</v>
      </c>
      <c r="O38" s="215">
        <f t="shared" si="3"/>
        <v>382</v>
      </c>
    </row>
    <row r="39" spans="5:15">
      <c r="E39" s="213" t="s">
        <v>319</v>
      </c>
      <c r="F39" s="213" t="s">
        <v>2107</v>
      </c>
      <c r="G39" s="213" t="s">
        <v>282</v>
      </c>
      <c r="H39" s="213">
        <v>3</v>
      </c>
      <c r="I39" s="213">
        <v>3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META US 04/17/26 C690</v>
      </c>
      <c r="M39" s="214" t="str">
        <f t="shared" si="1"/>
        <v>EQTY.IntlUS.off</v>
      </c>
      <c r="N39" s="215">
        <f t="shared" si="2"/>
        <v>3</v>
      </c>
      <c r="O39" s="215">
        <f t="shared" si="3"/>
        <v>3</v>
      </c>
    </row>
    <row r="40" spans="5:15">
      <c r="E40" s="213" t="s">
        <v>319</v>
      </c>
      <c r="F40" s="213" t="s">
        <v>2156</v>
      </c>
      <c r="G40" s="213" t="s">
        <v>282</v>
      </c>
      <c r="H40" s="213">
        <v>1</v>
      </c>
      <c r="I40" s="213">
        <v>1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META US 04/17/26 P570</v>
      </c>
      <c r="M40" s="214" t="str">
        <f t="shared" si="1"/>
        <v>EQTY.IntlUS.off</v>
      </c>
      <c r="N40" s="215">
        <f t="shared" si="2"/>
        <v>1</v>
      </c>
      <c r="O40" s="215">
        <f t="shared" si="3"/>
        <v>1</v>
      </c>
    </row>
    <row r="41" spans="5:15">
      <c r="E41" s="213" t="s">
        <v>319</v>
      </c>
      <c r="F41" s="213" t="s">
        <v>2155</v>
      </c>
      <c r="G41" s="213" t="s">
        <v>282</v>
      </c>
      <c r="H41" s="213">
        <v>-1</v>
      </c>
      <c r="I41" s="213">
        <v>-1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META US 04/17/26 P600</v>
      </c>
      <c r="M41" s="214" t="str">
        <f t="shared" si="1"/>
        <v>EQTY.IntlUS.off</v>
      </c>
      <c r="N41" s="215">
        <f t="shared" si="2"/>
        <v>-1</v>
      </c>
      <c r="O41" s="215">
        <f t="shared" si="3"/>
        <v>-1</v>
      </c>
    </row>
    <row r="42" spans="5:15">
      <c r="E42" s="213" t="s">
        <v>319</v>
      </c>
      <c r="F42" s="213" t="s">
        <v>2140</v>
      </c>
      <c r="G42" s="213" t="s">
        <v>282</v>
      </c>
      <c r="H42" s="213">
        <v>-6</v>
      </c>
      <c r="I42" s="213">
        <v>-6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MRVL US 03/20/26 P75</v>
      </c>
      <c r="M42" s="214" t="str">
        <f t="shared" si="1"/>
        <v>EQTY.IntlUS.off</v>
      </c>
      <c r="N42" s="215">
        <f t="shared" si="2"/>
        <v>-6</v>
      </c>
      <c r="O42" s="215">
        <f t="shared" si="3"/>
        <v>-6</v>
      </c>
    </row>
    <row r="43" spans="5:15">
      <c r="E43" s="213" t="s">
        <v>319</v>
      </c>
      <c r="F43" s="213" t="s">
        <v>2095</v>
      </c>
      <c r="G43" s="213" t="s">
        <v>282</v>
      </c>
      <c r="H43" s="213">
        <v>-6</v>
      </c>
      <c r="I43" s="213">
        <v>-12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MRVL US 03/20/26 P80</v>
      </c>
      <c r="M43" s="214" t="str">
        <f t="shared" si="1"/>
        <v>EQTY.IntlUS.off</v>
      </c>
      <c r="N43" s="215">
        <f t="shared" si="2"/>
        <v>-6</v>
      </c>
      <c r="O43" s="215">
        <f t="shared" si="3"/>
        <v>-12</v>
      </c>
    </row>
    <row r="44" spans="5:15">
      <c r="E44" s="213" t="s">
        <v>319</v>
      </c>
      <c r="F44" s="213" t="s">
        <v>2139</v>
      </c>
      <c r="G44" s="213" t="s">
        <v>282</v>
      </c>
      <c r="H44" s="213">
        <v>14</v>
      </c>
      <c r="I44" s="213">
        <v>20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MRVL US 03/20/26 P85</v>
      </c>
      <c r="M44" s="214" t="str">
        <f t="shared" si="1"/>
        <v>EQTY.IntlUS.off</v>
      </c>
      <c r="N44" s="215">
        <f t="shared" si="2"/>
        <v>14</v>
      </c>
      <c r="O44" s="215">
        <f t="shared" si="3"/>
        <v>20</v>
      </c>
    </row>
    <row r="45" spans="5:15">
      <c r="E45" s="213" t="s">
        <v>317</v>
      </c>
      <c r="F45" s="213" t="s">
        <v>90</v>
      </c>
      <c r="G45" s="213" t="s">
        <v>282</v>
      </c>
      <c r="H45" s="213">
        <v>544</v>
      </c>
      <c r="I45" s="213">
        <v>544</v>
      </c>
      <c r="K45" s="214" t="str">
        <f t="shared" si="0"/>
        <v>US Equity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MSFT</v>
      </c>
      <c r="M45" s="214" t="str">
        <f t="shared" si="1"/>
        <v>EQTY.IntlUS.off</v>
      </c>
      <c r="N45" s="215">
        <f t="shared" si="2"/>
        <v>544</v>
      </c>
      <c r="O45" s="215">
        <f t="shared" si="3"/>
        <v>544</v>
      </c>
    </row>
    <row r="46" spans="5:15">
      <c r="E46" s="213" t="s">
        <v>319</v>
      </c>
      <c r="F46" s="213" t="s">
        <v>2085</v>
      </c>
      <c r="G46" s="213" t="s">
        <v>282</v>
      </c>
      <c r="H46" s="213">
        <v>7</v>
      </c>
      <c r="I46" s="213">
        <v>7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MSFT US 03/20/26 C490</v>
      </c>
      <c r="M46" s="214" t="str">
        <f t="shared" si="1"/>
        <v>EQTY.IntlUS.off</v>
      </c>
      <c r="N46" s="215">
        <f t="shared" si="2"/>
        <v>7</v>
      </c>
      <c r="O46" s="215">
        <f t="shared" si="3"/>
        <v>7</v>
      </c>
    </row>
    <row r="47" spans="5:15">
      <c r="E47" s="213" t="s">
        <v>319</v>
      </c>
      <c r="F47" s="213" t="s">
        <v>2084</v>
      </c>
      <c r="G47" s="213" t="s">
        <v>282</v>
      </c>
      <c r="H47" s="213">
        <v>-2</v>
      </c>
      <c r="I47" s="213">
        <v>-4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MSFT US 03/20/26 C515</v>
      </c>
      <c r="M47" s="214" t="str">
        <f t="shared" si="1"/>
        <v>EQTY.IntlUS.off</v>
      </c>
      <c r="N47" s="215">
        <f t="shared" si="2"/>
        <v>-2</v>
      </c>
      <c r="O47" s="215">
        <f t="shared" si="3"/>
        <v>-4</v>
      </c>
    </row>
    <row r="48" spans="5:15">
      <c r="E48" s="213" t="s">
        <v>319</v>
      </c>
      <c r="F48" s="213" t="s">
        <v>2086</v>
      </c>
      <c r="G48" s="213" t="s">
        <v>282</v>
      </c>
      <c r="H48" s="213">
        <v>-4</v>
      </c>
      <c r="I48" s="213">
        <v>-4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MSFT US 03/20/26 P465</v>
      </c>
      <c r="M48" s="214" t="str">
        <f t="shared" si="1"/>
        <v>EQTY.IntlUS.off</v>
      </c>
      <c r="N48" s="215">
        <f t="shared" si="2"/>
        <v>-4</v>
      </c>
      <c r="O48" s="215">
        <f t="shared" si="3"/>
        <v>-4</v>
      </c>
    </row>
    <row r="49" spans="5:15">
      <c r="E49" s="213" t="s">
        <v>318</v>
      </c>
      <c r="F49" s="213" t="s">
        <v>2192</v>
      </c>
      <c r="G49" s="213" t="s">
        <v>283</v>
      </c>
      <c r="H49" s="225">
        <v>7.5668638022108294E-15</v>
      </c>
      <c r="I49" s="213">
        <v>-0.02</v>
      </c>
      <c r="K49" s="214" t="str">
        <f t="shared" si="0"/>
        <v>Provisions and Costs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MU DIVIDEND_</v>
      </c>
      <c r="M49" s="214" t="str">
        <f t="shared" si="1"/>
        <v>EQTY.InternacionalUS2.off</v>
      </c>
      <c r="N49" s="215">
        <f t="shared" si="2"/>
        <v>7.5668638022108294E-15</v>
      </c>
      <c r="O49" s="215">
        <f t="shared" si="3"/>
        <v>-0.02</v>
      </c>
    </row>
    <row r="50" spans="5:15">
      <c r="E50" s="213" t="s">
        <v>318</v>
      </c>
      <c r="F50" s="213" t="s">
        <v>2192</v>
      </c>
      <c r="G50" s="213" t="s">
        <v>282</v>
      </c>
      <c r="H50" s="225">
        <v>-4.2674197509029499E-16</v>
      </c>
      <c r="I50" s="213">
        <v>-0.02</v>
      </c>
      <c r="K50" s="214" t="str">
        <f t="shared" si="0"/>
        <v>Provisions and Costs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MU DIVIDEND_</v>
      </c>
      <c r="M50" s="214" t="str">
        <f t="shared" si="1"/>
        <v>EQTY.IntlUS.off</v>
      </c>
      <c r="N50" s="215">
        <f t="shared" si="2"/>
        <v>-4.2674197509029499E-16</v>
      </c>
      <c r="O50" s="215">
        <f t="shared" si="3"/>
        <v>-0.02</v>
      </c>
    </row>
    <row r="51" spans="5:15">
      <c r="E51" s="213" t="s">
        <v>319</v>
      </c>
      <c r="F51" s="213" t="s">
        <v>2133</v>
      </c>
      <c r="G51" s="213" t="s">
        <v>282</v>
      </c>
      <c r="H51" s="213">
        <v>-9</v>
      </c>
      <c r="I51" s="213">
        <v>-9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NFLX US 03/20/26 C104</v>
      </c>
      <c r="M51" s="214" t="str">
        <f t="shared" si="1"/>
        <v>EQTY.IntlUS.off</v>
      </c>
      <c r="N51" s="215">
        <f t="shared" si="2"/>
        <v>-9</v>
      </c>
      <c r="O51" s="215">
        <f t="shared" si="3"/>
        <v>-9</v>
      </c>
    </row>
    <row r="52" spans="5:15">
      <c r="E52" s="213" t="s">
        <v>319</v>
      </c>
      <c r="F52" s="213" t="s">
        <v>2134</v>
      </c>
      <c r="G52" s="213" t="s">
        <v>282</v>
      </c>
      <c r="H52" s="213">
        <v>-16</v>
      </c>
      <c r="I52" s="213">
        <v>-16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NFLX US 03/20/26 P83</v>
      </c>
      <c r="M52" s="214" t="str">
        <f t="shared" si="1"/>
        <v>EQTY.IntlUS.off</v>
      </c>
      <c r="N52" s="215">
        <f t="shared" si="2"/>
        <v>-16</v>
      </c>
      <c r="O52" s="215">
        <f t="shared" si="3"/>
        <v>-16</v>
      </c>
    </row>
    <row r="53" spans="5:15">
      <c r="E53" s="213" t="s">
        <v>319</v>
      </c>
      <c r="F53" s="213" t="s">
        <v>2132</v>
      </c>
      <c r="G53" s="213" t="s">
        <v>282</v>
      </c>
      <c r="H53" s="213">
        <v>11</v>
      </c>
      <c r="I53" s="213">
        <v>11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NFLX US 03/20/26 P92</v>
      </c>
      <c r="M53" s="214" t="str">
        <f t="shared" si="1"/>
        <v>EQTY.IntlUS.off</v>
      </c>
      <c r="N53" s="215">
        <f t="shared" si="2"/>
        <v>11</v>
      </c>
      <c r="O53" s="215">
        <f t="shared" si="3"/>
        <v>11</v>
      </c>
    </row>
    <row r="54" spans="5:15">
      <c r="E54" s="213" t="s">
        <v>317</v>
      </c>
      <c r="F54" s="213" t="s">
        <v>94</v>
      </c>
      <c r="G54" s="213" t="s">
        <v>282</v>
      </c>
      <c r="H54" s="213">
        <v>1478</v>
      </c>
      <c r="I54" s="213">
        <v>1478</v>
      </c>
      <c r="K54" s="214" t="str">
        <f t="shared" si="0"/>
        <v>US Equity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NVDA</v>
      </c>
      <c r="M54" s="214" t="str">
        <f t="shared" si="1"/>
        <v>EQTY.IntlUS.off</v>
      </c>
      <c r="N54" s="215">
        <f t="shared" si="2"/>
        <v>1478</v>
      </c>
      <c r="O54" s="215">
        <f t="shared" si="3"/>
        <v>1478</v>
      </c>
    </row>
    <row r="55" spans="5:15">
      <c r="E55" s="213" t="s">
        <v>318</v>
      </c>
      <c r="F55" s="213" t="s">
        <v>336</v>
      </c>
      <c r="G55" s="213" t="s">
        <v>282</v>
      </c>
      <c r="H55" s="213">
        <v>0</v>
      </c>
      <c r="I55" s="213">
        <v>-2632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Provision ETF Options USD_</v>
      </c>
      <c r="M55" s="214" t="str">
        <f t="shared" si="1"/>
        <v>EQTY.IntlUS.off</v>
      </c>
      <c r="N55" s="215">
        <f t="shared" si="2"/>
        <v>0</v>
      </c>
      <c r="O55" s="215">
        <f t="shared" si="3"/>
        <v>-2632</v>
      </c>
    </row>
    <row r="56" spans="5:15">
      <c r="E56" s="213" t="s">
        <v>318</v>
      </c>
      <c r="F56" s="213" t="s">
        <v>306</v>
      </c>
      <c r="G56" s="213" t="s">
        <v>282</v>
      </c>
      <c r="H56" s="213">
        <v>-277542.08</v>
      </c>
      <c r="I56" s="213">
        <v>-325487.55</v>
      </c>
      <c r="K56" s="214" t="str">
        <f t="shared" si="0"/>
        <v>Provisions and Costs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Provision ETF USD_</v>
      </c>
      <c r="M56" s="214" t="str">
        <f t="shared" si="1"/>
        <v>EQTY.IntlUS.off</v>
      </c>
      <c r="N56" s="215">
        <f t="shared" si="2"/>
        <v>-277542.08</v>
      </c>
      <c r="O56" s="215">
        <f t="shared" si="3"/>
        <v>-325487.55</v>
      </c>
    </row>
    <row r="57" spans="5:15">
      <c r="E57" s="213" t="s">
        <v>318</v>
      </c>
      <c r="F57" s="213" t="s">
        <v>1666</v>
      </c>
      <c r="G57" s="213" t="s">
        <v>282</v>
      </c>
      <c r="H57" s="213">
        <v>-80124.91</v>
      </c>
      <c r="I57" s="213">
        <v>97128</v>
      </c>
      <c r="K57" s="214" t="str">
        <f t="shared" si="0"/>
        <v>Provisions and Costs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Provision NYSE USD_</v>
      </c>
      <c r="M57" s="214" t="str">
        <f t="shared" si="1"/>
        <v>EQTY.IntlUS.off</v>
      </c>
      <c r="N57" s="215">
        <f t="shared" si="2"/>
        <v>-80124.91</v>
      </c>
      <c r="O57" s="215">
        <f t="shared" si="3"/>
        <v>97128</v>
      </c>
    </row>
    <row r="58" spans="5:15">
      <c r="E58" s="213" t="s">
        <v>318</v>
      </c>
      <c r="F58" s="213" t="s">
        <v>337</v>
      </c>
      <c r="G58" s="213" t="s">
        <v>282</v>
      </c>
      <c r="H58" s="213">
        <v>-3624</v>
      </c>
      <c r="I58" s="213">
        <v>6059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US Equity Options USD_</v>
      </c>
      <c r="M58" s="214" t="str">
        <f t="shared" si="1"/>
        <v>EQTY.IntlUS.off</v>
      </c>
      <c r="N58" s="215">
        <f t="shared" si="2"/>
        <v>-3624</v>
      </c>
      <c r="O58" s="215">
        <f t="shared" si="3"/>
        <v>6059</v>
      </c>
    </row>
    <row r="59" spans="5:15">
      <c r="E59" s="213" t="s">
        <v>318</v>
      </c>
      <c r="F59" s="213" t="s">
        <v>307</v>
      </c>
      <c r="G59" s="213" t="s">
        <v>282</v>
      </c>
      <c r="H59" s="213">
        <v>-49184.39</v>
      </c>
      <c r="I59" s="213">
        <v>-112516.97</v>
      </c>
      <c r="K59" s="214" t="str">
        <f t="shared" si="0"/>
        <v>Provisions and Costs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Provision US Equity USD_</v>
      </c>
      <c r="M59" s="214" t="str">
        <f t="shared" si="1"/>
        <v>EQTY.IntlUS.off</v>
      </c>
      <c r="N59" s="215">
        <f t="shared" si="2"/>
        <v>-49184.39</v>
      </c>
      <c r="O59" s="215">
        <f t="shared" si="3"/>
        <v>-112516.97</v>
      </c>
    </row>
    <row r="60" spans="5:15">
      <c r="E60" s="213" t="s">
        <v>320</v>
      </c>
      <c r="F60" s="213" t="s">
        <v>143</v>
      </c>
      <c r="G60" s="213" t="s">
        <v>282</v>
      </c>
      <c r="H60" s="213">
        <v>-741</v>
      </c>
      <c r="I60" s="213">
        <v>-3005</v>
      </c>
      <c r="K60" s="214" t="str">
        <f t="shared" si="0"/>
        <v>ETF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QQQE</v>
      </c>
      <c r="M60" s="214" t="str">
        <f t="shared" si="1"/>
        <v>EQTY.IntlUS.off</v>
      </c>
      <c r="N60" s="215">
        <f t="shared" si="2"/>
        <v>-741</v>
      </c>
      <c r="O60" s="215">
        <f t="shared" si="3"/>
        <v>-3005</v>
      </c>
    </row>
    <row r="61" spans="5:15">
      <c r="E61" s="213" t="s">
        <v>317</v>
      </c>
      <c r="F61" s="213" t="s">
        <v>2183</v>
      </c>
      <c r="G61" s="213" t="s">
        <v>282</v>
      </c>
      <c r="H61" s="213">
        <v>1433</v>
      </c>
      <c r="I61" s="213">
        <v>1433</v>
      </c>
      <c r="K61" s="214" t="str">
        <f t="shared" si="0"/>
        <v>US Equity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RIOT</v>
      </c>
      <c r="M61" s="214" t="str">
        <f t="shared" si="1"/>
        <v>EQTY.IntlUS.off</v>
      </c>
      <c r="N61" s="215">
        <f t="shared" si="2"/>
        <v>1433</v>
      </c>
      <c r="O61" s="215">
        <f t="shared" si="3"/>
        <v>1433</v>
      </c>
    </row>
    <row r="62" spans="5:15">
      <c r="E62" s="213" t="s">
        <v>320</v>
      </c>
      <c r="F62" s="213" t="s">
        <v>3</v>
      </c>
      <c r="G62" s="213" t="s">
        <v>282</v>
      </c>
      <c r="H62" s="213">
        <v>-813</v>
      </c>
      <c r="I62" s="213">
        <v>-813</v>
      </c>
      <c r="K62" s="214" t="str">
        <f t="shared" si="0"/>
        <v>ETF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RSP</v>
      </c>
      <c r="M62" s="214" t="str">
        <f t="shared" si="1"/>
        <v>EQTY.IntlUS.off</v>
      </c>
      <c r="N62" s="215">
        <f t="shared" si="2"/>
        <v>-813</v>
      </c>
      <c r="O62" s="215">
        <f t="shared" si="3"/>
        <v>-813</v>
      </c>
    </row>
    <row r="63" spans="5:15">
      <c r="E63" s="213" t="s">
        <v>320</v>
      </c>
      <c r="F63" s="213" t="s">
        <v>95</v>
      </c>
      <c r="G63" s="213" t="s">
        <v>282</v>
      </c>
      <c r="H63" s="213">
        <v>0</v>
      </c>
      <c r="I63" s="213">
        <v>-77</v>
      </c>
      <c r="K63" s="214" t="str">
        <f t="shared" si="0"/>
        <v>ETF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SOXX</v>
      </c>
      <c r="M63" s="214" t="str">
        <f t="shared" si="1"/>
        <v>EQTY.IntlUS.off</v>
      </c>
      <c r="N63" s="215">
        <f t="shared" si="2"/>
        <v>0</v>
      </c>
      <c r="O63" s="215">
        <f t="shared" si="3"/>
        <v>-77</v>
      </c>
    </row>
    <row r="64" spans="5:15">
      <c r="E64" s="213" t="s">
        <v>2185</v>
      </c>
      <c r="F64" s="213" t="s">
        <v>2186</v>
      </c>
      <c r="G64" s="213" t="s">
        <v>282</v>
      </c>
      <c r="H64" s="213">
        <v>100</v>
      </c>
      <c r="I64" s="213">
        <v>100</v>
      </c>
      <c r="K64" s="214" t="str">
        <f t="shared" si="0"/>
        <v>Equity Total Return Swap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000660 KS</v>
      </c>
      <c r="M64" s="214" t="str">
        <f t="shared" si="1"/>
        <v>EQTY.IntlUS.off</v>
      </c>
      <c r="N64" s="215">
        <f t="shared" si="2"/>
        <v>100</v>
      </c>
      <c r="O64" s="215">
        <f t="shared" si="3"/>
        <v>100</v>
      </c>
    </row>
    <row r="65" spans="5:15">
      <c r="E65" s="213" t="s">
        <v>39</v>
      </c>
      <c r="F65" s="213" t="s">
        <v>96</v>
      </c>
      <c r="G65" s="213" t="s">
        <v>282</v>
      </c>
      <c r="H65" s="213">
        <v>0</v>
      </c>
      <c r="I65" s="213">
        <v>-270</v>
      </c>
      <c r="K65" s="214" t="str">
        <f t="shared" si="0"/>
        <v>ADR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</v>
      </c>
      <c r="M65" s="214" t="str">
        <f t="shared" si="1"/>
        <v>EQTY.IntlUS.off</v>
      </c>
      <c r="N65" s="215">
        <f t="shared" si="2"/>
        <v>0</v>
      </c>
      <c r="O65" s="215">
        <f t="shared" si="3"/>
        <v>-270</v>
      </c>
    </row>
    <row r="66" spans="5:15">
      <c r="E66" s="213" t="s">
        <v>327</v>
      </c>
      <c r="F66" s="213" t="s">
        <v>2060</v>
      </c>
      <c r="G66" s="213" t="s">
        <v>282</v>
      </c>
      <c r="H66" s="213">
        <v>0</v>
      </c>
      <c r="I66" s="213">
        <v>3</v>
      </c>
      <c r="K66" s="214" t="str">
        <f t="shared" si="0"/>
        <v>ADR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US 01/16/26 C300</v>
      </c>
      <c r="M66" s="214" t="str">
        <f t="shared" si="1"/>
        <v>EQTY.IntlUS.off</v>
      </c>
      <c r="N66" s="215">
        <f t="shared" si="2"/>
        <v>0</v>
      </c>
      <c r="O66" s="215">
        <f t="shared" si="3"/>
        <v>3</v>
      </c>
    </row>
    <row r="67" spans="5:15">
      <c r="E67" s="213" t="s">
        <v>327</v>
      </c>
      <c r="F67" s="213" t="s">
        <v>2353</v>
      </c>
      <c r="G67" s="213" t="s">
        <v>282</v>
      </c>
      <c r="H67" s="213">
        <v>-6</v>
      </c>
      <c r="I67" s="213">
        <v>0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01/16/26 C335</v>
      </c>
      <c r="M67" s="214" t="str">
        <f t="shared" ref="M67:M130" si="5">IF(E67="","",G67)</f>
        <v>EQTY.IntlUS.off</v>
      </c>
      <c r="N67" s="215">
        <f t="shared" ref="N67:N130" si="6">IF(E67="","",H67)</f>
        <v>-6</v>
      </c>
      <c r="O67" s="215">
        <f t="shared" ref="O67:O130" si="7">IF(E67="","",I67)</f>
        <v>0</v>
      </c>
    </row>
    <row r="68" spans="5:15">
      <c r="E68" s="213" t="s">
        <v>327</v>
      </c>
      <c r="F68" s="213" t="s">
        <v>2354</v>
      </c>
      <c r="G68" s="213" t="s">
        <v>282</v>
      </c>
      <c r="H68" s="213">
        <v>-6</v>
      </c>
      <c r="I68" s="213">
        <v>0</v>
      </c>
      <c r="K68" s="214" t="str">
        <f t="shared" si="4"/>
        <v>ADR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TSM US 01/16/26 P315</v>
      </c>
      <c r="M68" s="214" t="str">
        <f t="shared" si="5"/>
        <v>EQTY.IntlUS.off</v>
      </c>
      <c r="N68" s="215">
        <f t="shared" si="6"/>
        <v>-6</v>
      </c>
      <c r="O68" s="215">
        <f t="shared" si="7"/>
        <v>0</v>
      </c>
    </row>
    <row r="69" spans="5:15">
      <c r="E69" s="213" t="s">
        <v>327</v>
      </c>
      <c r="F69" s="213" t="s">
        <v>2352</v>
      </c>
      <c r="G69" s="213" t="s">
        <v>282</v>
      </c>
      <c r="H69" s="213">
        <v>6</v>
      </c>
      <c r="I69" s="213">
        <v>0</v>
      </c>
      <c r="K69" s="214" t="str">
        <f t="shared" si="4"/>
        <v>ADR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TSM US 01/16/26 P325</v>
      </c>
      <c r="M69" s="214" t="str">
        <f t="shared" si="5"/>
        <v>EQTY.IntlUS.off</v>
      </c>
      <c r="N69" s="215">
        <f t="shared" si="6"/>
        <v>6</v>
      </c>
      <c r="O69" s="215">
        <f t="shared" si="7"/>
        <v>0</v>
      </c>
    </row>
    <row r="70" spans="5:15">
      <c r="E70" s="213" t="s">
        <v>327</v>
      </c>
      <c r="F70" s="213" t="s">
        <v>2141</v>
      </c>
      <c r="G70" s="213" t="s">
        <v>282</v>
      </c>
      <c r="H70" s="213">
        <v>28</v>
      </c>
      <c r="I70" s="213">
        <v>28</v>
      </c>
      <c r="K70" s="214" t="str">
        <f t="shared" si="4"/>
        <v>ADR Options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TSM US 03/20/26 C300</v>
      </c>
      <c r="M70" s="214" t="str">
        <f t="shared" si="5"/>
        <v>EQTY.IntlUS.off</v>
      </c>
      <c r="N70" s="215">
        <f t="shared" si="6"/>
        <v>28</v>
      </c>
      <c r="O70" s="215">
        <f t="shared" si="7"/>
        <v>28</v>
      </c>
    </row>
    <row r="71" spans="5:15">
      <c r="E71" s="213" t="s">
        <v>327</v>
      </c>
      <c r="F71" s="213" t="s">
        <v>2142</v>
      </c>
      <c r="G71" s="213" t="s">
        <v>282</v>
      </c>
      <c r="H71" s="213">
        <v>-24</v>
      </c>
      <c r="I71" s="213">
        <v>-24</v>
      </c>
      <c r="K71" s="214" t="str">
        <f t="shared" si="4"/>
        <v>ADR Options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TSM US 03/20/26 C330</v>
      </c>
      <c r="M71" s="214" t="str">
        <f t="shared" si="5"/>
        <v>EQTY.IntlUS.off</v>
      </c>
      <c r="N71" s="215">
        <f t="shared" si="6"/>
        <v>-24</v>
      </c>
      <c r="O71" s="215">
        <f t="shared" si="7"/>
        <v>-24</v>
      </c>
    </row>
    <row r="72" spans="5:15">
      <c r="E72" s="213" t="s">
        <v>327</v>
      </c>
      <c r="F72" s="213" t="s">
        <v>2331</v>
      </c>
      <c r="G72" s="213" t="s">
        <v>282</v>
      </c>
      <c r="H72" s="213">
        <v>32</v>
      </c>
      <c r="I72" s="213">
        <v>32</v>
      </c>
      <c r="K72" s="214" t="str">
        <f t="shared" si="4"/>
        <v>ADR Options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TSM US 06/18/26 C340</v>
      </c>
      <c r="M72" s="214" t="str">
        <f t="shared" si="5"/>
        <v>EQTY.IntlUS.off</v>
      </c>
      <c r="N72" s="215">
        <f t="shared" si="6"/>
        <v>32</v>
      </c>
      <c r="O72" s="215">
        <f t="shared" si="7"/>
        <v>32</v>
      </c>
    </row>
    <row r="73" spans="5:15">
      <c r="E73" s="213" t="s">
        <v>327</v>
      </c>
      <c r="F73" s="213" t="s">
        <v>2332</v>
      </c>
      <c r="G73" s="213" t="s">
        <v>282</v>
      </c>
      <c r="H73" s="213">
        <v>-32</v>
      </c>
      <c r="I73" s="213">
        <v>-32</v>
      </c>
      <c r="K73" s="214" t="str">
        <f t="shared" si="4"/>
        <v>ADR Options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TSM US 06/18/26 C380</v>
      </c>
      <c r="M73" s="214" t="str">
        <f t="shared" si="5"/>
        <v>EQTY.IntlUS.off</v>
      </c>
      <c r="N73" s="215">
        <f t="shared" si="6"/>
        <v>-32</v>
      </c>
      <c r="O73" s="215">
        <f t="shared" si="7"/>
        <v>-32</v>
      </c>
    </row>
    <row r="74" spans="5:15">
      <c r="E74" s="213" t="s">
        <v>317</v>
      </c>
      <c r="F74" s="213" t="s">
        <v>87</v>
      </c>
      <c r="G74" s="213" t="s">
        <v>282</v>
      </c>
      <c r="H74" s="213">
        <v>220</v>
      </c>
      <c r="I74" s="213">
        <v>220</v>
      </c>
      <c r="K74" s="214" t="str">
        <f t="shared" si="4"/>
        <v>US Equity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V</v>
      </c>
      <c r="M74" s="214" t="str">
        <f t="shared" si="5"/>
        <v>EQTY.IntlUS.off</v>
      </c>
      <c r="N74" s="215">
        <f t="shared" si="6"/>
        <v>220</v>
      </c>
      <c r="O74" s="215">
        <f t="shared" si="7"/>
        <v>220</v>
      </c>
    </row>
    <row r="75" spans="5:15">
      <c r="E75" s="213" t="s">
        <v>317</v>
      </c>
      <c r="F75" s="213" t="s">
        <v>2100</v>
      </c>
      <c r="G75" s="213" t="s">
        <v>282</v>
      </c>
      <c r="H75" s="213">
        <v>0</v>
      </c>
      <c r="I75" s="213">
        <v>223</v>
      </c>
      <c r="K75" s="214" t="str">
        <f t="shared" si="4"/>
        <v>US Equity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WBD</v>
      </c>
      <c r="M75" s="214" t="str">
        <f t="shared" si="5"/>
        <v>EQTY.IntlUS.off</v>
      </c>
      <c r="N75" s="215">
        <f t="shared" si="6"/>
        <v>0</v>
      </c>
      <c r="O75" s="215">
        <f t="shared" si="7"/>
        <v>223</v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132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132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382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382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544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544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-813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-813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220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220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46038</v>
      </c>
      <c r="C2" s="210">
        <v>0</v>
      </c>
    </row>
    <row r="3" spans="1:7">
      <c r="A3" s="208" t="s">
        <v>342</v>
      </c>
      <c r="B3" s="236">
        <f ca="1">B2-1</f>
        <v>46037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Daniel\BooksOverviewResume15Jan2026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Daniel\BooksOverviewResume15Jan2026_zenith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2186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1860</v>
      </c>
      <c r="G22" s="354" t="s">
        <v>1857</v>
      </c>
    </row>
    <row r="23" spans="6:7">
      <c r="F23" s="213" t="s">
        <v>1860</v>
      </c>
      <c r="G23" s="354" t="s">
        <v>1857</v>
      </c>
    </row>
    <row r="24" spans="6:7">
      <c r="F24" s="213" t="s">
        <v>1867</v>
      </c>
      <c r="G24" s="354" t="s">
        <v>1857</v>
      </c>
    </row>
    <row r="25" spans="6:7">
      <c r="F25" s="213" t="s">
        <v>1867</v>
      </c>
      <c r="G25" s="354" t="s">
        <v>1857</v>
      </c>
    </row>
    <row r="26" spans="6:7">
      <c r="F26" s="213" t="s">
        <v>1870</v>
      </c>
      <c r="G26" s="354" t="s">
        <v>1857</v>
      </c>
    </row>
    <row r="27" spans="6:7">
      <c r="F27" s="213" t="s">
        <v>1870</v>
      </c>
      <c r="G27" s="354" t="s">
        <v>1857</v>
      </c>
    </row>
    <row r="28" spans="6:7">
      <c r="F28" s="213" t="s">
        <v>1873</v>
      </c>
      <c r="G28" s="354" t="s">
        <v>1857</v>
      </c>
    </row>
    <row r="29" spans="6:7">
      <c r="F29" s="213" t="s">
        <v>1873</v>
      </c>
      <c r="G29" s="354" t="s">
        <v>1857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1888</v>
      </c>
      <c r="G34" s="22" t="s">
        <v>1742</v>
      </c>
    </row>
    <row r="35" spans="6:7">
      <c r="F35" s="363" t="s">
        <v>1887</v>
      </c>
      <c r="G35" s="163" t="s">
        <v>1884</v>
      </c>
    </row>
    <row r="36" spans="6:7">
      <c r="F36" s="363" t="s">
        <v>1886</v>
      </c>
      <c r="G36" s="22" t="s">
        <v>1885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1889</v>
      </c>
      <c r="G39" s="22" t="s">
        <v>2</v>
      </c>
    </row>
    <row r="40" spans="6:7">
      <c r="F40" t="s">
        <v>131</v>
      </c>
      <c r="G40" s="22" t="s">
        <v>2194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1917</v>
      </c>
      <c r="G50" s="22" t="s">
        <v>1918</v>
      </c>
    </row>
    <row r="51" spans="6:7">
      <c r="F51" s="22" t="s">
        <v>1848</v>
      </c>
      <c r="G51" s="22" t="s">
        <v>1847</v>
      </c>
    </row>
    <row r="52" spans="6:7">
      <c r="F52" s="22" t="s">
        <v>358</v>
      </c>
      <c r="G52" s="22" t="s">
        <v>2</v>
      </c>
    </row>
    <row r="53" spans="6:7">
      <c r="F53" s="213" t="s">
        <v>1871</v>
      </c>
      <c r="G53" s="354" t="s">
        <v>1856</v>
      </c>
    </row>
    <row r="54" spans="6:7">
      <c r="F54" s="213" t="s">
        <v>1871</v>
      </c>
      <c r="G54" s="354" t="s">
        <v>1856</v>
      </c>
    </row>
    <row r="55" spans="6:7">
      <c r="F55" s="213" t="s">
        <v>1868</v>
      </c>
      <c r="G55" s="354" t="s">
        <v>1856</v>
      </c>
    </row>
    <row r="56" spans="6:7">
      <c r="F56" s="213" t="s">
        <v>1868</v>
      </c>
      <c r="G56" s="354" t="s">
        <v>1856</v>
      </c>
    </row>
    <row r="57" spans="6:7">
      <c r="F57" s="213" t="s">
        <v>1872</v>
      </c>
      <c r="G57" s="354" t="s">
        <v>1856</v>
      </c>
    </row>
    <row r="58" spans="6:7">
      <c r="F58" s="213" t="s">
        <v>1872</v>
      </c>
      <c r="G58" s="354" t="s">
        <v>1856</v>
      </c>
    </row>
    <row r="59" spans="6:7">
      <c r="F59" s="213" t="s">
        <v>1874</v>
      </c>
      <c r="G59" s="354" t="s">
        <v>1856</v>
      </c>
    </row>
    <row r="60" spans="6:7">
      <c r="F60" s="213" t="s">
        <v>1874</v>
      </c>
      <c r="G60" s="354" t="s">
        <v>1856</v>
      </c>
    </row>
    <row r="61" spans="6:7">
      <c r="F61" s="22" t="s">
        <v>1854</v>
      </c>
      <c r="G61" s="22" t="s">
        <v>1847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2194</v>
      </c>
      <c r="G98" s="22" t="s">
        <v>2194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1860</v>
      </c>
      <c r="G104" s="22" t="s">
        <v>1857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1859</v>
      </c>
      <c r="G112" s="22" t="s">
        <v>1858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1861</v>
      </c>
      <c r="G126" s="22" t="s">
        <v>1856</v>
      </c>
    </row>
    <row r="127" spans="6:7">
      <c r="F127" s="22" t="s">
        <v>1868</v>
      </c>
      <c r="G127" s="22" t="s">
        <v>1856</v>
      </c>
    </row>
    <row r="128" spans="6:7">
      <c r="F128" s="22" t="s">
        <v>1867</v>
      </c>
      <c r="G128" s="22" t="s">
        <v>1857</v>
      </c>
    </row>
    <row r="129" spans="6:7">
      <c r="F129" s="22" t="s">
        <v>1869</v>
      </c>
      <c r="G129" s="22" t="s">
        <v>1855</v>
      </c>
    </row>
    <row r="130" spans="6:7">
      <c r="F130" s="22" t="s">
        <v>1865</v>
      </c>
      <c r="G130" s="22" t="s">
        <v>1761</v>
      </c>
    </row>
    <row r="131" spans="6:7">
      <c r="F131" s="22" t="s">
        <v>1866</v>
      </c>
      <c r="G131" s="22" t="s">
        <v>1761</v>
      </c>
    </row>
    <row r="132" spans="6:7">
      <c r="F132" s="22" t="s">
        <v>1863</v>
      </c>
      <c r="G132" s="22" t="s">
        <v>1742</v>
      </c>
    </row>
    <row r="133" spans="6:7">
      <c r="F133" s="22" t="s">
        <v>1864</v>
      </c>
      <c r="G133" s="22" t="s">
        <v>1862</v>
      </c>
    </row>
    <row r="134" spans="6:7">
      <c r="F134" s="22" t="s">
        <v>1871</v>
      </c>
      <c r="G134" s="22" t="s">
        <v>1856</v>
      </c>
    </row>
    <row r="135" spans="6:7">
      <c r="F135" s="22" t="s">
        <v>1872</v>
      </c>
      <c r="G135" s="22" t="s">
        <v>1856</v>
      </c>
    </row>
    <row r="136" spans="6:7">
      <c r="F136" s="22" t="s">
        <v>1870</v>
      </c>
      <c r="G136" s="22" t="s">
        <v>1857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IF(R2="","",IF(LEN(R2)&gt;9,SUMIFS(Options!$AZ$3:$AZ$33,Options!$B$3:$B$33,'Check result'!R2),SUMIFS('Master P&amp;L'!$AE$11:$AE$85,'Master P&amp;L'!$B$11:$B$85,'Check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IF(R3="","",IF(LEN(R3)&gt;9,SUMIFS(Options!$AZ$3:$AZ$33,Options!$B$3:$B$33,'Check result'!R3),SUMIFS('Master P&amp;L'!$AE$11:$AE$85,'Master P&amp;L'!$B$11:$B$85,'Check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IF(R4="","",IF(LEN(R4)&gt;9,SUMIFS(Options!$AZ$3:$AZ$33,Options!$B$3:$B$33,'Check result'!R4),SUMIFS('Master P&amp;L'!$AE$11:$AE$85,'Master P&amp;L'!$B$11:$B$85,'Check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IF(R5="","",IF(LEN(R5)&gt;9,SUMIFS(Options!$AZ$3:$AZ$33,Options!$B$3:$B$33,'Check result'!R5),SUMIFS('Master P&amp;L'!$AE$11:$AE$85,'Master P&amp;L'!$B$11:$B$85,'Check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IF(R6="","",IF(LEN(R6)&gt;9,SUMIFS(Options!$AZ$3:$AZ$33,Options!$B$3:$B$33,'Check result'!R6),SUMIFS('Master P&amp;L'!$AE$11:$AE$85,'Master P&amp;L'!$B$11:$B$85,'Check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IF(R7="","",IF(LEN(R7)&gt;9,SUMIFS(Options!$AZ$3:$AZ$33,Options!$B$3:$B$33,'Check result'!R7),SUMIFS('Master P&amp;L'!$AE$11:$AE$85,'Master P&amp;L'!$B$11:$B$85,'Check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IF(R8="","",IF(LEN(R8)&gt;9,SUMIFS(Options!$AZ$3:$AZ$33,Options!$B$3:$B$33,'Check result'!R8),SUMIFS('Master P&amp;L'!$AE$11:$AE$85,'Master P&amp;L'!$B$11:$B$85,'Check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IF(R9="","",IF(LEN(R9)&gt;9,SUMIFS(Options!$AZ$3:$AZ$33,Options!$B$3:$B$33,'Check result'!R9),SUMIFS('Master P&amp;L'!$AE$11:$AE$85,'Master P&amp;L'!$B$11:$B$85,'Check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IF(R10="","",IF(LEN(R10)&gt;9,SUMIFS(Options!$AZ$3:$AZ$33,Options!$B$3:$B$33,'Check result'!R10),SUMIFS('Master P&amp;L'!$AE$11:$AE$85,'Master P&amp;L'!$B$11:$B$85,'Check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IF(R11="","",IF(LEN(R11)&gt;9,SUMIFS(Options!$AZ$3:$AZ$33,Options!$B$3:$B$33,'Check result'!R11),SUMIFS('Master P&amp;L'!$AE$11:$AE$85,'Master P&amp;L'!$B$11:$B$85,'Check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IF(R12="","",IF(LEN(R12)&gt;9,SUMIFS(Options!$AZ$3:$AZ$33,Options!$B$3:$B$33,'Check result'!R12),SUMIFS('Master P&amp;L'!$AE$11:$AE$85,'Master P&amp;L'!$B$11:$B$85,'Check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IF(R13="","",IF(LEN(R13)&gt;9,SUMIFS(Options!$AZ$3:$AZ$33,Options!$B$3:$B$33,'Check result'!R13),SUMIFS('Master P&amp;L'!$AE$11:$AE$85,'Master P&amp;L'!$B$11:$B$85,'Check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IF(R14="","",IF(LEN(R14)&gt;9,SUMIFS(Options!$AZ$3:$AZ$33,Options!$B$3:$B$33,'Check result'!R14),SUMIFS('Master P&amp;L'!$AE$11:$AE$85,'Master P&amp;L'!$B$11:$B$85,'Check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IF(R15="","",IF(LEN(R15)&gt;9,SUMIFS(Options!$AZ$3:$AZ$33,Options!$B$3:$B$33,'Check result'!R15),SUMIFS('Master P&amp;L'!$AE$11:$AE$85,'Master P&amp;L'!$B$11:$B$85,'Check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IF(R16="","",IF(LEN(R16)&gt;9,SUMIFS(Options!$AZ$3:$AZ$33,Options!$B$3:$B$33,'Check result'!R16),SUMIFS('Master P&amp;L'!$AE$11:$AE$85,'Master P&amp;L'!$B$11:$B$85,'Check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IF(R17="","",IF(LEN(R17)&gt;9,SUMIFS(Options!$AZ$3:$AZ$33,Options!$B$3:$B$33,'Check result'!R17),SUMIFS('Master P&amp;L'!$AE$11:$AE$85,'Master P&amp;L'!$B$11:$B$85,'Check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IF(R18="","",IF(LEN(R18)&gt;9,SUMIFS(Options!$AZ$3:$AZ$33,Options!$B$3:$B$33,'Check result'!R18),SUMIFS('Master P&amp;L'!$AE$11:$AE$85,'Master P&amp;L'!$B$11:$B$85,'Check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IF(R19="","",IF(LEN(R19)&gt;9,SUMIFS(Options!$AZ$3:$AZ$33,Options!$B$3:$B$33,'Check result'!R19),SUMIFS('Master P&amp;L'!$AE$11:$AE$85,'Master P&amp;L'!$B$11:$B$85,'Check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IF(R20="","",IF(LEN(R20)&gt;9,SUMIFS(Options!$AZ$3:$AZ$33,Options!$B$3:$B$33,'Check result'!R20),SUMIFS('Master P&amp;L'!$AE$11:$AE$85,'Master P&amp;L'!$B$11:$B$85,'Check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IF(R21="","",IF(LEN(R21)&gt;9,SUMIFS(Options!$AZ$3:$AZ$33,Options!$B$3:$B$33,'Check result'!R21),SUMIFS('Master P&amp;L'!$AE$11:$AE$85,'Master P&amp;L'!$B$11:$B$85,'Check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IF(R22="","",IF(LEN(R22)&gt;9,SUMIFS(Options!$AZ$3:$AZ$33,Options!$B$3:$B$33,'Check result'!R22),SUMIFS('Master P&amp;L'!$AE$11:$AE$85,'Master P&amp;L'!$B$11:$B$85,'Check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IF(R23="","",IF(LEN(R23)&gt;9,SUMIFS(Options!$AZ$3:$AZ$33,Options!$B$3:$B$33,'Check result'!R23),SUMIFS('Master P&amp;L'!$AE$11:$AE$85,'Master P&amp;L'!$B$11:$B$85,'Check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IF(R24="","",IF(LEN(R24)&gt;9,SUMIFS(Options!$AZ$3:$AZ$33,Options!$B$3:$B$33,'Check result'!R24),SUMIFS('Master P&amp;L'!$AE$11:$AE$85,'Master P&amp;L'!$B$11:$B$85,'Check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IF(R25="","",IF(LEN(R25)&gt;9,SUMIFS(Options!$AZ$3:$AZ$33,Options!$B$3:$B$33,'Check result'!R25),SUMIFS('Master P&amp;L'!$AE$11:$AE$85,'Master P&amp;L'!$B$11:$B$85,'Check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IF(R26="","",IF(LEN(R26)&gt;9,SUMIFS(Options!$AZ$3:$AZ$33,Options!$B$3:$B$33,'Check result'!R26),SUMIFS('Master P&amp;L'!$AE$11:$AE$85,'Master P&amp;L'!$B$11:$B$85,'Check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IF(R27="","",IF(LEN(R27)&gt;9,SUMIFS(Options!$AZ$3:$AZ$33,Options!$B$3:$B$33,'Check result'!R27),SUMIFS('Master P&amp;L'!$AE$11:$AE$85,'Master P&amp;L'!$B$11:$B$85,'Check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IF(R28="","",IF(LEN(R28)&gt;9,SUMIFS(Options!$AZ$3:$AZ$33,Options!$B$3:$B$33,'Check result'!R28),SUMIFS('Master P&amp;L'!$AE$11:$AE$85,'Master P&amp;L'!$B$11:$B$85,'Check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IF(R29="","",IF(LEN(R29)&gt;9,SUMIFS(Options!$AZ$3:$AZ$33,Options!$B$3:$B$33,'Check result'!R29),SUMIFS('Master P&amp;L'!$AE$11:$AE$85,'Master P&amp;L'!$B$11:$B$85,'Check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IF(R30="","",IF(LEN(R30)&gt;9,SUMIFS(Options!$AZ$3:$AZ$33,Options!$B$3:$B$33,'Check result'!R30),SUMIFS('Master P&amp;L'!$AE$11:$AE$85,'Master P&amp;L'!$B$11:$B$85,'Check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IF(R31="","",IF(LEN(R31)&gt;9,SUMIFS(Options!$AZ$3:$AZ$33,Options!$B$3:$B$33,'Check result'!R31),SUMIFS('Master P&amp;L'!$AE$11:$AE$85,'Master P&amp;L'!$B$11:$B$85,'Check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IF(R32="","",IF(LEN(R32)&gt;9,SUMIFS(Options!$AZ$3:$AZ$33,Options!$B$3:$B$33,'Check result'!R32),SUMIFS('Master P&amp;L'!$AE$11:$AE$85,'Master P&amp;L'!$B$11:$B$85,'Check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IF(R33="","",IF(LEN(R33)&gt;9,SUMIFS(Options!$AZ$3:$AZ$33,Options!$B$3:$B$33,'Check result'!R33),SUMIFS('Master P&amp;L'!$AE$11:$AE$85,'Master P&amp;L'!$B$11:$B$85,'Check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IF(R34="","",IF(LEN(R34)&gt;9,SUMIFS(Options!$AZ$3:$AZ$33,Options!$B$3:$B$33,'Check result'!R34),SUMIFS('Master P&amp;L'!$AE$11:$AE$85,'Master P&amp;L'!$B$11:$B$85,'Check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IF(R35="","",IF(LEN(R35)&gt;9,SUMIFS(Options!$AZ$3:$AZ$33,Options!$B$3:$B$33,'Check result'!R35),SUMIFS('Master P&amp;L'!$AE$11:$AE$85,'Master P&amp;L'!$B$11:$B$85,'Check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IF(R36="","",IF(LEN(R36)&gt;9,SUMIFS(Options!$AZ$3:$AZ$33,Options!$B$3:$B$33,'Check result'!R36),SUMIFS('Master P&amp;L'!$AE$11:$AE$85,'Master P&amp;L'!$B$11:$B$85,'Check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IF(R37="","",IF(LEN(R37)&gt;9,SUMIFS(Options!$AZ$3:$AZ$33,Options!$B$3:$B$33,'Check result'!R37),SUMIFS('Master P&amp;L'!$AE$11:$AE$85,'Master P&amp;L'!$B$11:$B$85,'Check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IF(R38="","",IF(LEN(R38)&gt;9,SUMIFS(Options!$AZ$3:$AZ$33,Options!$B$3:$B$33,'Check result'!R38),SUMIFS('Master P&amp;L'!$AE$11:$AE$85,'Master P&amp;L'!$B$11:$B$85,'Check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IF(R39="","",IF(LEN(R39)&gt;9,SUMIFS(Options!$AZ$3:$AZ$33,Options!$B$3:$B$33,'Check result'!R39),SUMIFS('Master P&amp;L'!$AE$11:$AE$85,'Master P&amp;L'!$B$11:$B$85,'Check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IF(R40="","",IF(LEN(R40)&gt;9,SUMIFS(Options!$AZ$3:$AZ$33,Options!$B$3:$B$33,'Check result'!R40),SUMIFS('Master P&amp;L'!$AE$11:$AE$85,'Master P&amp;L'!$B$11:$B$85,'Check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IF(R41="","",IF(LEN(R41)&gt;9,SUMIFS(Options!$AZ$3:$AZ$33,Options!$B$3:$B$33,'Check result'!R41),SUMIFS('Master P&amp;L'!$AE$11:$AE$85,'Master P&amp;L'!$B$11:$B$85,'Check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IF(R42="","",IF(LEN(R42)&gt;9,SUMIFS(Options!$AZ$3:$AZ$33,Options!$B$3:$B$33,'Check result'!R42),SUMIFS('Master P&amp;L'!$AE$11:$AE$85,'Master P&amp;L'!$B$11:$B$85,'Check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IF(R43="","",IF(LEN(R43)&gt;9,SUMIFS(Options!$AZ$3:$AZ$33,Options!$B$3:$B$33,'Check result'!R43),SUMIFS('Master P&amp;L'!$AE$11:$AE$85,'Master P&amp;L'!$B$11:$B$85,'Check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IF(R44="","",IF(LEN(R44)&gt;9,SUMIFS(Options!$AZ$3:$AZ$33,Options!$B$3:$B$33,'Check result'!R44),SUMIFS('Master P&amp;L'!$AE$11:$AE$85,'Master P&amp;L'!$B$11:$B$85,'Check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IF(R45="","",IF(LEN(R45)&gt;9,SUMIFS(Options!$AZ$3:$AZ$33,Options!$B$3:$B$33,'Check result'!R45),SUMIFS('Master P&amp;L'!$AE$11:$AE$85,'Master P&amp;L'!$B$11:$B$85,'Check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IF(R46="","",IF(LEN(R46)&gt;9,SUMIFS(Options!$AZ$3:$AZ$33,Options!$B$3:$B$33,'Check result'!R46),SUMIFS('Master P&amp;L'!$AE$11:$AE$85,'Master P&amp;L'!$B$11:$B$85,'Check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IF(R47="","",IF(LEN(R47)&gt;9,SUMIFS(Options!$AZ$3:$AZ$33,Options!$B$3:$B$33,'Check result'!R47),SUMIFS('Master P&amp;L'!$AE$11:$AE$85,'Master P&amp;L'!$B$11:$B$85,'Check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IF(R48="","",IF(LEN(R48)&gt;9,SUMIFS(Options!$AZ$3:$AZ$33,Options!$B$3:$B$33,'Check result'!R48),SUMIFS('Master P&amp;L'!$AE$11:$AE$85,'Master P&amp;L'!$B$11:$B$85,'Check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IF(R49="","",IF(LEN(R49)&gt;9,SUMIFS(Options!$AZ$3:$AZ$33,Options!$B$3:$B$33,'Check result'!R49),SUMIFS('Master P&amp;L'!$AE$11:$AE$85,'Master P&amp;L'!$B$11:$B$85,'Check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IF(R50="","",IF(LEN(R50)&gt;9,SUMIFS(Options!$AZ$3:$AZ$33,Options!$B$3:$B$33,'Check result'!R50),SUMIFS('Master P&amp;L'!$AE$11:$AE$85,'Master P&amp;L'!$B$11:$B$85,'Check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IF(R51="","",IF(LEN(R51)&gt;9,SUMIFS(Options!$AZ$3:$AZ$33,Options!$B$3:$B$33,'Check result'!R51),SUMIFS('Master P&amp;L'!$AE$11:$AE$85,'Master P&amp;L'!$B$11:$B$85,'Check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IF(R52="","",IF(LEN(R52)&gt;9,SUMIFS(Options!$AZ$3:$AZ$33,Options!$B$3:$B$33,'Check result'!R52),SUMIFS('Master P&amp;L'!$AE$11:$AE$85,'Master P&amp;L'!$B$11:$B$85,'Check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IF(R53="","",IF(LEN(R53)&gt;9,SUMIFS(Options!$AZ$3:$AZ$33,Options!$B$3:$B$33,'Check result'!R53),SUMIFS('Master P&amp;L'!$AE$11:$AE$85,'Master P&amp;L'!$B$11:$B$85,'Check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IF(R54="","",IF(LEN(R54)&gt;9,SUMIFS(Options!$AZ$3:$AZ$33,Options!$B$3:$B$33,'Check result'!R54),SUMIFS('Master P&amp;L'!$AE$11:$AE$85,'Master P&amp;L'!$B$11:$B$85,'Check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IF(R55="","",IF(LEN(R55)&gt;9,SUMIFS(Options!$AZ$3:$AZ$33,Options!$B$3:$B$33,'Check result'!R55),SUMIFS('Master P&amp;L'!$AE$11:$AE$85,'Master P&amp;L'!$B$11:$B$85,'Check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IF(R56="","",IF(LEN(R56)&gt;9,SUMIFS(Options!$AZ$3:$AZ$33,Options!$B$3:$B$33,'Check result'!R56),SUMIFS('Master P&amp;L'!$AE$11:$AE$85,'Master P&amp;L'!$B$11:$B$85,'Check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IF(R57="","",IF(LEN(R57)&gt;9,SUMIFS(Options!$AZ$3:$AZ$33,Options!$B$3:$B$33,'Check result'!R57),SUMIFS('Master P&amp;L'!$AE$11:$AE$85,'Master P&amp;L'!$B$11:$B$85,'Check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IF(R58="","",IF(LEN(R58)&gt;9,SUMIFS(Options!$AZ$3:$AZ$33,Options!$B$3:$B$33,'Check result'!R58),SUMIFS('Master P&amp;L'!$AE$11:$AE$85,'Master P&amp;L'!$B$11:$B$85,'Check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IF(R59="","",IF(LEN(R59)&gt;9,SUMIFS(Options!$AZ$3:$AZ$33,Options!$B$3:$B$33,'Check result'!R59),SUMIFS('Master P&amp;L'!$AE$11:$AE$85,'Master P&amp;L'!$B$11:$B$85,'Check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IF(R60="","",IF(LEN(R60)&gt;9,SUMIFS(Options!$AZ$3:$AZ$33,Options!$B$3:$B$33,'Check result'!R60),SUMIFS('Master P&amp;L'!$AE$11:$AE$85,'Master P&amp;L'!$B$11:$B$85,'Check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IF(R61="","",IF(LEN(R61)&gt;9,SUMIFS(Options!$AZ$3:$AZ$33,Options!$B$3:$B$33,'Check result'!R61),SUMIFS('Master P&amp;L'!$AE$11:$AE$85,'Master P&amp;L'!$B$11:$B$85,'Check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IF(R62="","",IF(LEN(R62)&gt;9,SUMIFS(Options!$AZ$3:$AZ$33,Options!$B$3:$B$33,'Check result'!R62),SUMIFS('Master P&amp;L'!$AE$11:$AE$85,'Master P&amp;L'!$B$11:$B$85,'Check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IF(R63="","",IF(LEN(R63)&gt;9,SUMIFS(Options!$AZ$3:$AZ$33,Options!$B$3:$B$33,'Check result'!R63),SUMIFS('Master P&amp;L'!$AE$11:$AE$85,'Master P&amp;L'!$B$11:$B$85,'Check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IF(R64="","",IF(LEN(R64)&gt;9,SUMIFS(Options!$AZ$3:$AZ$33,Options!$B$3:$B$33,'Check result'!R64),SUMIFS('Master P&amp;L'!$AE$11:$AE$85,'Master P&amp;L'!$B$11:$B$85,'Check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IF(R65="","",IF(LEN(R65)&gt;9,SUMIFS(Options!$AZ$3:$AZ$33,Options!$B$3:$B$33,'Check result'!R65),SUMIFS('Master P&amp;L'!$AE$11:$AE$85,'Master P&amp;L'!$B$11:$B$85,'Check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IF(R66="","",IF(LEN(R66)&gt;9,SUMIFS(Options!$AZ$3:$AZ$33,Options!$B$3:$B$33,'Check result'!R66),SUMIFS('Master P&amp;L'!$AE$11:$AE$85,'Master P&amp;L'!$B$11:$B$85,'Check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IF(R67="","",IF(LEN(R67)&gt;9,SUMIFS(Options!$AZ$3:$AZ$33,Options!$B$3:$B$33,'Check result'!R67),SUMIFS('Master P&amp;L'!$AE$11:$AE$85,'Master P&amp;L'!$B$11:$B$85,'Check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IF(R68="","",IF(LEN(R68)&gt;9,SUMIFS(Options!$AZ$3:$AZ$33,Options!$B$3:$B$33,'Check result'!R68),SUMIFS('Master P&amp;L'!$AE$11:$AE$85,'Master P&amp;L'!$B$11:$B$85,'Check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IF(R69="","",IF(LEN(R69)&gt;9,SUMIFS(Options!$AZ$3:$AZ$33,Options!$B$3:$B$33,'Check result'!R69),SUMIFS('Master P&amp;L'!$AE$11:$AE$85,'Master P&amp;L'!$B$11:$B$85,'Check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IF(R70="","",IF(LEN(R70)&gt;9,SUMIFS(Options!$AZ$3:$AZ$33,Options!$B$3:$B$33,'Check result'!R70),SUMIFS('Master P&amp;L'!$AE$11:$AE$85,'Master P&amp;L'!$B$11:$B$85,'Check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IF(R71="","",IF(LEN(R71)&gt;9,SUMIFS(Options!$AZ$3:$AZ$33,Options!$B$3:$B$33,'Check result'!R71),SUMIFS('Master P&amp;L'!$AE$11:$AE$85,'Master P&amp;L'!$B$11:$B$85,'Check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IF(R72="","",IF(LEN(R72)&gt;9,SUMIFS(Options!$AZ$3:$AZ$33,Options!$B$3:$B$33,'Check result'!R72),SUMIFS('Master P&amp;L'!$AE$11:$AE$85,'Master P&amp;L'!$B$11:$B$85,'Check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IF(R73="","",IF(LEN(R73)&gt;9,SUMIFS(Options!$AZ$3:$AZ$33,Options!$B$3:$B$33,'Check result'!R73),SUMIFS('Master P&amp;L'!$AE$11:$AE$85,'Master P&amp;L'!$B$11:$B$85,'Check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IF(R74="","",IF(LEN(R74)&gt;9,SUMIFS(Options!$AZ$3:$AZ$33,Options!$B$3:$B$33,'Check result'!R74),SUMIFS('Master P&amp;L'!$AE$11:$AE$85,'Master P&amp;L'!$B$11:$B$85,'Check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IF(R75="","",IF(LEN(R75)&gt;9,SUMIFS(Options!$AZ$3:$AZ$33,Options!$B$3:$B$33,'Check result'!R75),SUMIFS('Master P&amp;L'!$AE$11:$AE$85,'Master P&amp;L'!$B$11:$B$85,'Check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IF(R76="","",IF(LEN(R76)&gt;9,SUMIFS(Options!$AZ$3:$AZ$33,Options!$B$3:$B$33,'Check result'!R76),SUMIFS('Master P&amp;L'!$AE$11:$AE$85,'Master P&amp;L'!$B$11:$B$85,'Check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IF(R77="","",IF(LEN(R77)&gt;9,SUMIFS(Options!$AZ$3:$AZ$33,Options!$B$3:$B$33,'Check result'!R77),SUMIFS('Master P&amp;L'!$AE$11:$AE$85,'Master P&amp;L'!$B$11:$B$85,'Check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IF(R78="","",IF(LEN(R78)&gt;9,SUMIFS(Options!$AZ$3:$AZ$33,Options!$B$3:$B$33,'Check result'!R78),SUMIFS('Master P&amp;L'!$AE$11:$AE$85,'Master P&amp;L'!$B$11:$B$85,'Check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IF(R79="","",IF(LEN(R79)&gt;9,SUMIFS(Options!$AZ$3:$AZ$33,Options!$B$3:$B$33,'Check result'!R79),SUMIFS('Master P&amp;L'!$AE$11:$AE$85,'Master P&amp;L'!$B$11:$B$85,'Check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IF(R80="","",IF(LEN(R80)&gt;9,SUMIFS(Options!$AZ$3:$AZ$33,Options!$B$3:$B$33,'Check result'!R80),SUMIFS('Master P&amp;L'!$AE$11:$AE$85,'Master P&amp;L'!$B$11:$B$85,'Check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IF(R81="","",IF(LEN(R81)&gt;9,SUMIFS(Options!$AZ$3:$AZ$33,Options!$B$3:$B$33,'Check result'!R81),SUMIFS('Master P&amp;L'!$AE$11:$AE$85,'Master P&amp;L'!$B$11:$B$85,'Check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IF(R82="","",IF(LEN(R82)&gt;9,SUMIFS(Options!$AZ$3:$AZ$33,Options!$B$3:$B$33,'Check result'!R82),SUMIFS('Master P&amp;L'!$AE$11:$AE$85,'Master P&amp;L'!$B$11:$B$85,'Check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IF(R83="","",IF(LEN(R83)&gt;9,SUMIFS(Options!$AZ$3:$AZ$33,Options!$B$3:$B$33,'Check result'!R83),SUMIFS('Master P&amp;L'!$AE$11:$AE$85,'Master P&amp;L'!$B$11:$B$85,'Check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IF(R84="","",IF(LEN(R84)&gt;9,SUMIFS(Options!$AZ$3:$AZ$33,Options!$B$3:$B$33,'Check result'!R84),SUMIFS('Master P&amp;L'!$AE$11:$AE$85,'Master P&amp;L'!$B$11:$B$85,'Check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IF(R85="","",IF(LEN(R85)&gt;9,SUMIFS(Options!$AZ$3:$AZ$33,Options!$B$3:$B$33,'Check result'!R85),SUMIFS('Master P&amp;L'!$AE$11:$AE$85,'Master P&amp;L'!$B$11:$B$85,'Check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IF(R86="","",IF(LEN(R86)&gt;9,SUMIFS(Options!$AZ$3:$AZ$33,Options!$B$3:$B$33,'Check result'!R86),SUMIFS('Master P&amp;L'!$AE$11:$AE$85,'Master P&amp;L'!$B$11:$B$85,'Check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IF(R87="","",IF(LEN(R87)&gt;9,SUMIFS(Options!$AZ$3:$AZ$33,Options!$B$3:$B$33,'Check result'!R87),SUMIFS('Master P&amp;L'!$AE$11:$AE$85,'Master P&amp;L'!$B$11:$B$85,'Check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IF(R88="","",IF(LEN(R88)&gt;9,SUMIFS(Options!$AZ$3:$AZ$33,Options!$B$3:$B$33,'Check result'!R88),SUMIFS('Master P&amp;L'!$AE$11:$AE$85,'Master P&amp;L'!$B$11:$B$85,'Check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IF(R89="","",IF(LEN(R89)&gt;9,SUMIFS(Options!$AZ$3:$AZ$33,Options!$B$3:$B$33,'Check result'!R89),SUMIFS('Master P&amp;L'!$AE$11:$AE$85,'Master P&amp;L'!$B$11:$B$85,'Check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IF(R90="","",IF(LEN(R90)&gt;9,SUMIFS(Options!$AZ$3:$AZ$33,Options!$B$3:$B$33,'Check result'!R90),SUMIFS('Master P&amp;L'!$AE$11:$AE$85,'Master P&amp;L'!$B$11:$B$85,'Check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IF(R91="","",IF(LEN(R91)&gt;9,SUMIFS(Options!$AZ$3:$AZ$33,Options!$B$3:$B$33,'Check result'!R91),SUMIFS('Master P&amp;L'!$AE$11:$AE$85,'Master P&amp;L'!$B$11:$B$85,'Check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IF(R92="","",IF(LEN(R92)&gt;9,SUMIFS(Options!$AZ$3:$AZ$33,Options!$B$3:$B$33,'Check result'!R92),SUMIFS('Master P&amp;L'!$AE$11:$AE$85,'Master P&amp;L'!$B$11:$B$85,'Check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IF(R93="","",IF(LEN(R93)&gt;9,SUMIFS(Options!$AZ$3:$AZ$33,Options!$B$3:$B$33,'Check result'!R93),SUMIFS('Master P&amp;L'!$AE$11:$AE$85,'Master P&amp;L'!$B$11:$B$85,'Check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IF(R94="","",IF(LEN(R94)&gt;9,SUMIFS(Options!$AZ$3:$AZ$33,Options!$B$3:$B$33,'Check result'!R94),SUMIFS('Master P&amp;L'!$AE$11:$AE$85,'Master P&amp;L'!$B$11:$B$85,'Check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IF(R95="","",IF(LEN(R95)&gt;9,SUMIFS(Options!$AZ$3:$AZ$33,Options!$B$3:$B$33,'Check result'!R95),SUMIFS('Master P&amp;L'!$AE$11:$AE$85,'Master P&amp;L'!$B$11:$B$85,'Check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IF(R96="","",IF(LEN(R96)&gt;9,SUMIFS(Options!$AZ$3:$AZ$33,Options!$B$3:$B$33,'Check result'!R96),SUMIFS('Master P&amp;L'!$AE$11:$AE$85,'Master P&amp;L'!$B$11:$B$85,'Check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IF(R97="","",IF(LEN(R97)&gt;9,SUMIFS(Options!$AZ$3:$AZ$33,Options!$B$3:$B$33,'Check result'!R97),SUMIFS('Master P&amp;L'!$AE$11:$AE$85,'Master P&amp;L'!$B$11:$B$85,'Check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IF(R98="","",IF(LEN(R98)&gt;9,SUMIFS(Options!$AZ$3:$AZ$33,Options!$B$3:$B$33,'Check result'!R98),SUMIFS('Master P&amp;L'!$AE$11:$AE$85,'Master P&amp;L'!$B$11:$B$85,'Check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IF(R99="","",IF(LEN(R99)&gt;9,SUMIFS(Options!$AZ$3:$AZ$33,Options!$B$3:$B$33,'Check result'!R99),SUMIFS('Master P&amp;L'!$AE$11:$AE$85,'Master P&amp;L'!$B$11:$B$85,'Check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IF(R100="","",IF(LEN(R100)&gt;9,SUMIFS(Options!$AZ$3:$AZ$33,Options!$B$3:$B$33,'Check result'!R100),SUMIFS('Master P&amp;L'!$AE$11:$AE$85,'Master P&amp;L'!$B$11:$B$85,'Check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IF(R101="","",IF(LEN(R101)&gt;9,SUMIFS(Options!$AZ$3:$AZ$33,Options!$B$3:$B$33,'Check result'!R101),SUMIFS('Master P&amp;L'!$AE$11:$AE$85,'Master P&amp;L'!$B$11:$B$85,'Check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IF(R102="","",IF(LEN(R102)&gt;9,SUMIFS(Options!$AZ$3:$AZ$33,Options!$B$3:$B$33,'Check result'!R102),SUMIFS('Master P&amp;L'!$AE$11:$AE$85,'Master P&amp;L'!$B$11:$B$85,'Check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IF(R103="","",IF(LEN(R103)&gt;9,SUMIFS(Options!$AZ$3:$AZ$33,Options!$B$3:$B$33,'Check result'!R103),SUMIFS('Master P&amp;L'!$AE$11:$AE$85,'Master P&amp;L'!$B$11:$B$85,'Check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IF(R104="","",IF(LEN(R104)&gt;9,SUMIFS(Options!$AZ$3:$AZ$33,Options!$B$3:$B$33,'Check result'!R104),SUMIFS('Master P&amp;L'!$AE$11:$AE$85,'Master P&amp;L'!$B$11:$B$85,'Check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IF(R105="","",IF(LEN(R105)&gt;9,SUMIFS(Options!$AZ$3:$AZ$33,Options!$B$3:$B$33,'Check result'!R105),SUMIFS('Master P&amp;L'!$AE$11:$AE$85,'Master P&amp;L'!$B$11:$B$85,'Check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IF(R106="","",IF(LEN(R106)&gt;9,SUMIFS(Options!$AZ$3:$AZ$33,Options!$B$3:$B$33,'Check result'!R106),SUMIFS('Master P&amp;L'!$AE$11:$AE$85,'Master P&amp;L'!$B$11:$B$85,'Check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IF(R107="","",IF(LEN(R107)&gt;9,SUMIFS(Options!$AZ$3:$AZ$33,Options!$B$3:$B$33,'Check result'!R107),SUMIFS('Master P&amp;L'!$AE$11:$AE$85,'Master P&amp;L'!$B$11:$B$85,'Check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IF(R108="","",IF(LEN(R108)&gt;9,SUMIFS(Options!$AZ$3:$AZ$33,Options!$B$3:$B$33,'Check result'!R108),SUMIFS('Master P&amp;L'!$AE$11:$AE$85,'Master P&amp;L'!$B$11:$B$85,'Check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IF(R109="","",IF(LEN(R109)&gt;9,SUMIFS(Options!$AZ$3:$AZ$33,Options!$B$3:$B$33,'Check result'!R109),SUMIFS('Master P&amp;L'!$AE$11:$AE$85,'Master P&amp;L'!$B$11:$B$85,'Check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IF(R110="","",IF(LEN(R110)&gt;9,SUMIFS(Options!$AZ$3:$AZ$33,Options!$B$3:$B$33,'Check result'!R110),SUMIFS('Master P&amp;L'!$AE$11:$AE$85,'Master P&amp;L'!$B$11:$B$85,'Check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IF(R111="","",IF(LEN(R111)&gt;9,SUMIFS(Options!$AZ$3:$AZ$33,Options!$B$3:$B$33,'Check result'!R111),SUMIFS('Master P&amp;L'!$AE$11:$AE$85,'Master P&amp;L'!$B$11:$B$85,'Check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IF(R112="","",IF(LEN(R112)&gt;9,SUMIFS(Options!$AZ$3:$AZ$33,Options!$B$3:$B$33,'Check result'!R112),SUMIFS('Master P&amp;L'!$AE$11:$AE$85,'Master P&amp;L'!$B$11:$B$85,'Check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IF(R113="","",IF(LEN(R113)&gt;9,SUMIFS(Options!$AZ$3:$AZ$33,Options!$B$3:$B$33,'Check result'!R113),SUMIFS('Master P&amp;L'!$AE$11:$AE$85,'Master P&amp;L'!$B$11:$B$85,'Check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IF(R114="","",IF(LEN(R114)&gt;9,SUMIFS(Options!$AZ$3:$AZ$33,Options!$B$3:$B$33,'Check result'!R114),SUMIFS('Master P&amp;L'!$AE$11:$AE$85,'Master P&amp;L'!$B$11:$B$85,'Check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IF(R115="","",IF(LEN(R115)&gt;9,SUMIFS(Options!$AZ$3:$AZ$33,Options!$B$3:$B$33,'Check result'!R115),SUMIFS('Master P&amp;L'!$AE$11:$AE$85,'Master P&amp;L'!$B$11:$B$85,'Check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IF(R116="","",IF(LEN(R116)&gt;9,SUMIFS(Options!$AZ$3:$AZ$33,Options!$B$3:$B$33,'Check result'!R116),SUMIFS('Master P&amp;L'!$AE$11:$AE$85,'Master P&amp;L'!$B$11:$B$85,'Check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IF(R117="","",IF(LEN(R117)&gt;9,SUMIFS(Options!$AZ$3:$AZ$33,Options!$B$3:$B$33,'Check result'!R117),SUMIFS('Master P&amp;L'!$AE$11:$AE$85,'Master P&amp;L'!$B$11:$B$85,'Check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IF(R118="","",IF(LEN(R118)&gt;9,SUMIFS(Options!$AZ$3:$AZ$33,Options!$B$3:$B$33,'Check result'!R118),SUMIFS('Master P&amp;L'!$AE$11:$AE$85,'Master P&amp;L'!$B$11:$B$85,'Check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IF(R119="","",IF(LEN(R119)&gt;9,SUMIFS(Options!$AZ$3:$AZ$33,Options!$B$3:$B$33,'Check result'!R119),SUMIFS('Master P&amp;L'!$AE$11:$AE$85,'Master P&amp;L'!$B$11:$B$85,'Check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IF(R120="","",IF(LEN(R120)&gt;9,SUMIFS(Options!$AZ$3:$AZ$33,Options!$B$3:$B$33,'Check result'!R120),SUMIFS('Master P&amp;L'!$AE$11:$AE$85,'Master P&amp;L'!$B$11:$B$85,'Check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IF(R121="","",IF(LEN(R121)&gt;9,SUMIFS(Options!$AZ$3:$AZ$33,Options!$B$3:$B$33,'Check result'!R121),SUMIFS('Master P&amp;L'!$AE$11:$AE$85,'Master P&amp;L'!$B$11:$B$85,'Check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IF(R122="","",IF(LEN(R122)&gt;9,SUMIFS(Options!$AZ$3:$AZ$33,Options!$B$3:$B$33,'Check result'!R122),SUMIFS('Master P&amp;L'!$AE$11:$AE$85,'Master P&amp;L'!$B$11:$B$85,'Check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IF(R123="","",IF(LEN(R123)&gt;9,SUMIFS(Options!$AZ$3:$AZ$33,Options!$B$3:$B$33,'Check result'!R123),SUMIFS('Master P&amp;L'!$AE$11:$AE$85,'Master P&amp;L'!$B$11:$B$85,'Check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IF(R124="","",IF(LEN(R124)&gt;9,SUMIFS(Options!$AZ$3:$AZ$33,Options!$B$3:$B$33,'Check result'!R124),SUMIFS('Master P&amp;L'!$AE$11:$AE$85,'Master P&amp;L'!$B$11:$B$85,'Check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IF(R125="","",IF(LEN(R125)&gt;9,SUMIFS(Options!$AZ$3:$AZ$33,Options!$B$3:$B$33,'Check result'!R125),SUMIFS('Master P&amp;L'!$AE$11:$AE$85,'Master P&amp;L'!$B$11:$B$85,'Check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IF(R126="","",IF(LEN(R126)&gt;9,SUMIFS(Options!$AZ$3:$AZ$33,Options!$B$3:$B$33,'Check result'!R126),SUMIFS('Master P&amp;L'!$AE$11:$AE$85,'Master P&amp;L'!$B$11:$B$85,'Check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IF(R127="","",IF(LEN(R127)&gt;9,SUMIFS(Options!$AZ$3:$AZ$33,Options!$B$3:$B$33,'Check result'!R127),SUMIFS('Master P&amp;L'!$AE$11:$AE$85,'Master P&amp;L'!$B$11:$B$85,'Check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IF(R128="","",IF(LEN(R128)&gt;9,SUMIFS(Options!$AZ$3:$AZ$33,Options!$B$3:$B$33,'Check result'!R128),SUMIFS('Master P&amp;L'!$AE$11:$AE$85,'Master P&amp;L'!$B$11:$B$85,'Check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IF(R129="","",IF(LEN(R129)&gt;9,SUMIFS(Options!$AZ$3:$AZ$33,Options!$B$3:$B$33,'Check result'!R129),SUMIFS('Master P&amp;L'!$AE$11:$AE$85,'Master P&amp;L'!$B$11:$B$85,'Check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IF(R130="","",IF(LEN(R130)&gt;9,SUMIFS(Options!$AZ$3:$AZ$33,Options!$B$3:$B$33,'Check result'!R130),SUMIFS('Master P&amp;L'!$AE$11:$AE$85,'Master P&amp;L'!$B$11:$B$85,'Check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IF(R131="","",IF(LEN(R131)&gt;9,SUMIFS(Options!$AZ$3:$AZ$33,Options!$B$3:$B$33,'Check result'!R131),SUMIFS('Master P&amp;L'!$AE$11:$AE$85,'Master P&amp;L'!$B$11:$B$85,'Check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IF(R132="","",IF(LEN(R132)&gt;9,SUMIFS(Options!$AZ$3:$AZ$33,Options!$B$3:$B$33,'Check result'!R132),SUMIFS('Master P&amp;L'!$AE$11:$AE$85,'Master P&amp;L'!$B$11:$B$85,'Check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IF(R133="","",IF(LEN(R133)&gt;9,SUMIFS(Options!$AZ$3:$AZ$33,Options!$B$3:$B$33,'Check result'!R133),SUMIFS('Master P&amp;L'!$AE$11:$AE$85,'Master P&amp;L'!$B$11:$B$85,'Check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IF(R134="","",IF(LEN(R134)&gt;9,SUMIFS(Options!$AZ$3:$AZ$33,Options!$B$3:$B$33,'Check result'!R134),SUMIFS('Master P&amp;L'!$AE$11:$AE$85,'Master P&amp;L'!$B$11:$B$85,'Check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IF(R135="","",IF(LEN(R135)&gt;9,SUMIFS(Options!$AZ$3:$AZ$33,Options!$B$3:$B$33,'Check result'!R135),SUMIFS('Master P&amp;L'!$AE$11:$AE$85,'Master P&amp;L'!$B$11:$B$85,'Check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IF(R136="","",IF(LEN(R136)&gt;9,SUMIFS(Options!$AZ$3:$AZ$33,Options!$B$3:$B$33,'Check result'!R136),SUMIFS('Master P&amp;L'!$AE$11:$AE$85,'Master P&amp;L'!$B$11:$B$85,'Check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IF(R137="","",IF(LEN(R137)&gt;9,SUMIFS(Options!$AZ$3:$AZ$33,Options!$B$3:$B$33,'Check result'!R137),SUMIFS('Master P&amp;L'!$AE$11:$AE$85,'Master P&amp;L'!$B$11:$B$85,'Check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IF(R138="","",IF(LEN(R138)&gt;9,SUMIFS(Options!$AZ$3:$AZ$33,Options!$B$3:$B$33,'Check result'!R138),SUMIFS('Master P&amp;L'!$AE$11:$AE$85,'Master P&amp;L'!$B$11:$B$85,'Check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IF(R139="","",IF(LEN(R139)&gt;9,SUMIFS(Options!$AZ$3:$AZ$33,Options!$B$3:$B$33,'Check result'!R139),SUMIFS('Master P&amp;L'!$AE$11:$AE$85,'Master P&amp;L'!$B$11:$B$85,'Check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IF(R140="","",IF(LEN(R140)&gt;9,SUMIFS(Options!$AZ$3:$AZ$33,Options!$B$3:$B$33,'Check result'!R140),SUMIFS('Master P&amp;L'!$AE$11:$AE$85,'Master P&amp;L'!$B$11:$B$85,'Check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IF(R141="","",IF(LEN(R141)&gt;9,SUMIFS(Options!$AZ$3:$AZ$33,Options!$B$3:$B$33,'Check result'!R141),SUMIFS('Master P&amp;L'!$AE$11:$AE$85,'Master P&amp;L'!$B$11:$B$85,'Check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IF(R142="","",IF(LEN(R142)&gt;9,SUMIFS(Options!$AZ$3:$AZ$33,Options!$B$3:$B$33,'Check result'!R142),SUMIFS('Master P&amp;L'!$AE$11:$AE$85,'Master P&amp;L'!$B$11:$B$85,'Check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IF(R143="","",IF(LEN(R143)&gt;9,SUMIFS(Options!$AZ$3:$AZ$33,Options!$B$3:$B$33,'Check result'!R143),SUMIFS('Master P&amp;L'!$AE$11:$AE$85,'Master P&amp;L'!$B$11:$B$85,'Check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IF(R144="","",IF(LEN(R144)&gt;9,SUMIFS(Options!$AZ$3:$AZ$33,Options!$B$3:$B$33,'Check result'!R144),SUMIFS('Master P&amp;L'!$AE$11:$AE$85,'Master P&amp;L'!$B$11:$B$85,'Check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IF(R145="","",IF(LEN(R145)&gt;9,SUMIFS(Options!$AZ$3:$AZ$33,Options!$B$3:$B$33,'Check result'!R145),SUMIFS('Master P&amp;L'!$AE$11:$AE$85,'Master P&amp;L'!$B$11:$B$85,'Check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IF(R146="","",IF(LEN(R146)&gt;9,SUMIFS(Options!$AZ$3:$AZ$33,Options!$B$3:$B$33,'Check result'!R146),SUMIFS('Master P&amp;L'!$AE$11:$AE$85,'Master P&amp;L'!$B$11:$B$85,'Check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IF(R147="","",IF(LEN(R147)&gt;9,SUMIFS(Options!$AZ$3:$AZ$33,Options!$B$3:$B$33,'Check result'!R147),SUMIFS('Master P&amp;L'!$AE$11:$AE$85,'Master P&amp;L'!$B$11:$B$85,'Check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IF(R148="","",IF(LEN(R148)&gt;9,SUMIFS(Options!$AZ$3:$AZ$33,Options!$B$3:$B$33,'Check result'!R148),SUMIFS('Master P&amp;L'!$AE$11:$AE$85,'Master P&amp;L'!$B$11:$B$85,'Check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IF(R149="","",IF(LEN(R149)&gt;9,SUMIFS(Options!$AZ$3:$AZ$33,Options!$B$3:$B$33,'Check result'!R149),SUMIFS('Master P&amp;L'!$AE$11:$AE$85,'Master P&amp;L'!$B$11:$B$85,'Check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IF(R150="","",IF(LEN(R150)&gt;9,SUMIFS(Options!$AZ$3:$AZ$33,Options!$B$3:$B$33,'Check result'!R150),SUMIFS('Master P&amp;L'!$AE$11:$AE$85,'Master P&amp;L'!$B$11:$B$85,'Check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IF(R151="","",IF(LEN(R151)&gt;9,SUMIFS(Options!$AZ$3:$AZ$33,Options!$B$3:$B$33,'Check result'!R151),SUMIFS('Master P&amp;L'!$AE$11:$AE$85,'Master P&amp;L'!$B$11:$B$85,'Check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IF(R152="","",IF(LEN(R152)&gt;9,SUMIFS(Options!$AZ$3:$AZ$33,Options!$B$3:$B$33,'Check result'!R152),SUMIFS('Master P&amp;L'!$AE$11:$AE$85,'Master P&amp;L'!$B$11:$B$85,'Check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IF(R153="","",IF(LEN(R153)&gt;9,SUMIFS(Options!$AZ$3:$AZ$33,Options!$B$3:$B$33,'Check result'!R153),SUMIFS('Master P&amp;L'!$AE$11:$AE$85,'Master P&amp;L'!$B$11:$B$85,'Check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IF(R154="","",IF(LEN(R154)&gt;9,SUMIFS(Options!$AZ$3:$AZ$33,Options!$B$3:$B$33,'Check result'!R154),SUMIFS('Master P&amp;L'!$AE$11:$AE$85,'Master P&amp;L'!$B$11:$B$85,'Check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IF(R155="","",IF(LEN(R155)&gt;9,SUMIFS(Options!$AZ$3:$AZ$33,Options!$B$3:$B$33,'Check result'!R155),SUMIFS('Master P&amp;L'!$AE$11:$AE$85,'Master P&amp;L'!$B$11:$B$85,'Check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IF(R156="","",IF(LEN(R156)&gt;9,SUMIFS(Options!$AZ$3:$AZ$33,Options!$B$3:$B$33,'Check result'!R156),SUMIFS('Master P&amp;L'!$AE$11:$AE$85,'Master P&amp;L'!$B$11:$B$85,'Check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IF(R157="","",IF(LEN(R157)&gt;9,SUMIFS(Options!$AZ$3:$AZ$33,Options!$B$3:$B$33,'Check result'!R157),SUMIFS('Master P&amp;L'!$AE$11:$AE$85,'Master P&amp;L'!$B$11:$B$85,'Check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IF(R158="","",IF(LEN(R158)&gt;9,SUMIFS(Options!$AZ$3:$AZ$33,Options!$B$3:$B$33,'Check result'!R158),SUMIFS('Master P&amp;L'!$AE$11:$AE$85,'Master P&amp;L'!$B$11:$B$85,'Check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IF(R159="","",IF(LEN(R159)&gt;9,SUMIFS(Options!$AZ$3:$AZ$33,Options!$B$3:$B$33,'Check result'!R159),SUMIFS('Master P&amp;L'!$AE$11:$AE$85,'Master P&amp;L'!$B$11:$B$85,'Check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IF(R160="","",IF(LEN(R160)&gt;9,SUMIFS(Options!$AZ$3:$AZ$33,Options!$B$3:$B$33,'Check result'!R160),SUMIFS('Master P&amp;L'!$AE$11:$AE$85,'Master P&amp;L'!$B$11:$B$85,'Check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IF(R161="","",IF(LEN(R161)&gt;9,SUMIFS(Options!$AZ$3:$AZ$33,Options!$B$3:$B$33,'Check result'!R161),SUMIFS('Master P&amp;L'!$AE$11:$AE$85,'Master P&amp;L'!$B$11:$B$85,'Check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IF(R162="","",IF(LEN(R162)&gt;9,SUMIFS(Options!$AZ$3:$AZ$33,Options!$B$3:$B$33,'Check result'!R162),SUMIFS('Master P&amp;L'!$AE$11:$AE$85,'Master P&amp;L'!$B$11:$B$85,'Check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IF(R163="","",IF(LEN(R163)&gt;9,SUMIFS(Options!$AZ$3:$AZ$33,Options!$B$3:$B$33,'Check result'!R163),SUMIFS('Master P&amp;L'!$AE$11:$AE$85,'Master P&amp;L'!$B$11:$B$85,'Check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IF(R164="","",IF(LEN(R164)&gt;9,SUMIFS(Options!$AZ$3:$AZ$33,Options!$B$3:$B$33,'Check result'!R164),SUMIFS('Master P&amp;L'!$AE$11:$AE$85,'Master P&amp;L'!$B$11:$B$85,'Check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IF(R165="","",IF(LEN(R165)&gt;9,SUMIFS(Options!$AZ$3:$AZ$33,Options!$B$3:$B$33,'Check result'!R165),SUMIFS('Master P&amp;L'!$AE$11:$AE$85,'Master P&amp;L'!$B$11:$B$85,'Check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33"/>
  <sheetViews>
    <sheetView workbookViewId="0">
      <selection activeCell="E5" sqref="E5"/>
    </sheetView>
  </sheetViews>
  <sheetFormatPr defaultRowHeight="15"/>
  <cols>
    <col min="1" max="1" width="10.5703125" bestFit="1" customWidth="1"/>
  </cols>
  <sheetData>
    <row r="1" spans="1:17">
      <c r="A1" s="444" t="s">
        <v>339</v>
      </c>
      <c r="B1" s="445" t="s">
        <v>1922</v>
      </c>
      <c r="C1" s="446" t="s">
        <v>1923</v>
      </c>
      <c r="D1" s="447" t="s">
        <v>1924</v>
      </c>
      <c r="E1" s="448" t="s">
        <v>1925</v>
      </c>
      <c r="F1" s="448" t="s">
        <v>1926</v>
      </c>
      <c r="G1" s="448" t="s">
        <v>203</v>
      </c>
      <c r="H1" s="448" t="s">
        <v>218</v>
      </c>
      <c r="I1" s="448" t="s">
        <v>1927</v>
      </c>
      <c r="J1" s="448" t="s">
        <v>1928</v>
      </c>
      <c r="K1" s="449" t="s">
        <v>1929</v>
      </c>
      <c r="L1" s="450" t="s">
        <v>1930</v>
      </c>
      <c r="M1" s="451" t="s">
        <v>1931</v>
      </c>
      <c r="N1" s="447" t="s">
        <v>1932</v>
      </c>
      <c r="O1" s="452" t="s">
        <v>1933</v>
      </c>
      <c r="P1" s="453" t="s">
        <v>1</v>
      </c>
      <c r="Q1" s="454" t="s">
        <v>1934</v>
      </c>
    </row>
    <row r="2" spans="1:17">
      <c r="A2" s="455">
        <v>46037</v>
      </c>
      <c r="B2" s="456" t="s">
        <v>1899</v>
      </c>
      <c r="C2" s="457" t="s">
        <v>1938</v>
      </c>
      <c r="D2" s="458" t="s">
        <v>1939</v>
      </c>
      <c r="E2" s="459">
        <v>46101</v>
      </c>
      <c r="F2" s="458" t="s">
        <v>1940</v>
      </c>
      <c r="G2" s="458" t="s">
        <v>1941</v>
      </c>
      <c r="H2" s="458" t="s">
        <v>2219</v>
      </c>
      <c r="I2" s="458" t="s">
        <v>1936</v>
      </c>
      <c r="J2" s="460">
        <v>111.64</v>
      </c>
      <c r="K2" s="458">
        <v>7.6400000000000006</v>
      </c>
      <c r="L2" s="461">
        <v>8.8000000000000007</v>
      </c>
      <c r="M2" s="462">
        <v>8.8000000000000007</v>
      </c>
      <c r="N2" s="460">
        <v>8.8000000000000007</v>
      </c>
      <c r="O2" s="463">
        <v>8.8000000000000007</v>
      </c>
      <c r="P2" s="464">
        <v>24.54013419</v>
      </c>
      <c r="Q2" s="465" t="s">
        <v>1937</v>
      </c>
    </row>
    <row r="3" spans="1:17">
      <c r="A3" s="455">
        <v>46037</v>
      </c>
      <c r="B3" s="456" t="s">
        <v>1900</v>
      </c>
      <c r="C3" s="457" t="s">
        <v>1943</v>
      </c>
      <c r="D3" s="458" t="s">
        <v>1939</v>
      </c>
      <c r="E3" s="459">
        <v>46101</v>
      </c>
      <c r="F3" s="458" t="s">
        <v>1940</v>
      </c>
      <c r="G3" s="458" t="s">
        <v>1941</v>
      </c>
      <c r="H3" s="458" t="s">
        <v>2220</v>
      </c>
      <c r="I3" s="458" t="s">
        <v>1936</v>
      </c>
      <c r="J3" s="460">
        <v>111.64</v>
      </c>
      <c r="K3" s="458">
        <v>0</v>
      </c>
      <c r="L3" s="461">
        <v>2.31</v>
      </c>
      <c r="M3" s="462">
        <v>2.31</v>
      </c>
      <c r="N3" s="460">
        <v>2.31</v>
      </c>
      <c r="O3" s="463">
        <v>2.31</v>
      </c>
      <c r="P3" s="464">
        <v>27.960334899999999</v>
      </c>
      <c r="Q3" s="465" t="s">
        <v>1942</v>
      </c>
    </row>
    <row r="4" spans="1:17">
      <c r="A4" s="455">
        <v>46037</v>
      </c>
      <c r="B4" s="456" t="s">
        <v>1948</v>
      </c>
      <c r="C4" s="457" t="s">
        <v>1949</v>
      </c>
      <c r="D4" s="458" t="s">
        <v>1950</v>
      </c>
      <c r="E4" s="459">
        <v>46280</v>
      </c>
      <c r="F4" s="458" t="s">
        <v>1940</v>
      </c>
      <c r="G4" s="458" t="s">
        <v>1941</v>
      </c>
      <c r="H4" s="458" t="s">
        <v>2221</v>
      </c>
      <c r="I4" s="458" t="s">
        <v>1936</v>
      </c>
      <c r="J4" s="466">
        <v>8129.9</v>
      </c>
      <c r="K4" s="458">
        <v>642.65099999999984</v>
      </c>
      <c r="L4" s="467">
        <v>880.76978692451996</v>
      </c>
      <c r="M4" s="468">
        <v>880.76978692451996</v>
      </c>
      <c r="N4" s="458">
        <v>880.76978692451996</v>
      </c>
      <c r="O4" s="469">
        <v>659.49574847007341</v>
      </c>
      <c r="P4" s="470">
        <v>20.017866816151468</v>
      </c>
      <c r="Q4" s="465" t="s">
        <v>1937</v>
      </c>
    </row>
    <row r="5" spans="1:17">
      <c r="A5" s="455">
        <v>46037</v>
      </c>
      <c r="B5" s="456" t="s">
        <v>1951</v>
      </c>
      <c r="C5" s="457" t="s">
        <v>1952</v>
      </c>
      <c r="D5" s="458" t="s">
        <v>1950</v>
      </c>
      <c r="E5" s="459">
        <v>46280</v>
      </c>
      <c r="F5" s="458" t="s">
        <v>1940</v>
      </c>
      <c r="G5" s="458" t="s">
        <v>1941</v>
      </c>
      <c r="H5" s="458" t="s">
        <v>2222</v>
      </c>
      <c r="I5" s="458" t="s">
        <v>1936</v>
      </c>
      <c r="J5" s="466">
        <v>8129.9</v>
      </c>
      <c r="K5" s="458">
        <v>0</v>
      </c>
      <c r="L5" s="467">
        <v>489.84513615438101</v>
      </c>
      <c r="M5" s="468">
        <v>489.84513615438101</v>
      </c>
      <c r="N5" s="458">
        <v>489.84513615438101</v>
      </c>
      <c r="O5" s="469">
        <v>339.24157887860764</v>
      </c>
      <c r="P5" s="470">
        <v>20.017866816151468</v>
      </c>
      <c r="Q5" s="465" t="s">
        <v>1937</v>
      </c>
    </row>
    <row r="6" spans="1:17">
      <c r="A6" s="455">
        <v>46037</v>
      </c>
      <c r="B6" s="470" t="s">
        <v>1953</v>
      </c>
      <c r="C6" s="457" t="s">
        <v>1954</v>
      </c>
      <c r="D6" s="458" t="s">
        <v>1955</v>
      </c>
      <c r="E6" s="459">
        <v>46129</v>
      </c>
      <c r="F6" s="458" t="s">
        <v>1940</v>
      </c>
      <c r="G6" s="458" t="s">
        <v>194</v>
      </c>
      <c r="H6" s="458" t="s">
        <v>2223</v>
      </c>
      <c r="I6" s="458"/>
      <c r="J6" s="471">
        <v>2.6</v>
      </c>
      <c r="K6" s="458">
        <v>5.0000000000000266E-2</v>
      </c>
      <c r="L6" s="472">
        <v>0.19508519917082701</v>
      </c>
      <c r="M6" s="473">
        <v>0.19508519917082701</v>
      </c>
      <c r="N6" s="458">
        <v>0.19508519917082701</v>
      </c>
      <c r="O6" s="458">
        <v>0.19527023304090571</v>
      </c>
      <c r="P6" s="470">
        <v>31.048295200134348</v>
      </c>
      <c r="Q6" s="465" t="s">
        <v>1937</v>
      </c>
    </row>
    <row r="7" spans="1:17">
      <c r="A7" s="455">
        <v>46037</v>
      </c>
      <c r="B7" s="470" t="s">
        <v>1956</v>
      </c>
      <c r="C7" s="457" t="s">
        <v>1957</v>
      </c>
      <c r="D7" s="458" t="s">
        <v>1955</v>
      </c>
      <c r="E7" s="459">
        <v>46129</v>
      </c>
      <c r="F7" s="458" t="s">
        <v>1935</v>
      </c>
      <c r="G7" s="458" t="s">
        <v>194</v>
      </c>
      <c r="H7" s="458" t="s">
        <v>2224</v>
      </c>
      <c r="I7" s="458"/>
      <c r="J7" s="471">
        <v>2.6</v>
      </c>
      <c r="K7" s="458">
        <v>0</v>
      </c>
      <c r="L7" s="472">
        <v>1.6656923782612569E-2</v>
      </c>
      <c r="M7" s="473">
        <v>1.6656923782612569E-2</v>
      </c>
      <c r="N7" s="458">
        <v>1.6656923782612569E-2</v>
      </c>
      <c r="O7" s="458">
        <v>1.6723445152665353E-2</v>
      </c>
      <c r="P7" s="470">
        <v>41.554191235208016</v>
      </c>
      <c r="Q7" s="465" t="s">
        <v>1937</v>
      </c>
    </row>
    <row r="8" spans="1:17">
      <c r="A8" s="455">
        <v>46037</v>
      </c>
      <c r="B8" s="470" t="s">
        <v>1958</v>
      </c>
      <c r="C8" s="457" t="s">
        <v>1959</v>
      </c>
      <c r="D8" s="458" t="s">
        <v>1955</v>
      </c>
      <c r="E8" s="459">
        <v>46129</v>
      </c>
      <c r="F8" s="458" t="s">
        <v>1935</v>
      </c>
      <c r="G8" s="458" t="s">
        <v>194</v>
      </c>
      <c r="H8" s="458" t="s">
        <v>2225</v>
      </c>
      <c r="I8" s="458"/>
      <c r="J8" s="471">
        <v>2.6</v>
      </c>
      <c r="K8" s="458">
        <v>0</v>
      </c>
      <c r="L8" s="472">
        <v>4.1937974802864701E-2</v>
      </c>
      <c r="M8" s="473">
        <v>4.1937974802864701E-2</v>
      </c>
      <c r="N8" s="458">
        <v>4.1937974802864701E-2</v>
      </c>
      <c r="O8" s="458">
        <v>4.1937974802864701E-2</v>
      </c>
      <c r="P8" s="470">
        <v>33.881983915794855</v>
      </c>
      <c r="Q8" s="465" t="s">
        <v>1937</v>
      </c>
    </row>
    <row r="9" spans="1:17">
      <c r="A9" s="455">
        <v>46037</v>
      </c>
      <c r="B9" s="470" t="s">
        <v>2030</v>
      </c>
      <c r="C9" s="457" t="s">
        <v>2036</v>
      </c>
      <c r="D9" s="458" t="s">
        <v>1947</v>
      </c>
      <c r="E9" s="459">
        <v>46191</v>
      </c>
      <c r="F9" s="458" t="s">
        <v>1940</v>
      </c>
      <c r="G9" s="458" t="s">
        <v>194</v>
      </c>
      <c r="H9" s="458" t="s">
        <v>2226</v>
      </c>
      <c r="I9" s="458"/>
      <c r="J9" s="471">
        <v>341.64</v>
      </c>
      <c r="K9" s="458">
        <v>41.639999999999986</v>
      </c>
      <c r="L9" s="472">
        <v>60.6</v>
      </c>
      <c r="M9" s="473">
        <v>62.95</v>
      </c>
      <c r="N9" s="458">
        <v>61.775000000000006</v>
      </c>
      <c r="O9" s="458">
        <v>61.775000000000006</v>
      </c>
      <c r="P9" s="470"/>
      <c r="Q9" s="465" t="s">
        <v>1944</v>
      </c>
    </row>
    <row r="10" spans="1:17">
      <c r="A10" s="455">
        <v>46037</v>
      </c>
      <c r="B10" s="470" t="s">
        <v>2029</v>
      </c>
      <c r="C10" s="457" t="s">
        <v>2037</v>
      </c>
      <c r="D10" s="458" t="s">
        <v>1947</v>
      </c>
      <c r="E10" s="459">
        <v>46191</v>
      </c>
      <c r="F10" s="458" t="s">
        <v>1940</v>
      </c>
      <c r="G10" s="458" t="s">
        <v>194</v>
      </c>
      <c r="H10" s="458" t="s">
        <v>2227</v>
      </c>
      <c r="I10" s="458"/>
      <c r="J10" s="471">
        <v>341.64</v>
      </c>
      <c r="K10" s="458">
        <v>0</v>
      </c>
      <c r="L10" s="472">
        <v>24.8</v>
      </c>
      <c r="M10" s="473">
        <v>27.2</v>
      </c>
      <c r="N10" s="458">
        <v>26</v>
      </c>
      <c r="O10" s="458">
        <v>26</v>
      </c>
      <c r="P10" s="470"/>
      <c r="Q10" s="465" t="s">
        <v>1944</v>
      </c>
    </row>
    <row r="11" spans="1:17">
      <c r="A11" s="455">
        <v>46037</v>
      </c>
      <c r="B11" s="470" t="s">
        <v>2032</v>
      </c>
      <c r="C11" s="457" t="s">
        <v>2038</v>
      </c>
      <c r="D11" s="458" t="s">
        <v>1947</v>
      </c>
      <c r="E11" s="459">
        <v>46191</v>
      </c>
      <c r="F11" s="458" t="s">
        <v>1935</v>
      </c>
      <c r="G11" s="458" t="s">
        <v>194</v>
      </c>
      <c r="H11" s="458" t="s">
        <v>2228</v>
      </c>
      <c r="I11" s="458"/>
      <c r="J11" s="471">
        <v>341.64</v>
      </c>
      <c r="K11" s="458">
        <v>0</v>
      </c>
      <c r="L11" s="472">
        <v>5.4</v>
      </c>
      <c r="M11" s="473">
        <v>6.35</v>
      </c>
      <c r="N11" s="458">
        <v>5.875</v>
      </c>
      <c r="O11" s="458">
        <v>5.875</v>
      </c>
      <c r="P11" s="470"/>
      <c r="Q11" s="465" t="s">
        <v>1944</v>
      </c>
    </row>
    <row r="12" spans="1:17">
      <c r="A12" s="455">
        <v>46037</v>
      </c>
      <c r="B12" s="470" t="s">
        <v>2031</v>
      </c>
      <c r="C12" s="457" t="s">
        <v>2039</v>
      </c>
      <c r="D12" s="458" t="s">
        <v>1947</v>
      </c>
      <c r="E12" s="459">
        <v>46191</v>
      </c>
      <c r="F12" s="458" t="s">
        <v>1935</v>
      </c>
      <c r="G12" s="458" t="s">
        <v>194</v>
      </c>
      <c r="H12" s="458" t="s">
        <v>2229</v>
      </c>
      <c r="I12" s="458"/>
      <c r="J12" s="471">
        <v>341.64</v>
      </c>
      <c r="K12" s="458">
        <v>0</v>
      </c>
      <c r="L12" s="472">
        <v>2.2000000000000002</v>
      </c>
      <c r="M12" s="473">
        <v>2.64</v>
      </c>
      <c r="N12" s="458">
        <v>2.42</v>
      </c>
      <c r="O12" s="458">
        <v>2.42</v>
      </c>
      <c r="P12" s="470"/>
      <c r="Q12" s="465" t="s">
        <v>1944</v>
      </c>
    </row>
    <row r="13" spans="1:17">
      <c r="A13" s="455">
        <v>46037</v>
      </c>
      <c r="B13" s="470" t="s">
        <v>2035</v>
      </c>
      <c r="C13" s="457" t="s">
        <v>2040</v>
      </c>
      <c r="D13" s="458" t="s">
        <v>1946</v>
      </c>
      <c r="E13" s="459">
        <v>46191</v>
      </c>
      <c r="F13" s="458" t="s">
        <v>1935</v>
      </c>
      <c r="G13" s="458" t="s">
        <v>194</v>
      </c>
      <c r="H13" s="458" t="s">
        <v>2230</v>
      </c>
      <c r="I13" s="458"/>
      <c r="J13" s="471">
        <v>456.66</v>
      </c>
      <c r="K13" s="458">
        <v>0</v>
      </c>
      <c r="L13" s="472">
        <v>17.3</v>
      </c>
      <c r="M13" s="473">
        <v>18.100000000000001</v>
      </c>
      <c r="N13" s="458">
        <v>17.700000000000003</v>
      </c>
      <c r="O13" s="458">
        <v>17.700000000000003</v>
      </c>
      <c r="P13" s="470"/>
      <c r="Q13" s="465" t="s">
        <v>1944</v>
      </c>
    </row>
    <row r="14" spans="1:17">
      <c r="A14" s="455">
        <v>46037</v>
      </c>
      <c r="B14" s="470" t="s">
        <v>2034</v>
      </c>
      <c r="C14" s="457" t="s">
        <v>2041</v>
      </c>
      <c r="D14" s="458" t="s">
        <v>1946</v>
      </c>
      <c r="E14" s="459">
        <v>46191</v>
      </c>
      <c r="F14" s="458" t="s">
        <v>1940</v>
      </c>
      <c r="G14" s="458" t="s">
        <v>194</v>
      </c>
      <c r="H14" s="458" t="s">
        <v>2231</v>
      </c>
      <c r="I14" s="458"/>
      <c r="J14" s="471">
        <v>456.66</v>
      </c>
      <c r="K14" s="458">
        <v>0</v>
      </c>
      <c r="L14" s="472">
        <v>14.05</v>
      </c>
      <c r="M14" s="473">
        <v>14.3</v>
      </c>
      <c r="N14" s="458">
        <v>14.175000000000001</v>
      </c>
      <c r="O14" s="458">
        <v>14.175000000000001</v>
      </c>
      <c r="P14" s="470"/>
      <c r="Q14" s="465" t="s">
        <v>1944</v>
      </c>
    </row>
    <row r="15" spans="1:17">
      <c r="A15" s="455">
        <v>46037</v>
      </c>
      <c r="B15" s="470" t="s">
        <v>2033</v>
      </c>
      <c r="C15" s="457" t="s">
        <v>2042</v>
      </c>
      <c r="D15" s="458" t="s">
        <v>1946</v>
      </c>
      <c r="E15" s="459">
        <v>46191</v>
      </c>
      <c r="F15" s="458" t="s">
        <v>1940</v>
      </c>
      <c r="G15" s="458" t="s">
        <v>194</v>
      </c>
      <c r="H15" s="458" t="s">
        <v>2232</v>
      </c>
      <c r="I15" s="458"/>
      <c r="J15" s="471">
        <v>456.66</v>
      </c>
      <c r="K15" s="458">
        <v>0</v>
      </c>
      <c r="L15" s="472">
        <v>3.55</v>
      </c>
      <c r="M15" s="473">
        <v>3.7</v>
      </c>
      <c r="N15" s="458">
        <v>3.625</v>
      </c>
      <c r="O15" s="458">
        <v>3.625</v>
      </c>
      <c r="P15" s="470"/>
      <c r="Q15" s="465" t="s">
        <v>1944</v>
      </c>
    </row>
    <row r="16" spans="1:17">
      <c r="A16" s="455">
        <v>46037</v>
      </c>
      <c r="B16" s="470" t="s">
        <v>2047</v>
      </c>
      <c r="C16" s="457" t="s">
        <v>2048</v>
      </c>
      <c r="D16" s="458" t="s">
        <v>1960</v>
      </c>
      <c r="E16" s="459">
        <v>46101</v>
      </c>
      <c r="F16" s="458" t="s">
        <v>1935</v>
      </c>
      <c r="G16" s="458" t="s">
        <v>194</v>
      </c>
      <c r="H16" s="458" t="s">
        <v>2233</v>
      </c>
      <c r="I16" s="458"/>
      <c r="J16" s="471">
        <v>621.78</v>
      </c>
      <c r="K16" s="458">
        <v>0</v>
      </c>
      <c r="L16" s="472">
        <v>3.96</v>
      </c>
      <c r="M16" s="473">
        <v>4.03</v>
      </c>
      <c r="N16" s="458">
        <v>3.9950000000000001</v>
      </c>
      <c r="O16" s="458">
        <v>3.9950000000000001</v>
      </c>
      <c r="P16" s="470"/>
      <c r="Q16" s="465" t="s">
        <v>1944</v>
      </c>
    </row>
    <row r="17" spans="1:17">
      <c r="A17" s="455">
        <v>46037</v>
      </c>
      <c r="B17" s="470" t="s">
        <v>2046</v>
      </c>
      <c r="C17" s="457" t="s">
        <v>2050</v>
      </c>
      <c r="D17" s="458" t="s">
        <v>1960</v>
      </c>
      <c r="E17" s="459">
        <v>46101</v>
      </c>
      <c r="F17" s="458" t="s">
        <v>1935</v>
      </c>
      <c r="G17" s="458" t="s">
        <v>194</v>
      </c>
      <c r="H17" s="458" t="s">
        <v>2234</v>
      </c>
      <c r="I17" s="458"/>
      <c r="J17" s="471">
        <v>621.78</v>
      </c>
      <c r="K17" s="458">
        <v>0</v>
      </c>
      <c r="L17" s="472">
        <v>7.44</v>
      </c>
      <c r="M17" s="473">
        <v>7.52</v>
      </c>
      <c r="N17" s="458">
        <v>7.48</v>
      </c>
      <c r="O17" s="458">
        <v>7.48</v>
      </c>
      <c r="P17" s="470"/>
      <c r="Q17" s="465" t="s">
        <v>1944</v>
      </c>
    </row>
    <row r="18" spans="1:17">
      <c r="A18" s="455">
        <v>46037</v>
      </c>
      <c r="B18" s="470" t="s">
        <v>2051</v>
      </c>
      <c r="C18" s="457" t="s">
        <v>2054</v>
      </c>
      <c r="D18" s="458" t="s">
        <v>2049</v>
      </c>
      <c r="E18" s="459">
        <v>46191</v>
      </c>
      <c r="F18" s="458" t="s">
        <v>1940</v>
      </c>
      <c r="G18" s="458" t="s">
        <v>194</v>
      </c>
      <c r="H18" s="458" t="s">
        <v>2235</v>
      </c>
      <c r="I18" s="458"/>
      <c r="J18" s="471">
        <v>238.18</v>
      </c>
      <c r="K18" s="458">
        <v>8.1800000000000068</v>
      </c>
      <c r="L18" s="472">
        <v>27.45</v>
      </c>
      <c r="M18" s="473">
        <v>27.8</v>
      </c>
      <c r="N18" s="458">
        <v>27.625</v>
      </c>
      <c r="O18" s="458">
        <v>27.625</v>
      </c>
      <c r="P18" s="470"/>
      <c r="Q18" s="465" t="s">
        <v>1944</v>
      </c>
    </row>
    <row r="19" spans="1:17">
      <c r="A19" s="455">
        <v>46037</v>
      </c>
      <c r="B19" s="470" t="s">
        <v>2052</v>
      </c>
      <c r="C19" s="457" t="s">
        <v>2055</v>
      </c>
      <c r="D19" s="458" t="s">
        <v>2049</v>
      </c>
      <c r="E19" s="459">
        <v>46191</v>
      </c>
      <c r="F19" s="458" t="s">
        <v>1940</v>
      </c>
      <c r="G19" s="458" t="s">
        <v>194</v>
      </c>
      <c r="H19" s="458" t="s">
        <v>2236</v>
      </c>
      <c r="I19" s="458"/>
      <c r="J19" s="471">
        <v>238.18</v>
      </c>
      <c r="K19" s="458">
        <v>0</v>
      </c>
      <c r="L19" s="472">
        <v>13.85</v>
      </c>
      <c r="M19" s="473">
        <v>14</v>
      </c>
      <c r="N19" s="458">
        <v>13.925000000000001</v>
      </c>
      <c r="O19" s="458">
        <v>13.925000000000001</v>
      </c>
      <c r="P19" s="470"/>
      <c r="Q19" s="465" t="s">
        <v>1944</v>
      </c>
    </row>
    <row r="20" spans="1:17">
      <c r="A20" s="455">
        <v>46037</v>
      </c>
      <c r="B20" s="470" t="s">
        <v>2053</v>
      </c>
      <c r="C20" s="457" t="s">
        <v>2056</v>
      </c>
      <c r="D20" s="458" t="s">
        <v>2049</v>
      </c>
      <c r="E20" s="459">
        <v>46191</v>
      </c>
      <c r="F20" s="458" t="s">
        <v>1935</v>
      </c>
      <c r="G20" s="458" t="s">
        <v>194</v>
      </c>
      <c r="H20" s="458" t="s">
        <v>2237</v>
      </c>
      <c r="I20" s="458"/>
      <c r="J20" s="471">
        <v>238.18</v>
      </c>
      <c r="K20" s="458">
        <v>0</v>
      </c>
      <c r="L20" s="472">
        <v>6.35</v>
      </c>
      <c r="M20" s="473">
        <v>6.45</v>
      </c>
      <c r="N20" s="458">
        <v>6.4</v>
      </c>
      <c r="O20" s="458">
        <v>6.4</v>
      </c>
      <c r="P20" s="470"/>
      <c r="Q20" s="465" t="s">
        <v>1944</v>
      </c>
    </row>
    <row r="21" spans="1:17">
      <c r="A21" s="455">
        <v>46037</v>
      </c>
      <c r="B21" s="470" t="s">
        <v>2060</v>
      </c>
      <c r="C21" s="457" t="s">
        <v>2065</v>
      </c>
      <c r="D21" s="458" t="s">
        <v>1947</v>
      </c>
      <c r="E21" s="459">
        <v>46038</v>
      </c>
      <c r="F21" s="458" t="s">
        <v>1940</v>
      </c>
      <c r="G21" s="458" t="s">
        <v>194</v>
      </c>
      <c r="H21" s="458" t="s">
        <v>2226</v>
      </c>
      <c r="I21" s="458"/>
      <c r="J21" s="471">
        <v>341.64</v>
      </c>
      <c r="K21" s="458">
        <v>41.639999999999986</v>
      </c>
      <c r="L21" s="472">
        <v>40.5</v>
      </c>
      <c r="M21" s="473">
        <v>42.1</v>
      </c>
      <c r="N21" s="458">
        <v>41.3</v>
      </c>
      <c r="O21" s="458">
        <v>41.639999999999986</v>
      </c>
      <c r="P21" s="470"/>
      <c r="Q21" s="465" t="s">
        <v>1944</v>
      </c>
    </row>
    <row r="22" spans="1:17">
      <c r="A22" s="455">
        <v>46037</v>
      </c>
      <c r="B22" s="470" t="s">
        <v>2061</v>
      </c>
      <c r="C22" s="457" t="s">
        <v>2066</v>
      </c>
      <c r="D22" s="458" t="s">
        <v>1947</v>
      </c>
      <c r="E22" s="459">
        <v>46038</v>
      </c>
      <c r="F22" s="458" t="s">
        <v>1940</v>
      </c>
      <c r="G22" s="458" t="s">
        <v>194</v>
      </c>
      <c r="H22" s="458" t="s">
        <v>2238</v>
      </c>
      <c r="I22" s="458"/>
      <c r="J22" s="471">
        <v>341.64</v>
      </c>
      <c r="K22" s="458">
        <v>11.639999999999986</v>
      </c>
      <c r="L22" s="472">
        <v>11.5</v>
      </c>
      <c r="M22" s="473">
        <v>12.8</v>
      </c>
      <c r="N22" s="458">
        <v>12.15</v>
      </c>
      <c r="O22" s="458">
        <v>12.15</v>
      </c>
      <c r="P22" s="470"/>
      <c r="Q22" s="465" t="s">
        <v>1944</v>
      </c>
    </row>
    <row r="23" spans="1:17">
      <c r="A23" s="455">
        <v>46037</v>
      </c>
      <c r="B23" s="470" t="s">
        <v>2063</v>
      </c>
      <c r="C23" s="457" t="s">
        <v>2067</v>
      </c>
      <c r="D23" s="458" t="s">
        <v>2049</v>
      </c>
      <c r="E23" s="459">
        <v>46038</v>
      </c>
      <c r="F23" s="458" t="s">
        <v>1940</v>
      </c>
      <c r="G23" s="458" t="s">
        <v>194</v>
      </c>
      <c r="H23" s="458" t="s">
        <v>2239</v>
      </c>
      <c r="I23" s="458"/>
      <c r="J23" s="466">
        <v>238.18</v>
      </c>
      <c r="K23" s="458">
        <v>0</v>
      </c>
      <c r="L23" s="467">
        <v>1.4078239039114255E-6</v>
      </c>
      <c r="M23" s="468">
        <v>1.4078239039114255E-6</v>
      </c>
      <c r="N23" s="458">
        <v>1.4078239039114255E-6</v>
      </c>
      <c r="O23" s="458">
        <v>1.0293289018484653E-5</v>
      </c>
      <c r="P23" s="470">
        <v>43.262478494858172</v>
      </c>
      <c r="Q23" s="465" t="s">
        <v>1937</v>
      </c>
    </row>
    <row r="24" spans="1:17">
      <c r="A24" s="455">
        <v>46037</v>
      </c>
      <c r="B24" s="470" t="s">
        <v>2064</v>
      </c>
      <c r="C24" s="457" t="s">
        <v>2068</v>
      </c>
      <c r="D24" s="458" t="s">
        <v>2049</v>
      </c>
      <c r="E24" s="459">
        <v>46038</v>
      </c>
      <c r="F24" s="458" t="s">
        <v>1935</v>
      </c>
      <c r="G24" s="458" t="s">
        <v>194</v>
      </c>
      <c r="H24" s="458" t="s">
        <v>2240</v>
      </c>
      <c r="I24" s="458"/>
      <c r="J24" s="471">
        <v>238.18</v>
      </c>
      <c r="K24" s="458">
        <v>0</v>
      </c>
      <c r="L24" s="472">
        <v>0.02</v>
      </c>
      <c r="M24" s="473">
        <v>0.03</v>
      </c>
      <c r="N24" s="458">
        <v>2.5000000000000001E-2</v>
      </c>
      <c r="O24" s="458">
        <v>2.5000000000000001E-2</v>
      </c>
      <c r="P24" s="470"/>
      <c r="Q24" s="465" t="s">
        <v>1944</v>
      </c>
    </row>
    <row r="25" spans="1:17">
      <c r="A25" s="455">
        <v>46037</v>
      </c>
      <c r="B25" s="470" t="s">
        <v>2062</v>
      </c>
      <c r="C25" s="457" t="s">
        <v>2069</v>
      </c>
      <c r="D25" s="458" t="s">
        <v>2049</v>
      </c>
      <c r="E25" s="459">
        <v>46038</v>
      </c>
      <c r="F25" s="458" t="s">
        <v>1935</v>
      </c>
      <c r="G25" s="458" t="s">
        <v>194</v>
      </c>
      <c r="H25" s="458" t="s">
        <v>2235</v>
      </c>
      <c r="I25" s="458"/>
      <c r="J25" s="471">
        <v>238.18</v>
      </c>
      <c r="K25" s="458">
        <v>0</v>
      </c>
      <c r="L25" s="472">
        <v>0.08</v>
      </c>
      <c r="M25" s="473">
        <v>0.1</v>
      </c>
      <c r="N25" s="458">
        <v>0.09</v>
      </c>
      <c r="O25" s="458">
        <v>0.09</v>
      </c>
      <c r="P25" s="470"/>
      <c r="Q25" s="465" t="s">
        <v>1944</v>
      </c>
    </row>
    <row r="26" spans="1:17">
      <c r="A26" s="455">
        <v>46037</v>
      </c>
      <c r="B26" s="470" t="s">
        <v>2085</v>
      </c>
      <c r="C26" s="457" t="s">
        <v>2088</v>
      </c>
      <c r="D26" s="458" t="s">
        <v>1946</v>
      </c>
      <c r="E26" s="459">
        <v>46101</v>
      </c>
      <c r="F26" s="458" t="s">
        <v>1940</v>
      </c>
      <c r="G26" s="458" t="s">
        <v>194</v>
      </c>
      <c r="H26" s="458" t="s">
        <v>2241</v>
      </c>
      <c r="I26" s="458"/>
      <c r="J26" s="471">
        <v>456.66</v>
      </c>
      <c r="K26" s="458">
        <v>0</v>
      </c>
      <c r="L26" s="472">
        <v>9.65</v>
      </c>
      <c r="M26" s="473">
        <v>9.8000000000000007</v>
      </c>
      <c r="N26" s="458">
        <v>9.7250000000000014</v>
      </c>
      <c r="O26" s="458">
        <v>9.7250000000000014</v>
      </c>
      <c r="P26" s="470"/>
      <c r="Q26" s="465" t="s">
        <v>1944</v>
      </c>
    </row>
    <row r="27" spans="1:17">
      <c r="A27" s="455">
        <v>46037</v>
      </c>
      <c r="B27" s="470" t="s">
        <v>2084</v>
      </c>
      <c r="C27" s="457" t="s">
        <v>2089</v>
      </c>
      <c r="D27" s="458" t="s">
        <v>1946</v>
      </c>
      <c r="E27" s="459">
        <v>46101</v>
      </c>
      <c r="F27" s="458" t="s">
        <v>1940</v>
      </c>
      <c r="G27" s="458" t="s">
        <v>194</v>
      </c>
      <c r="H27" s="458" t="s">
        <v>2231</v>
      </c>
      <c r="I27" s="458"/>
      <c r="J27" s="471">
        <v>456.66</v>
      </c>
      <c r="K27" s="458">
        <v>0</v>
      </c>
      <c r="L27" s="472">
        <v>4.4000000000000004</v>
      </c>
      <c r="M27" s="473">
        <v>4.5999999999999996</v>
      </c>
      <c r="N27" s="458">
        <v>4.5</v>
      </c>
      <c r="O27" s="458">
        <v>4.5</v>
      </c>
      <c r="P27" s="470"/>
      <c r="Q27" s="465" t="s">
        <v>1944</v>
      </c>
    </row>
    <row r="28" spans="1:17" ht="45">
      <c r="A28" s="455">
        <v>46037</v>
      </c>
      <c r="B28" s="474" t="s">
        <v>2087</v>
      </c>
      <c r="C28" s="457" t="s">
        <v>2090</v>
      </c>
      <c r="D28" s="458" t="s">
        <v>1946</v>
      </c>
      <c r="E28" s="459">
        <v>46101</v>
      </c>
      <c r="F28" s="458" t="s">
        <v>1935</v>
      </c>
      <c r="G28" s="458" t="s">
        <v>194</v>
      </c>
      <c r="H28" s="458" t="s">
        <v>2242</v>
      </c>
      <c r="I28" s="458"/>
      <c r="J28" s="471">
        <v>456.66</v>
      </c>
      <c r="K28" s="458">
        <v>0</v>
      </c>
      <c r="L28" s="472">
        <v>19.5</v>
      </c>
      <c r="M28" s="473">
        <v>19.7</v>
      </c>
      <c r="N28" s="458">
        <v>19.600000000000001</v>
      </c>
      <c r="O28" s="458">
        <v>19.600000000000001</v>
      </c>
      <c r="P28" s="470"/>
      <c r="Q28" s="465" t="s">
        <v>1944</v>
      </c>
    </row>
    <row r="29" spans="1:17" ht="45">
      <c r="A29" s="455">
        <v>46037</v>
      </c>
      <c r="B29" s="474" t="s">
        <v>2086</v>
      </c>
      <c r="C29" s="457" t="s">
        <v>2091</v>
      </c>
      <c r="D29" s="458" t="s">
        <v>1946</v>
      </c>
      <c r="E29" s="459">
        <v>46101</v>
      </c>
      <c r="F29" s="458" t="s">
        <v>1935</v>
      </c>
      <c r="G29" s="458" t="s">
        <v>194</v>
      </c>
      <c r="H29" s="458" t="s">
        <v>2243</v>
      </c>
      <c r="I29" s="458"/>
      <c r="J29" s="471">
        <v>456.66</v>
      </c>
      <c r="K29" s="458">
        <v>8.339999999999975</v>
      </c>
      <c r="L29" s="472">
        <v>24.6</v>
      </c>
      <c r="M29" s="473">
        <v>24.8</v>
      </c>
      <c r="N29" s="458">
        <v>24.700000000000003</v>
      </c>
      <c r="O29" s="458">
        <v>24.700000000000003</v>
      </c>
      <c r="P29" s="470"/>
      <c r="Q29" s="465" t="s">
        <v>1944</v>
      </c>
    </row>
    <row r="30" spans="1:17" ht="45">
      <c r="A30" s="455">
        <v>46037</v>
      </c>
      <c r="B30" s="474" t="s">
        <v>2095</v>
      </c>
      <c r="C30" s="457" t="s">
        <v>2097</v>
      </c>
      <c r="D30" s="458" t="s">
        <v>2098</v>
      </c>
      <c r="E30" s="459">
        <v>46101</v>
      </c>
      <c r="F30" s="458" t="s">
        <v>1935</v>
      </c>
      <c r="G30" s="458" t="s">
        <v>194</v>
      </c>
      <c r="H30" s="458" t="s">
        <v>2244</v>
      </c>
      <c r="I30" s="458"/>
      <c r="J30" s="471">
        <v>80.38</v>
      </c>
      <c r="K30" s="458">
        <v>0</v>
      </c>
      <c r="L30" s="472">
        <v>7.15</v>
      </c>
      <c r="M30" s="473">
        <v>7.5</v>
      </c>
      <c r="N30" s="458">
        <v>7.3250000000000002</v>
      </c>
      <c r="O30" s="458">
        <v>7.3250000000000002</v>
      </c>
      <c r="P30" s="470"/>
      <c r="Q30" s="465" t="s">
        <v>1944</v>
      </c>
    </row>
    <row r="31" spans="1:17" ht="45">
      <c r="A31" s="455">
        <v>46037</v>
      </c>
      <c r="B31" s="474" t="s">
        <v>2096</v>
      </c>
      <c r="C31" s="457" t="s">
        <v>2099</v>
      </c>
      <c r="D31" s="458" t="s">
        <v>2098</v>
      </c>
      <c r="E31" s="459">
        <v>46101</v>
      </c>
      <c r="F31" s="458" t="s">
        <v>1935</v>
      </c>
      <c r="G31" s="458" t="s">
        <v>194</v>
      </c>
      <c r="H31" s="458" t="s">
        <v>2245</v>
      </c>
      <c r="I31" s="458"/>
      <c r="J31" s="471">
        <v>80.38</v>
      </c>
      <c r="K31" s="458">
        <v>9.6200000000000045</v>
      </c>
      <c r="L31" s="472">
        <v>11.9</v>
      </c>
      <c r="M31" s="473">
        <v>13.85</v>
      </c>
      <c r="N31" s="458">
        <v>12.875</v>
      </c>
      <c r="O31" s="458">
        <v>12.875</v>
      </c>
      <c r="P31" s="470"/>
      <c r="Q31" s="465" t="s">
        <v>1944</v>
      </c>
    </row>
    <row r="32" spans="1:17" ht="45">
      <c r="A32" s="455">
        <v>46037</v>
      </c>
      <c r="B32" s="474" t="s">
        <v>2104</v>
      </c>
      <c r="C32" s="457" t="s">
        <v>2105</v>
      </c>
      <c r="D32" s="458" t="s">
        <v>1945</v>
      </c>
      <c r="E32" s="459">
        <v>46038</v>
      </c>
      <c r="F32" s="458" t="s">
        <v>1935</v>
      </c>
      <c r="G32" s="458" t="s">
        <v>194</v>
      </c>
      <c r="H32" s="458" t="s">
        <v>2246</v>
      </c>
      <c r="I32" s="458"/>
      <c r="J32" s="466">
        <v>33.36</v>
      </c>
      <c r="K32" s="458">
        <v>0.64000000000000057</v>
      </c>
      <c r="L32" s="467">
        <v>0.65163795891505183</v>
      </c>
      <c r="M32" s="468">
        <v>0.65163795891505183</v>
      </c>
      <c r="N32" s="458">
        <v>0.65163795891505183</v>
      </c>
      <c r="O32" s="458">
        <v>0.65831581947672679</v>
      </c>
      <c r="P32" s="470">
        <v>26.164479281564002</v>
      </c>
      <c r="Q32" s="465" t="s">
        <v>1937</v>
      </c>
    </row>
    <row r="33" spans="1:17" ht="45">
      <c r="A33" s="455">
        <v>46037</v>
      </c>
      <c r="B33" s="474" t="s">
        <v>2107</v>
      </c>
      <c r="C33" s="457" t="s">
        <v>2109</v>
      </c>
      <c r="D33" s="458" t="s">
        <v>2110</v>
      </c>
      <c r="E33" s="459">
        <v>46129</v>
      </c>
      <c r="F33" s="458" t="s">
        <v>1940</v>
      </c>
      <c r="G33" s="458" t="s">
        <v>194</v>
      </c>
      <c r="H33" s="458" t="s">
        <v>2247</v>
      </c>
      <c r="I33" s="458"/>
      <c r="J33" s="471">
        <v>620.79999999999995</v>
      </c>
      <c r="K33" s="458">
        <v>0</v>
      </c>
      <c r="L33" s="472">
        <v>18.8</v>
      </c>
      <c r="M33" s="473">
        <v>19.05</v>
      </c>
      <c r="N33" s="458">
        <v>18.925000000000001</v>
      </c>
      <c r="O33" s="458">
        <v>18.925000000000001</v>
      </c>
      <c r="P33" s="470"/>
      <c r="Q33" s="465" t="s">
        <v>1944</v>
      </c>
    </row>
    <row r="34" spans="1:17">
      <c r="A34" s="455">
        <v>46037</v>
      </c>
      <c r="B34" s="456" t="s">
        <v>2106</v>
      </c>
      <c r="C34" s="457" t="s">
        <v>2111</v>
      </c>
      <c r="D34" s="458" t="s">
        <v>2110</v>
      </c>
      <c r="E34" s="459">
        <v>46129</v>
      </c>
      <c r="F34" s="458" t="s">
        <v>1940</v>
      </c>
      <c r="G34" s="458" t="s">
        <v>194</v>
      </c>
      <c r="H34" s="458" t="s">
        <v>2248</v>
      </c>
      <c r="I34" s="458"/>
      <c r="J34" s="471">
        <v>620.79999999999995</v>
      </c>
      <c r="K34" s="458">
        <v>0</v>
      </c>
      <c r="L34" s="472">
        <v>8.1999999999999993</v>
      </c>
      <c r="M34" s="473">
        <v>8.4</v>
      </c>
      <c r="N34" s="458">
        <v>8.3000000000000007</v>
      </c>
      <c r="O34" s="458">
        <v>8.3000000000000007</v>
      </c>
      <c r="P34" s="470"/>
      <c r="Q34" s="465" t="s">
        <v>1944</v>
      </c>
    </row>
    <row r="35" spans="1:17" ht="45">
      <c r="A35" s="455">
        <v>46037</v>
      </c>
      <c r="B35" s="474" t="s">
        <v>2108</v>
      </c>
      <c r="C35" s="457" t="s">
        <v>2112</v>
      </c>
      <c r="D35" s="458" t="s">
        <v>2110</v>
      </c>
      <c r="E35" s="459">
        <v>46129</v>
      </c>
      <c r="F35" s="458" t="s">
        <v>1935</v>
      </c>
      <c r="G35" s="458" t="s">
        <v>194</v>
      </c>
      <c r="H35" s="458" t="s">
        <v>2249</v>
      </c>
      <c r="I35" s="458"/>
      <c r="J35" s="471">
        <v>620.79999999999995</v>
      </c>
      <c r="K35" s="458">
        <v>0</v>
      </c>
      <c r="L35" s="472">
        <v>25.3</v>
      </c>
      <c r="M35" s="473">
        <v>25.6</v>
      </c>
      <c r="N35" s="458">
        <v>25.450000000000003</v>
      </c>
      <c r="O35" s="458">
        <v>25.450000000000003</v>
      </c>
      <c r="P35" s="470"/>
      <c r="Q35" s="465" t="s">
        <v>1944</v>
      </c>
    </row>
    <row r="36" spans="1:17" ht="45">
      <c r="A36" s="455">
        <v>46037</v>
      </c>
      <c r="B36" s="474" t="s">
        <v>2114</v>
      </c>
      <c r="C36" s="457" t="s">
        <v>2119</v>
      </c>
      <c r="D36" s="458" t="s">
        <v>2120</v>
      </c>
      <c r="E36" s="459">
        <v>46073</v>
      </c>
      <c r="F36" s="458" t="s">
        <v>1940</v>
      </c>
      <c r="G36" s="458" t="s">
        <v>194</v>
      </c>
      <c r="H36" s="458" t="s">
        <v>2250</v>
      </c>
      <c r="I36" s="458"/>
      <c r="J36" s="471">
        <v>343.27</v>
      </c>
      <c r="K36" s="458">
        <v>0</v>
      </c>
      <c r="L36" s="472">
        <v>14.6</v>
      </c>
      <c r="M36" s="473">
        <v>17.7</v>
      </c>
      <c r="N36" s="458">
        <v>16.149999999999999</v>
      </c>
      <c r="O36" s="458">
        <v>16.149999999999999</v>
      </c>
      <c r="P36" s="470"/>
      <c r="Q36" s="465" t="s">
        <v>1944</v>
      </c>
    </row>
    <row r="37" spans="1:17" ht="45">
      <c r="A37" s="455">
        <v>46037</v>
      </c>
      <c r="B37" s="474" t="s">
        <v>2113</v>
      </c>
      <c r="C37" s="457" t="s">
        <v>2121</v>
      </c>
      <c r="D37" s="458" t="s">
        <v>2120</v>
      </c>
      <c r="E37" s="459">
        <v>46073</v>
      </c>
      <c r="F37" s="458" t="s">
        <v>1940</v>
      </c>
      <c r="G37" s="458" t="s">
        <v>194</v>
      </c>
      <c r="H37" s="458" t="s">
        <v>2251</v>
      </c>
      <c r="I37" s="458"/>
      <c r="J37" s="471">
        <v>343.27</v>
      </c>
      <c r="K37" s="458">
        <v>0</v>
      </c>
      <c r="L37" s="472">
        <v>24.5</v>
      </c>
      <c r="M37" s="473">
        <v>27</v>
      </c>
      <c r="N37" s="458">
        <v>25.75</v>
      </c>
      <c r="O37" s="458">
        <v>25.75</v>
      </c>
      <c r="P37" s="470"/>
      <c r="Q37" s="465" t="s">
        <v>1944</v>
      </c>
    </row>
    <row r="38" spans="1:17" ht="45">
      <c r="A38" s="455">
        <v>46037</v>
      </c>
      <c r="B38" s="474" t="s">
        <v>2117</v>
      </c>
      <c r="C38" s="457" t="s">
        <v>2122</v>
      </c>
      <c r="D38" s="458" t="s">
        <v>2123</v>
      </c>
      <c r="E38" s="459">
        <v>46101</v>
      </c>
      <c r="F38" s="458" t="s">
        <v>1940</v>
      </c>
      <c r="G38" s="458" t="s">
        <v>194</v>
      </c>
      <c r="H38" s="458" t="s">
        <v>2229</v>
      </c>
      <c r="I38" s="458"/>
      <c r="J38" s="471">
        <v>195.96</v>
      </c>
      <c r="K38" s="458">
        <v>0</v>
      </c>
      <c r="L38" s="472">
        <v>19</v>
      </c>
      <c r="M38" s="473">
        <v>21.1</v>
      </c>
      <c r="N38" s="458">
        <v>20.05</v>
      </c>
      <c r="O38" s="458">
        <v>20.05</v>
      </c>
      <c r="P38" s="470"/>
      <c r="Q38" s="465" t="s">
        <v>1944</v>
      </c>
    </row>
    <row r="39" spans="1:17" ht="45">
      <c r="A39" s="455">
        <v>46037</v>
      </c>
      <c r="B39" s="474" t="s">
        <v>2118</v>
      </c>
      <c r="C39" s="457" t="s">
        <v>2124</v>
      </c>
      <c r="D39" s="458" t="s">
        <v>2123</v>
      </c>
      <c r="E39" s="459">
        <v>46101</v>
      </c>
      <c r="F39" s="458" t="s">
        <v>1940</v>
      </c>
      <c r="G39" s="458" t="s">
        <v>194</v>
      </c>
      <c r="H39" s="458" t="s">
        <v>2228</v>
      </c>
      <c r="I39" s="458"/>
      <c r="J39" s="471">
        <v>195.96</v>
      </c>
      <c r="K39" s="458">
        <v>0</v>
      </c>
      <c r="L39" s="472">
        <v>8</v>
      </c>
      <c r="M39" s="473">
        <v>11.5</v>
      </c>
      <c r="N39" s="458">
        <v>9.75</v>
      </c>
      <c r="O39" s="458">
        <v>9.75</v>
      </c>
      <c r="P39" s="470"/>
      <c r="Q39" s="465" t="s">
        <v>1944</v>
      </c>
    </row>
    <row r="40" spans="1:17" ht="45">
      <c r="A40" s="455">
        <v>46037</v>
      </c>
      <c r="B40" s="474" t="s">
        <v>2133</v>
      </c>
      <c r="C40" s="457" t="s">
        <v>2135</v>
      </c>
      <c r="D40" s="458" t="s">
        <v>2136</v>
      </c>
      <c r="E40" s="459">
        <v>46101</v>
      </c>
      <c r="F40" s="458" t="s">
        <v>1940</v>
      </c>
      <c r="G40" s="458" t="s">
        <v>194</v>
      </c>
      <c r="H40" s="458" t="s">
        <v>2219</v>
      </c>
      <c r="I40" s="458"/>
      <c r="J40" s="471">
        <v>88.05</v>
      </c>
      <c r="K40" s="458">
        <v>0</v>
      </c>
      <c r="L40" s="472">
        <v>1.49</v>
      </c>
      <c r="M40" s="473">
        <v>1.59</v>
      </c>
      <c r="N40" s="458">
        <v>1.54</v>
      </c>
      <c r="O40" s="458">
        <v>1.54</v>
      </c>
      <c r="P40" s="470"/>
      <c r="Q40" s="465" t="s">
        <v>1944</v>
      </c>
    </row>
    <row r="41" spans="1:17" ht="45">
      <c r="A41" s="455">
        <v>46037</v>
      </c>
      <c r="B41" s="474" t="s">
        <v>2134</v>
      </c>
      <c r="C41" s="457" t="s">
        <v>2137</v>
      </c>
      <c r="D41" s="458" t="s">
        <v>2136</v>
      </c>
      <c r="E41" s="459">
        <v>46101</v>
      </c>
      <c r="F41" s="458" t="s">
        <v>1935</v>
      </c>
      <c r="G41" s="458" t="s">
        <v>194</v>
      </c>
      <c r="H41" s="458" t="s">
        <v>2252</v>
      </c>
      <c r="I41" s="458"/>
      <c r="J41" s="471">
        <v>88.05</v>
      </c>
      <c r="K41" s="458">
        <v>0</v>
      </c>
      <c r="L41" s="472">
        <v>3.35</v>
      </c>
      <c r="M41" s="473">
        <v>3.5</v>
      </c>
      <c r="N41" s="458">
        <v>3.4249999999999998</v>
      </c>
      <c r="O41" s="458">
        <v>3.4249999999999998</v>
      </c>
      <c r="P41" s="470"/>
      <c r="Q41" s="465" t="s">
        <v>1944</v>
      </c>
    </row>
    <row r="42" spans="1:17" ht="45">
      <c r="A42" s="455">
        <v>46037</v>
      </c>
      <c r="B42" s="474" t="s">
        <v>2132</v>
      </c>
      <c r="C42" s="457" t="s">
        <v>2138</v>
      </c>
      <c r="D42" s="458" t="s">
        <v>2136</v>
      </c>
      <c r="E42" s="459">
        <v>46101</v>
      </c>
      <c r="F42" s="458" t="s">
        <v>1935</v>
      </c>
      <c r="G42" s="458" t="s">
        <v>194</v>
      </c>
      <c r="H42" s="458" t="s">
        <v>2253</v>
      </c>
      <c r="I42" s="458"/>
      <c r="J42" s="471">
        <v>88.05</v>
      </c>
      <c r="K42" s="458">
        <v>3.9500000000000028</v>
      </c>
      <c r="L42" s="472">
        <v>7.85</v>
      </c>
      <c r="M42" s="473">
        <v>8</v>
      </c>
      <c r="N42" s="458">
        <v>7.9249999999999998</v>
      </c>
      <c r="O42" s="458">
        <v>7.9249999999999998</v>
      </c>
      <c r="P42" s="470"/>
      <c r="Q42" s="465" t="s">
        <v>1944</v>
      </c>
    </row>
    <row r="43" spans="1:17" ht="45">
      <c r="A43" s="455">
        <v>46037</v>
      </c>
      <c r="B43" s="474" t="s">
        <v>2140</v>
      </c>
      <c r="C43" s="457" t="s">
        <v>2143</v>
      </c>
      <c r="D43" s="458" t="s">
        <v>2098</v>
      </c>
      <c r="E43" s="459">
        <v>46101</v>
      </c>
      <c r="F43" s="458" t="s">
        <v>1935</v>
      </c>
      <c r="G43" s="458" t="s">
        <v>194</v>
      </c>
      <c r="H43" s="458" t="s">
        <v>2254</v>
      </c>
      <c r="I43" s="458"/>
      <c r="J43" s="471">
        <v>80.38</v>
      </c>
      <c r="K43" s="458">
        <v>0</v>
      </c>
      <c r="L43" s="472">
        <v>4.8</v>
      </c>
      <c r="M43" s="473">
        <v>5.0999999999999996</v>
      </c>
      <c r="N43" s="458">
        <v>4.9499999999999993</v>
      </c>
      <c r="O43" s="458">
        <v>4.9499999999999993</v>
      </c>
      <c r="P43" s="470"/>
      <c r="Q43" s="465" t="s">
        <v>1944</v>
      </c>
    </row>
    <row r="44" spans="1:17" ht="45">
      <c r="A44" s="455">
        <v>46037</v>
      </c>
      <c r="B44" s="474" t="s">
        <v>2139</v>
      </c>
      <c r="C44" s="457" t="s">
        <v>2144</v>
      </c>
      <c r="D44" s="458" t="s">
        <v>2098</v>
      </c>
      <c r="E44" s="459">
        <v>46101</v>
      </c>
      <c r="F44" s="458" t="s">
        <v>1935</v>
      </c>
      <c r="G44" s="458" t="s">
        <v>194</v>
      </c>
      <c r="H44" s="458" t="s">
        <v>2255</v>
      </c>
      <c r="I44" s="458"/>
      <c r="J44" s="471">
        <v>80.38</v>
      </c>
      <c r="K44" s="458">
        <v>4.6200000000000045</v>
      </c>
      <c r="L44" s="472">
        <v>10.050000000000001</v>
      </c>
      <c r="M44" s="473">
        <v>10.4</v>
      </c>
      <c r="N44" s="458">
        <v>10.225000000000001</v>
      </c>
      <c r="O44" s="458">
        <v>10.225000000000001</v>
      </c>
      <c r="P44" s="470"/>
      <c r="Q44" s="465" t="s">
        <v>1944</v>
      </c>
    </row>
    <row r="45" spans="1:17" ht="45">
      <c r="A45" s="455">
        <v>46037</v>
      </c>
      <c r="B45" s="474" t="s">
        <v>2152</v>
      </c>
      <c r="C45" s="457" t="s">
        <v>2159</v>
      </c>
      <c r="D45" s="458" t="s">
        <v>2160</v>
      </c>
      <c r="E45" s="459">
        <v>46191</v>
      </c>
      <c r="F45" s="458" t="s">
        <v>1940</v>
      </c>
      <c r="G45" s="458" t="s">
        <v>194</v>
      </c>
      <c r="H45" s="458" t="s">
        <v>2256</v>
      </c>
      <c r="I45" s="458"/>
      <c r="J45" s="471">
        <v>343.02</v>
      </c>
      <c r="K45" s="458">
        <v>0</v>
      </c>
      <c r="L45" s="472">
        <v>42.4</v>
      </c>
      <c r="M45" s="473">
        <v>43.35</v>
      </c>
      <c r="N45" s="458">
        <v>42.875</v>
      </c>
      <c r="O45" s="458">
        <v>42.875</v>
      </c>
      <c r="P45" s="470"/>
      <c r="Q45" s="465" t="s">
        <v>1944</v>
      </c>
    </row>
    <row r="46" spans="1:17" ht="45">
      <c r="A46" s="455">
        <v>46037</v>
      </c>
      <c r="B46" s="474" t="s">
        <v>2154</v>
      </c>
      <c r="C46" s="457" t="s">
        <v>2161</v>
      </c>
      <c r="D46" s="458" t="s">
        <v>2160</v>
      </c>
      <c r="E46" s="459">
        <v>46191</v>
      </c>
      <c r="F46" s="458" t="s">
        <v>1940</v>
      </c>
      <c r="G46" s="458" t="s">
        <v>194</v>
      </c>
      <c r="H46" s="458" t="s">
        <v>2257</v>
      </c>
      <c r="I46" s="458"/>
      <c r="J46" s="471">
        <v>343.02</v>
      </c>
      <c r="K46" s="458">
        <v>0</v>
      </c>
      <c r="L46" s="472">
        <v>22</v>
      </c>
      <c r="M46" s="473">
        <v>22.5</v>
      </c>
      <c r="N46" s="458">
        <v>22.25</v>
      </c>
      <c r="O46" s="458">
        <v>22.25</v>
      </c>
      <c r="P46" s="470"/>
      <c r="Q46" s="465" t="s">
        <v>1944</v>
      </c>
    </row>
    <row r="47" spans="1:17" ht="45">
      <c r="A47" s="455">
        <v>46037</v>
      </c>
      <c r="B47" s="474" t="s">
        <v>2153</v>
      </c>
      <c r="C47" s="457" t="s">
        <v>2162</v>
      </c>
      <c r="D47" s="458" t="s">
        <v>2160</v>
      </c>
      <c r="E47" s="459">
        <v>46191</v>
      </c>
      <c r="F47" s="458" t="s">
        <v>1935</v>
      </c>
      <c r="G47" s="458" t="s">
        <v>194</v>
      </c>
      <c r="H47" s="458" t="s">
        <v>2258</v>
      </c>
      <c r="I47" s="458"/>
      <c r="J47" s="471">
        <v>343.02</v>
      </c>
      <c r="K47" s="458">
        <v>0</v>
      </c>
      <c r="L47" s="472">
        <v>13.1</v>
      </c>
      <c r="M47" s="473">
        <v>13.5</v>
      </c>
      <c r="N47" s="458">
        <v>13.3</v>
      </c>
      <c r="O47" s="458">
        <v>13.3</v>
      </c>
      <c r="P47" s="470"/>
      <c r="Q47" s="465" t="s">
        <v>1944</v>
      </c>
    </row>
    <row r="48" spans="1:17" ht="45">
      <c r="A48" s="455">
        <v>46037</v>
      </c>
      <c r="B48" s="474" t="s">
        <v>2151</v>
      </c>
      <c r="C48" s="457" t="s">
        <v>2163</v>
      </c>
      <c r="D48" s="458" t="s">
        <v>2160</v>
      </c>
      <c r="E48" s="459">
        <v>46191</v>
      </c>
      <c r="F48" s="458" t="s">
        <v>1935</v>
      </c>
      <c r="G48" s="458" t="s">
        <v>194</v>
      </c>
      <c r="H48" s="458" t="s">
        <v>2226</v>
      </c>
      <c r="I48" s="458"/>
      <c r="J48" s="471">
        <v>343.02</v>
      </c>
      <c r="K48" s="458">
        <v>0</v>
      </c>
      <c r="L48" s="472">
        <v>21.3</v>
      </c>
      <c r="M48" s="473">
        <v>22.45</v>
      </c>
      <c r="N48" s="458">
        <v>21.875</v>
      </c>
      <c r="O48" s="458">
        <v>21.875</v>
      </c>
      <c r="P48" s="470"/>
      <c r="Q48" s="465" t="s">
        <v>1944</v>
      </c>
    </row>
    <row r="49" spans="1:17" ht="45">
      <c r="A49" s="455">
        <v>46037</v>
      </c>
      <c r="B49" s="474" t="s">
        <v>2155</v>
      </c>
      <c r="C49" s="457" t="s">
        <v>2164</v>
      </c>
      <c r="D49" s="458" t="s">
        <v>2110</v>
      </c>
      <c r="E49" s="459">
        <v>46129</v>
      </c>
      <c r="F49" s="458" t="s">
        <v>1935</v>
      </c>
      <c r="G49" s="458" t="s">
        <v>194</v>
      </c>
      <c r="H49" s="458" t="s">
        <v>2259</v>
      </c>
      <c r="I49" s="458"/>
      <c r="J49" s="471">
        <v>620.79999999999995</v>
      </c>
      <c r="K49" s="458">
        <v>0</v>
      </c>
      <c r="L49" s="472">
        <v>29.25</v>
      </c>
      <c r="M49" s="473">
        <v>29.5</v>
      </c>
      <c r="N49" s="458">
        <v>29.375</v>
      </c>
      <c r="O49" s="458">
        <v>29.375</v>
      </c>
      <c r="P49" s="470"/>
      <c r="Q49" s="465" t="s">
        <v>1944</v>
      </c>
    </row>
    <row r="50" spans="1:17" ht="45">
      <c r="A50" s="455">
        <v>46037</v>
      </c>
      <c r="B50" s="474" t="s">
        <v>2142</v>
      </c>
      <c r="C50" s="457" t="s">
        <v>2165</v>
      </c>
      <c r="D50" s="458" t="s">
        <v>1947</v>
      </c>
      <c r="E50" s="459">
        <v>46101</v>
      </c>
      <c r="F50" s="458" t="s">
        <v>1940</v>
      </c>
      <c r="G50" s="458" t="s">
        <v>194</v>
      </c>
      <c r="H50" s="458" t="s">
        <v>2238</v>
      </c>
      <c r="I50" s="458"/>
      <c r="J50" s="471">
        <v>341.64</v>
      </c>
      <c r="K50" s="458">
        <v>11.639999999999986</v>
      </c>
      <c r="L50" s="472">
        <v>27.95</v>
      </c>
      <c r="M50" s="473">
        <v>29.35</v>
      </c>
      <c r="N50" s="458">
        <v>28.65</v>
      </c>
      <c r="O50" s="458">
        <v>28.65</v>
      </c>
      <c r="P50" s="470"/>
      <c r="Q50" s="465" t="s">
        <v>1944</v>
      </c>
    </row>
    <row r="51" spans="1:17" ht="45">
      <c r="A51" s="455">
        <v>46037</v>
      </c>
      <c r="B51" s="474" t="s">
        <v>2141</v>
      </c>
      <c r="C51" s="457" t="s">
        <v>2166</v>
      </c>
      <c r="D51" s="458" t="s">
        <v>1947</v>
      </c>
      <c r="E51" s="459">
        <v>46101</v>
      </c>
      <c r="F51" s="458" t="s">
        <v>1940</v>
      </c>
      <c r="G51" s="458" t="s">
        <v>194</v>
      </c>
      <c r="H51" s="458" t="s">
        <v>2226</v>
      </c>
      <c r="I51" s="458"/>
      <c r="J51" s="471">
        <v>341.64</v>
      </c>
      <c r="K51" s="458">
        <v>41.639999999999986</v>
      </c>
      <c r="L51" s="472">
        <v>48.1</v>
      </c>
      <c r="M51" s="473">
        <v>50.4</v>
      </c>
      <c r="N51" s="458">
        <v>49.25</v>
      </c>
      <c r="O51" s="458">
        <v>49.25</v>
      </c>
      <c r="P51" s="470"/>
      <c r="Q51" s="465" t="s">
        <v>1944</v>
      </c>
    </row>
    <row r="52" spans="1:17" ht="45">
      <c r="A52" s="455">
        <v>46037</v>
      </c>
      <c r="B52" s="474" t="s">
        <v>2156</v>
      </c>
      <c r="C52" s="457" t="s">
        <v>2167</v>
      </c>
      <c r="D52" s="458" t="s">
        <v>2110</v>
      </c>
      <c r="E52" s="459">
        <v>46129</v>
      </c>
      <c r="F52" s="458" t="s">
        <v>1935</v>
      </c>
      <c r="G52" s="458" t="s">
        <v>194</v>
      </c>
      <c r="H52" s="458" t="s">
        <v>2260</v>
      </c>
      <c r="I52" s="458"/>
      <c r="J52" s="471">
        <v>620.79999999999995</v>
      </c>
      <c r="K52" s="458">
        <v>0</v>
      </c>
      <c r="L52" s="472">
        <v>18.7</v>
      </c>
      <c r="M52" s="473">
        <v>18.95</v>
      </c>
      <c r="N52" s="458">
        <v>18.824999999999999</v>
      </c>
      <c r="O52" s="458">
        <v>18.824999999999999</v>
      </c>
      <c r="P52" s="470"/>
      <c r="Q52" s="465" t="s">
        <v>1944</v>
      </c>
    </row>
    <row r="53" spans="1:17">
      <c r="A53" s="455">
        <v>46037</v>
      </c>
      <c r="B53" s="475" t="s">
        <v>2195</v>
      </c>
      <c r="C53" s="457" t="s">
        <v>2196</v>
      </c>
      <c r="D53" s="458" t="s">
        <v>2197</v>
      </c>
      <c r="E53" s="459">
        <v>46038</v>
      </c>
      <c r="F53" s="458" t="s">
        <v>1940</v>
      </c>
      <c r="G53" s="458" t="s">
        <v>194</v>
      </c>
      <c r="H53" s="458" t="s">
        <v>2261</v>
      </c>
      <c r="I53" s="458"/>
      <c r="J53" s="466">
        <v>47.61</v>
      </c>
      <c r="K53" s="458">
        <v>1.6099999999999994</v>
      </c>
      <c r="L53" s="467">
        <v>1.6248269483248159</v>
      </c>
      <c r="M53" s="468">
        <v>1.6248269483248159</v>
      </c>
      <c r="N53" s="458">
        <v>1.6248269483248159</v>
      </c>
      <c r="O53" s="458">
        <v>1.6300335359501701</v>
      </c>
      <c r="P53" s="470">
        <v>33.192281816728581</v>
      </c>
      <c r="Q53" s="465" t="s">
        <v>1937</v>
      </c>
    </row>
    <row r="54" spans="1:17">
      <c r="A54" s="455">
        <v>46037</v>
      </c>
      <c r="B54" s="475" t="s">
        <v>2198</v>
      </c>
      <c r="C54" s="457" t="s">
        <v>2199</v>
      </c>
      <c r="D54" s="458" t="s">
        <v>2200</v>
      </c>
      <c r="E54" s="459">
        <v>46038</v>
      </c>
      <c r="F54" s="458" t="s">
        <v>1940</v>
      </c>
      <c r="G54" s="458" t="s">
        <v>194</v>
      </c>
      <c r="H54" s="458" t="s">
        <v>2262</v>
      </c>
      <c r="I54" s="458"/>
      <c r="J54" s="466">
        <v>130.28</v>
      </c>
      <c r="K54" s="458">
        <v>0</v>
      </c>
      <c r="L54" s="467">
        <v>0.61437223005286623</v>
      </c>
      <c r="M54" s="468">
        <v>0.61437223005286623</v>
      </c>
      <c r="N54" s="458">
        <v>0.61437223005286623</v>
      </c>
      <c r="O54" s="458">
        <v>0.7060392761382307</v>
      </c>
      <c r="P54" s="470">
        <v>40.429021385439704</v>
      </c>
      <c r="Q54" s="465" t="s">
        <v>1937</v>
      </c>
    </row>
    <row r="55" spans="1:17">
      <c r="A55" s="455">
        <v>46037</v>
      </c>
      <c r="B55" s="475" t="s">
        <v>2207</v>
      </c>
      <c r="C55" s="457" t="s">
        <v>2208</v>
      </c>
      <c r="D55" s="458" t="s">
        <v>1945</v>
      </c>
      <c r="E55" s="459">
        <v>46038</v>
      </c>
      <c r="F55" s="458" t="s">
        <v>1935</v>
      </c>
      <c r="G55" s="458" t="s">
        <v>194</v>
      </c>
      <c r="H55" s="458" t="s">
        <v>2263</v>
      </c>
      <c r="I55" s="458"/>
      <c r="J55" s="466">
        <v>33.36</v>
      </c>
      <c r="K55" s="458">
        <v>0</v>
      </c>
      <c r="L55" s="467">
        <v>3.5380620310130066E-4</v>
      </c>
      <c r="M55" s="468">
        <v>3.5380620310130066E-4</v>
      </c>
      <c r="N55" s="458">
        <v>3.5380620310130066E-4</v>
      </c>
      <c r="O55" s="458">
        <v>7.9800094001665533E-4</v>
      </c>
      <c r="P55" s="470">
        <v>28.164747438375326</v>
      </c>
      <c r="Q55" s="465" t="s">
        <v>1937</v>
      </c>
    </row>
    <row r="56" spans="1:17">
      <c r="A56" s="455">
        <v>46037</v>
      </c>
      <c r="B56" s="475" t="s">
        <v>2331</v>
      </c>
      <c r="C56" s="457" t="s">
        <v>2337</v>
      </c>
      <c r="D56" s="458" t="s">
        <v>1947</v>
      </c>
      <c r="E56" s="459">
        <v>46191</v>
      </c>
      <c r="F56" s="458" t="s">
        <v>1940</v>
      </c>
      <c r="G56" s="458" t="s">
        <v>194</v>
      </c>
      <c r="H56" s="458" t="s">
        <v>2338</v>
      </c>
      <c r="I56" s="458"/>
      <c r="J56" s="471">
        <v>341.64</v>
      </c>
      <c r="K56" s="458">
        <v>1.6399999999999864</v>
      </c>
      <c r="L56" s="472">
        <v>38.450000000000003</v>
      </c>
      <c r="M56" s="473">
        <v>39.9</v>
      </c>
      <c r="N56" s="458">
        <v>39.174999999999997</v>
      </c>
      <c r="O56" s="458">
        <v>39.174999999999997</v>
      </c>
      <c r="P56" s="470"/>
      <c r="Q56" s="465" t="s">
        <v>1944</v>
      </c>
    </row>
    <row r="57" spans="1:17">
      <c r="A57" s="455">
        <v>46037</v>
      </c>
      <c r="B57" s="475" t="s">
        <v>2332</v>
      </c>
      <c r="C57" s="457" t="s">
        <v>2339</v>
      </c>
      <c r="D57" s="458" t="s">
        <v>1947</v>
      </c>
      <c r="E57" s="459">
        <v>46191</v>
      </c>
      <c r="F57" s="458" t="s">
        <v>1940</v>
      </c>
      <c r="G57" s="458" t="s">
        <v>194</v>
      </c>
      <c r="H57" s="458" t="s">
        <v>2340</v>
      </c>
      <c r="I57" s="458"/>
      <c r="J57" s="471">
        <v>341.64</v>
      </c>
      <c r="K57" s="458">
        <v>0</v>
      </c>
      <c r="L57" s="472">
        <v>21.7</v>
      </c>
      <c r="M57" s="473">
        <v>23.25</v>
      </c>
      <c r="N57" s="458">
        <v>22.475000000000001</v>
      </c>
      <c r="O57" s="458">
        <v>22.475000000000001</v>
      </c>
      <c r="P57" s="470"/>
      <c r="Q57" s="465" t="s">
        <v>1944</v>
      </c>
    </row>
    <row r="58" spans="1:17">
      <c r="A58" s="455">
        <v>46037</v>
      </c>
      <c r="B58" s="475" t="s">
        <v>2330</v>
      </c>
      <c r="C58" s="457" t="s">
        <v>2341</v>
      </c>
      <c r="D58" s="458" t="s">
        <v>2342</v>
      </c>
      <c r="E58" s="459">
        <v>46073</v>
      </c>
      <c r="F58" s="458" t="s">
        <v>1940</v>
      </c>
      <c r="G58" s="458" t="s">
        <v>194</v>
      </c>
      <c r="H58" s="458" t="s">
        <v>2343</v>
      </c>
      <c r="I58" s="458"/>
      <c r="J58" s="466">
        <v>33.96</v>
      </c>
      <c r="K58" s="458">
        <v>0</v>
      </c>
      <c r="L58" s="467">
        <v>0.43863869361544977</v>
      </c>
      <c r="M58" s="468">
        <v>0.43863869361544977</v>
      </c>
      <c r="N58" s="458">
        <v>0.43863869361544977</v>
      </c>
      <c r="O58" s="458">
        <v>0.44075866123608032</v>
      </c>
      <c r="P58" s="470">
        <v>19.358411516087777</v>
      </c>
      <c r="Q58" s="465" t="s">
        <v>1937</v>
      </c>
    </row>
    <row r="59" spans="1:17">
      <c r="A59" s="455">
        <v>46037</v>
      </c>
      <c r="B59" s="456" t="s">
        <v>2358</v>
      </c>
      <c r="C59" s="457" t="s">
        <v>2363</v>
      </c>
      <c r="D59" s="458" t="s">
        <v>2364</v>
      </c>
      <c r="E59" s="459">
        <v>46045</v>
      </c>
      <c r="F59" s="458" t="s">
        <v>1935</v>
      </c>
      <c r="G59" s="458" t="s">
        <v>194</v>
      </c>
      <c r="H59" s="458" t="s">
        <v>2365</v>
      </c>
      <c r="I59" s="458"/>
      <c r="J59" s="466">
        <v>319.08</v>
      </c>
      <c r="K59" s="458">
        <v>0</v>
      </c>
      <c r="L59" s="467">
        <v>0.77101315220188638</v>
      </c>
      <c r="M59" s="468">
        <v>0.77101315220188638</v>
      </c>
      <c r="N59" s="458">
        <v>0.77101315220188638</v>
      </c>
      <c r="O59" s="458">
        <v>0.80777980672991356</v>
      </c>
      <c r="P59" s="470">
        <v>46.580177877363489</v>
      </c>
      <c r="Q59" s="465" t="s">
        <v>1937</v>
      </c>
    </row>
    <row r="60" spans="1:17">
      <c r="A60" s="455">
        <v>46037</v>
      </c>
      <c r="B60" s="456" t="s">
        <v>2357</v>
      </c>
      <c r="C60" s="457" t="s">
        <v>2366</v>
      </c>
      <c r="D60" s="458" t="s">
        <v>2364</v>
      </c>
      <c r="E60" s="459">
        <v>46045</v>
      </c>
      <c r="F60" s="458" t="s">
        <v>1935</v>
      </c>
      <c r="G60" s="458" t="s">
        <v>194</v>
      </c>
      <c r="H60" s="458" t="s">
        <v>2367</v>
      </c>
      <c r="I60" s="458"/>
      <c r="J60" s="466">
        <v>319.08</v>
      </c>
      <c r="K60" s="458">
        <v>0</v>
      </c>
      <c r="L60" s="467">
        <v>0.40233285226946053</v>
      </c>
      <c r="M60" s="468">
        <v>0.40233285226946053</v>
      </c>
      <c r="N60" s="458">
        <v>0.40233285226946053</v>
      </c>
      <c r="O60" s="458">
        <v>0.42699374558130709</v>
      </c>
      <c r="P60" s="470">
        <v>51.770622208873021</v>
      </c>
      <c r="Q60" s="465" t="s">
        <v>1937</v>
      </c>
    </row>
    <row r="61" spans="1:17">
      <c r="A61" s="455">
        <v>46037</v>
      </c>
      <c r="B61" s="456" t="s">
        <v>2352</v>
      </c>
      <c r="C61" s="457" t="s">
        <v>2368</v>
      </c>
      <c r="D61" s="458" t="s">
        <v>1947</v>
      </c>
      <c r="E61" s="459">
        <v>46038</v>
      </c>
      <c r="F61" s="458" t="s">
        <v>1935</v>
      </c>
      <c r="G61" s="458" t="s">
        <v>194</v>
      </c>
      <c r="H61" s="458" t="s">
        <v>2369</v>
      </c>
      <c r="I61" s="458"/>
      <c r="J61" s="471">
        <v>341.64</v>
      </c>
      <c r="K61" s="458">
        <v>0</v>
      </c>
      <c r="L61" s="472">
        <v>0.23</v>
      </c>
      <c r="M61" s="473">
        <v>0.28000000000000003</v>
      </c>
      <c r="N61" s="458">
        <v>0.255</v>
      </c>
      <c r="O61" s="458">
        <v>0.255</v>
      </c>
      <c r="P61" s="470"/>
      <c r="Q61" s="465" t="s">
        <v>1944</v>
      </c>
    </row>
    <row r="62" spans="1:17">
      <c r="A62" s="455">
        <v>46037</v>
      </c>
      <c r="B62" s="456" t="s">
        <v>2354</v>
      </c>
      <c r="C62" s="457" t="s">
        <v>2370</v>
      </c>
      <c r="D62" s="458" t="s">
        <v>1947</v>
      </c>
      <c r="E62" s="459">
        <v>46038</v>
      </c>
      <c r="F62" s="458" t="s">
        <v>1935</v>
      </c>
      <c r="G62" s="458" t="s">
        <v>194</v>
      </c>
      <c r="H62" s="458" t="s">
        <v>2371</v>
      </c>
      <c r="I62" s="458"/>
      <c r="J62" s="471">
        <v>341.64</v>
      </c>
      <c r="K62" s="458">
        <v>0</v>
      </c>
      <c r="L62" s="472">
        <v>0.11</v>
      </c>
      <c r="M62" s="473">
        <v>0.14000000000000001</v>
      </c>
      <c r="N62" s="458">
        <v>0.125</v>
      </c>
      <c r="O62" s="458">
        <v>0.125</v>
      </c>
      <c r="P62" s="470"/>
      <c r="Q62" s="465" t="s">
        <v>1944</v>
      </c>
    </row>
    <row r="63" spans="1:17">
      <c r="A63" s="455">
        <v>46037</v>
      </c>
      <c r="B63" s="456" t="s">
        <v>2353</v>
      </c>
      <c r="C63" s="457" t="s">
        <v>2372</v>
      </c>
      <c r="D63" s="458" t="s">
        <v>1947</v>
      </c>
      <c r="E63" s="459">
        <v>46038</v>
      </c>
      <c r="F63" s="458" t="s">
        <v>1940</v>
      </c>
      <c r="G63" s="458" t="s">
        <v>194</v>
      </c>
      <c r="H63" s="458" t="s">
        <v>2373</v>
      </c>
      <c r="I63" s="458"/>
      <c r="J63" s="471">
        <v>341.64</v>
      </c>
      <c r="K63" s="458">
        <v>6.6399999999999864</v>
      </c>
      <c r="L63" s="472">
        <v>7.65</v>
      </c>
      <c r="M63" s="473">
        <v>8.1999999999999993</v>
      </c>
      <c r="N63" s="458">
        <v>7.9249999999999998</v>
      </c>
      <c r="O63" s="458">
        <v>7.9249999999999998</v>
      </c>
      <c r="P63" s="470"/>
      <c r="Q63" s="465" t="s">
        <v>1944</v>
      </c>
    </row>
    <row r="64" spans="1:17">
      <c r="A64" s="455">
        <v>46037</v>
      </c>
      <c r="B64" s="475" t="s">
        <v>2376</v>
      </c>
      <c r="C64" s="457" t="s">
        <v>2389</v>
      </c>
      <c r="D64" s="458" t="s">
        <v>1960</v>
      </c>
      <c r="E64" s="459">
        <v>46038</v>
      </c>
      <c r="F64" s="458" t="s">
        <v>1940</v>
      </c>
      <c r="G64" s="458" t="s">
        <v>194</v>
      </c>
      <c r="H64" s="458" t="s">
        <v>2390</v>
      </c>
      <c r="I64" s="458"/>
      <c r="J64" s="471">
        <v>621.78</v>
      </c>
      <c r="K64" s="458">
        <v>0</v>
      </c>
      <c r="L64" s="472">
        <v>0.03</v>
      </c>
      <c r="M64" s="473">
        <v>0.04</v>
      </c>
      <c r="N64" s="458">
        <v>3.5000000000000003E-2</v>
      </c>
      <c r="O64" s="458">
        <v>3.5000000000000003E-2</v>
      </c>
      <c r="P64" s="470"/>
      <c r="Q64" s="465" t="s">
        <v>1944</v>
      </c>
    </row>
    <row r="65" spans="1:17">
      <c r="A65" s="455">
        <v>46037</v>
      </c>
      <c r="B65" s="475" t="s">
        <v>2375</v>
      </c>
      <c r="C65" s="457" t="s">
        <v>2391</v>
      </c>
      <c r="D65" s="458" t="s">
        <v>1960</v>
      </c>
      <c r="E65" s="459">
        <v>46038</v>
      </c>
      <c r="F65" s="458" t="s">
        <v>1940</v>
      </c>
      <c r="G65" s="458" t="s">
        <v>194</v>
      </c>
      <c r="H65" s="458" t="s">
        <v>2392</v>
      </c>
      <c r="I65" s="458"/>
      <c r="J65" s="466">
        <v>621.78</v>
      </c>
      <c r="K65" s="458">
        <v>0</v>
      </c>
      <c r="L65" s="467">
        <v>6.4325588451053343E-3</v>
      </c>
      <c r="M65" s="468">
        <v>6.4325588451053343E-3</v>
      </c>
      <c r="N65" s="458">
        <v>6.4325588451053343E-3</v>
      </c>
      <c r="O65" s="458">
        <v>1.3045484023607876E-2</v>
      </c>
      <c r="P65" s="470">
        <v>14.969383357918426</v>
      </c>
      <c r="Q65" s="465" t="s">
        <v>1937</v>
      </c>
    </row>
    <row r="66" spans="1:17">
      <c r="A66" s="455">
        <v>46037</v>
      </c>
      <c r="B66" s="475" t="s">
        <v>2393</v>
      </c>
      <c r="C66" s="457" t="s">
        <v>2394</v>
      </c>
      <c r="D66" s="458" t="s">
        <v>1960</v>
      </c>
      <c r="E66" s="459">
        <v>46038</v>
      </c>
      <c r="F66" s="458" t="s">
        <v>1940</v>
      </c>
      <c r="G66" s="458" t="s">
        <v>194</v>
      </c>
      <c r="H66" s="458" t="s">
        <v>2395</v>
      </c>
      <c r="I66" s="458"/>
      <c r="J66" s="471">
        <v>621.78</v>
      </c>
      <c r="K66" s="458">
        <v>0</v>
      </c>
      <c r="L66" s="472">
        <v>1.91</v>
      </c>
      <c r="M66" s="473">
        <v>1.94</v>
      </c>
      <c r="N66" s="458">
        <v>1.9249999999999998</v>
      </c>
      <c r="O66" s="458">
        <v>1.9249999999999998</v>
      </c>
      <c r="P66" s="470"/>
      <c r="Q66" s="465" t="s">
        <v>1944</v>
      </c>
    </row>
    <row r="67" spans="1:17">
      <c r="A67" s="455">
        <v>46037</v>
      </c>
      <c r="B67" s="475" t="s">
        <v>2377</v>
      </c>
      <c r="C67" s="457" t="s">
        <v>2396</v>
      </c>
      <c r="D67" s="458" t="s">
        <v>1960</v>
      </c>
      <c r="E67" s="459">
        <v>46038</v>
      </c>
      <c r="F67" s="458" t="s">
        <v>1935</v>
      </c>
      <c r="G67" s="458" t="s">
        <v>194</v>
      </c>
      <c r="H67" s="458" t="s">
        <v>2395</v>
      </c>
      <c r="I67" s="458"/>
      <c r="J67" s="471">
        <v>621.78</v>
      </c>
      <c r="K67" s="458">
        <v>0.22000000000002728</v>
      </c>
      <c r="L67" s="472">
        <v>2.4</v>
      </c>
      <c r="M67" s="473">
        <v>2.4300000000000002</v>
      </c>
      <c r="N67" s="458">
        <v>2.415</v>
      </c>
      <c r="O67" s="458">
        <v>2.415</v>
      </c>
      <c r="P67" s="470"/>
      <c r="Q67" s="465" t="s">
        <v>1944</v>
      </c>
    </row>
    <row r="68" spans="1:17">
      <c r="A68" s="455">
        <v>46037</v>
      </c>
      <c r="B68" s="470" t="s">
        <v>1965</v>
      </c>
      <c r="C68" s="457" t="s">
        <v>1965</v>
      </c>
      <c r="D68" s="458" t="s">
        <v>1963</v>
      </c>
      <c r="E68" s="459">
        <v>46038</v>
      </c>
      <c r="F68" s="458" t="s">
        <v>1940</v>
      </c>
      <c r="G68" s="458" t="s">
        <v>194</v>
      </c>
      <c r="H68" s="458" t="s">
        <v>2264</v>
      </c>
      <c r="I68" s="458" t="s">
        <v>1936</v>
      </c>
      <c r="J68" s="471">
        <v>1.93</v>
      </c>
      <c r="K68" s="458">
        <v>0</v>
      </c>
      <c r="L68" s="472">
        <v>0</v>
      </c>
      <c r="M68" s="473">
        <v>0</v>
      </c>
      <c r="N68" s="458">
        <v>0</v>
      </c>
      <c r="O68" s="458">
        <v>0.34901777097091474</v>
      </c>
      <c r="P68" s="470">
        <v>67.710873276361596</v>
      </c>
      <c r="Q68" s="465" t="s">
        <v>1962</v>
      </c>
    </row>
    <row r="69" spans="1:17">
      <c r="A69" s="455">
        <v>46037</v>
      </c>
      <c r="B69" s="470" t="s">
        <v>2044</v>
      </c>
      <c r="C69" s="457" t="s">
        <v>2044</v>
      </c>
      <c r="D69" s="458" t="s">
        <v>2045</v>
      </c>
      <c r="E69" s="459">
        <v>46038</v>
      </c>
      <c r="F69" s="458" t="s">
        <v>1935</v>
      </c>
      <c r="G69" s="458" t="s">
        <v>194</v>
      </c>
      <c r="H69" s="458" t="s">
        <v>2265</v>
      </c>
      <c r="I69" s="458" t="s">
        <v>1936</v>
      </c>
      <c r="J69" s="471">
        <v>1.07</v>
      </c>
      <c r="K69" s="458">
        <v>40.82</v>
      </c>
      <c r="L69" s="472">
        <v>0</v>
      </c>
      <c r="M69" s="473">
        <v>0</v>
      </c>
      <c r="N69" s="458">
        <v>0</v>
      </c>
      <c r="O69" s="458">
        <v>0.21064650086738712</v>
      </c>
      <c r="P69" s="470">
        <v>25.4402697784545</v>
      </c>
      <c r="Q69" s="465" t="s">
        <v>1962</v>
      </c>
    </row>
    <row r="70" spans="1:17">
      <c r="A70" s="455">
        <v>46037</v>
      </c>
      <c r="B70" s="470" t="s">
        <v>2058</v>
      </c>
      <c r="C70" s="457" t="s">
        <v>2058</v>
      </c>
      <c r="D70" s="458" t="s">
        <v>1966</v>
      </c>
      <c r="E70" s="459">
        <v>46038</v>
      </c>
      <c r="F70" s="458" t="s">
        <v>1935</v>
      </c>
      <c r="G70" s="458" t="s">
        <v>194</v>
      </c>
      <c r="H70" s="458" t="s">
        <v>2266</v>
      </c>
      <c r="I70" s="458" t="s">
        <v>1936</v>
      </c>
      <c r="J70" s="471">
        <v>0.02</v>
      </c>
      <c r="K70" s="458">
        <v>36.229999999999997</v>
      </c>
      <c r="L70" s="472">
        <v>0</v>
      </c>
      <c r="M70" s="473">
        <v>0</v>
      </c>
      <c r="N70" s="458">
        <v>0</v>
      </c>
      <c r="O70" s="458">
        <v>5.2447541325782315E-6</v>
      </c>
      <c r="P70" s="470">
        <v>78.241400501312711</v>
      </c>
      <c r="Q70" s="465" t="s">
        <v>1962</v>
      </c>
    </row>
    <row r="71" spans="1:17">
      <c r="A71" s="455">
        <v>46037</v>
      </c>
      <c r="B71" s="470" t="s">
        <v>2059</v>
      </c>
      <c r="C71" s="457" t="s">
        <v>2059</v>
      </c>
      <c r="D71" s="458" t="s">
        <v>1966</v>
      </c>
      <c r="E71" s="459">
        <v>46038</v>
      </c>
      <c r="F71" s="458" t="s">
        <v>1935</v>
      </c>
      <c r="G71" s="458" t="s">
        <v>194</v>
      </c>
      <c r="H71" s="458" t="s">
        <v>2267</v>
      </c>
      <c r="I71" s="458" t="s">
        <v>1936</v>
      </c>
      <c r="J71" s="471">
        <v>0.01</v>
      </c>
      <c r="K71" s="458">
        <v>39.24</v>
      </c>
      <c r="L71" s="472">
        <v>0</v>
      </c>
      <c r="M71" s="473">
        <v>0</v>
      </c>
      <c r="N71" s="458">
        <v>0</v>
      </c>
      <c r="O71" s="458">
        <v>6.0298412203289734E-4</v>
      </c>
      <c r="P71" s="470">
        <v>68.759158916330392</v>
      </c>
      <c r="Q71" s="465" t="s">
        <v>1962</v>
      </c>
    </row>
    <row r="72" spans="1:17">
      <c r="A72" s="455">
        <v>46037</v>
      </c>
      <c r="B72" s="470" t="s">
        <v>2070</v>
      </c>
      <c r="C72" s="457" t="s">
        <v>2070</v>
      </c>
      <c r="D72" s="458" t="s">
        <v>1961</v>
      </c>
      <c r="E72" s="459">
        <v>46073</v>
      </c>
      <c r="F72" s="458" t="s">
        <v>1940</v>
      </c>
      <c r="G72" s="458" t="s">
        <v>194</v>
      </c>
      <c r="H72" s="458" t="s">
        <v>2268</v>
      </c>
      <c r="I72" s="458" t="s">
        <v>1936</v>
      </c>
      <c r="J72" s="471">
        <v>0.16</v>
      </c>
      <c r="K72" s="458">
        <v>0</v>
      </c>
      <c r="L72" s="472">
        <v>0</v>
      </c>
      <c r="M72" s="473">
        <v>0</v>
      </c>
      <c r="N72" s="458">
        <v>0</v>
      </c>
      <c r="O72" s="458">
        <v>9.4708247883431922E-5</v>
      </c>
      <c r="P72" s="470">
        <v>24.455773493763701</v>
      </c>
      <c r="Q72" s="465" t="s">
        <v>1962</v>
      </c>
    </row>
    <row r="73" spans="1:17">
      <c r="A73" s="455">
        <v>46037</v>
      </c>
      <c r="B73" s="470" t="s">
        <v>2071</v>
      </c>
      <c r="C73" s="457" t="s">
        <v>2071</v>
      </c>
      <c r="D73" s="458" t="s">
        <v>1961</v>
      </c>
      <c r="E73" s="459">
        <v>46073</v>
      </c>
      <c r="F73" s="458" t="s">
        <v>1935</v>
      </c>
      <c r="G73" s="458" t="s">
        <v>194</v>
      </c>
      <c r="H73" s="458" t="s">
        <v>2269</v>
      </c>
      <c r="I73" s="458" t="s">
        <v>1936</v>
      </c>
      <c r="J73" s="471">
        <v>0.74</v>
      </c>
      <c r="K73" s="458">
        <v>20.830000000000002</v>
      </c>
      <c r="L73" s="472">
        <v>0</v>
      </c>
      <c r="M73" s="473">
        <v>0</v>
      </c>
      <c r="N73" s="458">
        <v>0</v>
      </c>
      <c r="O73" s="458">
        <v>0.11103178313163807</v>
      </c>
      <c r="P73" s="470">
        <v>31.459198448137499</v>
      </c>
      <c r="Q73" s="465" t="s">
        <v>1962</v>
      </c>
    </row>
    <row r="74" spans="1:17">
      <c r="A74" s="455">
        <v>46037</v>
      </c>
      <c r="B74" s="470" t="s">
        <v>2072</v>
      </c>
      <c r="C74" s="457" t="s">
        <v>2072</v>
      </c>
      <c r="D74" s="458" t="s">
        <v>1961</v>
      </c>
      <c r="E74" s="459">
        <v>46073</v>
      </c>
      <c r="F74" s="458" t="s">
        <v>1935</v>
      </c>
      <c r="G74" s="458" t="s">
        <v>194</v>
      </c>
      <c r="H74" s="458" t="s">
        <v>2270</v>
      </c>
      <c r="I74" s="458" t="s">
        <v>1936</v>
      </c>
      <c r="J74" s="471">
        <v>2.2200000000000002</v>
      </c>
      <c r="K74" s="458">
        <v>21.85</v>
      </c>
      <c r="L74" s="472">
        <v>0</v>
      </c>
      <c r="M74" s="473">
        <v>0</v>
      </c>
      <c r="N74" s="458">
        <v>0</v>
      </c>
      <c r="O74" s="458">
        <v>0.40179761984462736</v>
      </c>
      <c r="P74" s="470">
        <v>27.891773160930398</v>
      </c>
      <c r="Q74" s="465" t="s">
        <v>1962</v>
      </c>
    </row>
    <row r="75" spans="1:17">
      <c r="A75" s="455">
        <v>46037</v>
      </c>
      <c r="B75" s="470" t="s">
        <v>2073</v>
      </c>
      <c r="C75" s="457" t="s">
        <v>2073</v>
      </c>
      <c r="D75" s="458" t="s">
        <v>1964</v>
      </c>
      <c r="E75" s="459">
        <v>46038</v>
      </c>
      <c r="F75" s="458" t="s">
        <v>1940</v>
      </c>
      <c r="G75" s="458" t="s">
        <v>194</v>
      </c>
      <c r="H75" s="458" t="s">
        <v>2271</v>
      </c>
      <c r="I75" s="458" t="s">
        <v>1936</v>
      </c>
      <c r="J75" s="471">
        <v>0.48</v>
      </c>
      <c r="K75" s="458">
        <v>0</v>
      </c>
      <c r="L75" s="472">
        <v>0</v>
      </c>
      <c r="M75" s="473">
        <v>0</v>
      </c>
      <c r="N75" s="458">
        <v>0</v>
      </c>
      <c r="O75" s="458">
        <v>0.10063141977912324</v>
      </c>
      <c r="P75" s="470">
        <v>46.551242537589701</v>
      </c>
      <c r="Q75" s="465" t="s">
        <v>1962</v>
      </c>
    </row>
    <row r="76" spans="1:17">
      <c r="A76" s="455">
        <v>46037</v>
      </c>
      <c r="B76" s="470" t="s">
        <v>2074</v>
      </c>
      <c r="C76" s="457" t="s">
        <v>2074</v>
      </c>
      <c r="D76" s="458" t="s">
        <v>1964</v>
      </c>
      <c r="E76" s="459">
        <v>46038</v>
      </c>
      <c r="F76" s="458" t="s">
        <v>1935</v>
      </c>
      <c r="G76" s="458" t="s">
        <v>194</v>
      </c>
      <c r="H76" s="458" t="s">
        <v>2272</v>
      </c>
      <c r="I76" s="458" t="s">
        <v>1936</v>
      </c>
      <c r="J76" s="471">
        <v>0.03</v>
      </c>
      <c r="K76" s="458">
        <v>20.959999999999997</v>
      </c>
      <c r="L76" s="472">
        <v>0</v>
      </c>
      <c r="M76" s="473">
        <v>0</v>
      </c>
      <c r="N76" s="458">
        <v>0</v>
      </c>
      <c r="O76" s="458">
        <v>8.7390451754958861E-10</v>
      </c>
      <c r="P76" s="470">
        <v>56.555099948923505</v>
      </c>
      <c r="Q76" s="465" t="s">
        <v>1962</v>
      </c>
    </row>
    <row r="77" spans="1:17">
      <c r="A77" s="455">
        <v>46037</v>
      </c>
      <c r="B77" s="470" t="s">
        <v>2075</v>
      </c>
      <c r="C77" s="457" t="s">
        <v>2075</v>
      </c>
      <c r="D77" s="458" t="s">
        <v>1964</v>
      </c>
      <c r="E77" s="459">
        <v>46038</v>
      </c>
      <c r="F77" s="458" t="s">
        <v>1935</v>
      </c>
      <c r="G77" s="458" t="s">
        <v>194</v>
      </c>
      <c r="H77" s="458" t="s">
        <v>2273</v>
      </c>
      <c r="I77" s="458" t="s">
        <v>1936</v>
      </c>
      <c r="J77" s="471">
        <v>0.01</v>
      </c>
      <c r="K77" s="458">
        <v>22.979999999999997</v>
      </c>
      <c r="L77" s="472">
        <v>0</v>
      </c>
      <c r="M77" s="473">
        <v>0</v>
      </c>
      <c r="N77" s="458">
        <v>0</v>
      </c>
      <c r="O77" s="458">
        <v>6.7060520961654009E-5</v>
      </c>
      <c r="P77" s="470">
        <v>54.116202082485103</v>
      </c>
      <c r="Q77" s="465" t="s">
        <v>1962</v>
      </c>
    </row>
    <row r="78" spans="1:17">
      <c r="A78" s="455">
        <v>46037</v>
      </c>
      <c r="B78" s="470" t="s">
        <v>2076</v>
      </c>
      <c r="C78" s="457" t="s">
        <v>2076</v>
      </c>
      <c r="D78" s="458" t="s">
        <v>1967</v>
      </c>
      <c r="E78" s="459">
        <v>46038</v>
      </c>
      <c r="F78" s="458" t="s">
        <v>1940</v>
      </c>
      <c r="G78" s="458" t="s">
        <v>194</v>
      </c>
      <c r="H78" s="458" t="s">
        <v>2274</v>
      </c>
      <c r="I78" s="458" t="s">
        <v>1936</v>
      </c>
      <c r="J78" s="471" t="s">
        <v>2201</v>
      </c>
      <c r="K78" s="458" t="e">
        <v>#VALUE!</v>
      </c>
      <c r="L78" s="472">
        <v>0</v>
      </c>
      <c r="M78" s="473">
        <v>0</v>
      </c>
      <c r="N78" s="458">
        <v>0</v>
      </c>
      <c r="O78" s="458">
        <v>1.8659849601612209E-8</v>
      </c>
      <c r="P78" s="470">
        <v>23.708205374175201</v>
      </c>
      <c r="Q78" s="465" t="s">
        <v>1962</v>
      </c>
    </row>
    <row r="79" spans="1:17">
      <c r="A79" s="455">
        <v>46037</v>
      </c>
      <c r="B79" s="470" t="s">
        <v>2077</v>
      </c>
      <c r="C79" s="457" t="s">
        <v>2077</v>
      </c>
      <c r="D79" s="458" t="s">
        <v>1967</v>
      </c>
      <c r="E79" s="459">
        <v>46038</v>
      </c>
      <c r="F79" s="458" t="s">
        <v>1935</v>
      </c>
      <c r="G79" s="458" t="s">
        <v>194</v>
      </c>
      <c r="H79" s="458" t="s">
        <v>2275</v>
      </c>
      <c r="I79" s="458" t="s">
        <v>1936</v>
      </c>
      <c r="J79" s="471">
        <v>0.3</v>
      </c>
      <c r="K79" s="458">
        <v>31.88</v>
      </c>
      <c r="L79" s="472">
        <v>0</v>
      </c>
      <c r="M79" s="473">
        <v>0</v>
      </c>
      <c r="N79" s="458">
        <v>0</v>
      </c>
      <c r="O79" s="458">
        <v>4.5372455693756752E-2</v>
      </c>
      <c r="P79" s="470">
        <v>36.187630019191602</v>
      </c>
      <c r="Q79" s="465" t="s">
        <v>1962</v>
      </c>
    </row>
    <row r="80" spans="1:17">
      <c r="A80" s="455">
        <v>46037</v>
      </c>
      <c r="B80" s="470" t="s">
        <v>2078</v>
      </c>
      <c r="C80" s="457" t="s">
        <v>2078</v>
      </c>
      <c r="D80" s="458" t="s">
        <v>1967</v>
      </c>
      <c r="E80" s="459">
        <v>46038</v>
      </c>
      <c r="F80" s="458" t="s">
        <v>1935</v>
      </c>
      <c r="G80" s="458" t="s">
        <v>194</v>
      </c>
      <c r="H80" s="458" t="s">
        <v>2276</v>
      </c>
      <c r="I80" s="458" t="s">
        <v>1936</v>
      </c>
      <c r="J80" s="471">
        <v>2.4</v>
      </c>
      <c r="K80" s="458">
        <v>32.03</v>
      </c>
      <c r="L80" s="472">
        <v>0</v>
      </c>
      <c r="M80" s="473">
        <v>0</v>
      </c>
      <c r="N80" s="458">
        <v>0</v>
      </c>
      <c r="O80" s="458">
        <v>0.41008999763888332</v>
      </c>
      <c r="P80" s="470">
        <v>27.449644645435001</v>
      </c>
      <c r="Q80" s="465" t="s">
        <v>1962</v>
      </c>
    </row>
    <row r="81" spans="1:17">
      <c r="A81" s="455">
        <v>46037</v>
      </c>
      <c r="B81" s="470" t="s">
        <v>2079</v>
      </c>
      <c r="C81" s="457" t="s">
        <v>2079</v>
      </c>
      <c r="D81" s="458" t="s">
        <v>1963</v>
      </c>
      <c r="E81" s="459">
        <v>46038</v>
      </c>
      <c r="F81" s="458" t="s">
        <v>1935</v>
      </c>
      <c r="G81" s="458" t="s">
        <v>194</v>
      </c>
      <c r="H81" s="458" t="s">
        <v>2277</v>
      </c>
      <c r="I81" s="458" t="s">
        <v>1936</v>
      </c>
      <c r="J81" s="471">
        <v>0.01</v>
      </c>
      <c r="K81" s="458">
        <v>12.6</v>
      </c>
      <c r="L81" s="472">
        <v>0</v>
      </c>
      <c r="M81" s="473">
        <v>0</v>
      </c>
      <c r="N81" s="458">
        <v>0</v>
      </c>
      <c r="O81" s="458">
        <v>2.7048162915601503E-6</v>
      </c>
      <c r="P81" s="470">
        <v>70.174655649477202</v>
      </c>
      <c r="Q81" s="465" t="s">
        <v>1962</v>
      </c>
    </row>
    <row r="82" spans="1:17">
      <c r="A82" s="455">
        <v>46037</v>
      </c>
      <c r="B82" s="470" t="s">
        <v>2080</v>
      </c>
      <c r="C82" s="457" t="s">
        <v>2080</v>
      </c>
      <c r="D82" s="458" t="s">
        <v>1963</v>
      </c>
      <c r="E82" s="459">
        <v>46038</v>
      </c>
      <c r="F82" s="458" t="s">
        <v>1935</v>
      </c>
      <c r="G82" s="458" t="s">
        <v>194</v>
      </c>
      <c r="H82" s="458" t="s">
        <v>2278</v>
      </c>
      <c r="I82" s="458" t="s">
        <v>1936</v>
      </c>
      <c r="J82" s="471">
        <v>0.01</v>
      </c>
      <c r="K82" s="458">
        <v>13.6</v>
      </c>
      <c r="L82" s="472">
        <v>0</v>
      </c>
      <c r="M82" s="473">
        <v>0</v>
      </c>
      <c r="N82" s="458">
        <v>0</v>
      </c>
      <c r="O82" s="458">
        <v>2.8432776646035717E-4</v>
      </c>
      <c r="P82" s="470">
        <v>56.306652144832199</v>
      </c>
      <c r="Q82" s="465" t="s">
        <v>1962</v>
      </c>
    </row>
    <row r="83" spans="1:17">
      <c r="A83" s="455">
        <v>46037</v>
      </c>
      <c r="B83" s="470" t="s">
        <v>2081</v>
      </c>
      <c r="C83" s="457" t="s">
        <v>2081</v>
      </c>
      <c r="D83" s="458" t="s">
        <v>1961</v>
      </c>
      <c r="E83" s="459">
        <v>46073</v>
      </c>
      <c r="F83" s="458" t="s">
        <v>1940</v>
      </c>
      <c r="G83" s="458" t="s">
        <v>194</v>
      </c>
      <c r="H83" s="458" t="s">
        <v>2279</v>
      </c>
      <c r="I83" s="458" t="s">
        <v>1936</v>
      </c>
      <c r="J83" s="471">
        <v>1.1399999999999999</v>
      </c>
      <c r="K83" s="458">
        <v>0</v>
      </c>
      <c r="L83" s="472">
        <v>0</v>
      </c>
      <c r="M83" s="473">
        <v>0</v>
      </c>
      <c r="N83" s="458">
        <v>0</v>
      </c>
      <c r="O83" s="458">
        <v>1.5862535887705025E-5</v>
      </c>
      <c r="P83" s="470">
        <v>23.930181838784801</v>
      </c>
      <c r="Q83" s="465" t="s">
        <v>1962</v>
      </c>
    </row>
    <row r="84" spans="1:17">
      <c r="A84" s="455">
        <v>46037</v>
      </c>
      <c r="B84" s="470" t="s">
        <v>2082</v>
      </c>
      <c r="C84" s="457" t="s">
        <v>2082</v>
      </c>
      <c r="D84" s="458" t="s">
        <v>1961</v>
      </c>
      <c r="E84" s="459">
        <v>46073</v>
      </c>
      <c r="F84" s="458" t="s">
        <v>1935</v>
      </c>
      <c r="G84" s="458" t="s">
        <v>194</v>
      </c>
      <c r="H84" s="458" t="s">
        <v>2280</v>
      </c>
      <c r="I84" s="458" t="s">
        <v>1936</v>
      </c>
      <c r="J84" s="471">
        <v>0.83</v>
      </c>
      <c r="K84" s="458">
        <v>22.990000000000002</v>
      </c>
      <c r="L84" s="472">
        <v>0</v>
      </c>
      <c r="M84" s="473">
        <v>0</v>
      </c>
      <c r="N84" s="458">
        <v>0</v>
      </c>
      <c r="O84" s="458">
        <v>0.36354647136883128</v>
      </c>
      <c r="P84" s="470">
        <v>28.209281711916098</v>
      </c>
      <c r="Q84" s="465" t="s">
        <v>1962</v>
      </c>
    </row>
    <row r="85" spans="1:17">
      <c r="A85" s="455">
        <v>46037</v>
      </c>
      <c r="B85" s="470" t="s">
        <v>2083</v>
      </c>
      <c r="C85" s="457" t="s">
        <v>2083</v>
      </c>
      <c r="D85" s="458" t="s">
        <v>1961</v>
      </c>
      <c r="E85" s="459">
        <v>46073</v>
      </c>
      <c r="F85" s="458" t="s">
        <v>1935</v>
      </c>
      <c r="G85" s="458" t="s">
        <v>194</v>
      </c>
      <c r="H85" s="458" t="s">
        <v>2281</v>
      </c>
      <c r="I85" s="458" t="s">
        <v>1936</v>
      </c>
      <c r="J85" s="471">
        <v>2.6</v>
      </c>
      <c r="K85" s="458">
        <v>23.72</v>
      </c>
      <c r="L85" s="472">
        <v>0</v>
      </c>
      <c r="M85" s="473">
        <v>0</v>
      </c>
      <c r="N85" s="458">
        <v>0</v>
      </c>
      <c r="O85" s="458">
        <v>0.79163467245130148</v>
      </c>
      <c r="P85" s="470">
        <v>25.480252837743802</v>
      </c>
      <c r="Q85" s="465" t="s">
        <v>1962</v>
      </c>
    </row>
    <row r="86" spans="1:17">
      <c r="A86" s="455">
        <v>46037</v>
      </c>
      <c r="B86" s="470" t="s">
        <v>2092</v>
      </c>
      <c r="C86" s="457" t="s">
        <v>2092</v>
      </c>
      <c r="D86" s="458" t="s">
        <v>2093</v>
      </c>
      <c r="E86" s="459">
        <v>46073</v>
      </c>
      <c r="F86" s="458" t="s">
        <v>1935</v>
      </c>
      <c r="G86" s="458" t="s">
        <v>194</v>
      </c>
      <c r="H86" s="458" t="s">
        <v>2282</v>
      </c>
      <c r="I86" s="458" t="s">
        <v>1936</v>
      </c>
      <c r="J86" s="471">
        <v>0.25</v>
      </c>
      <c r="K86" s="458">
        <v>18.75</v>
      </c>
      <c r="L86" s="472">
        <v>0</v>
      </c>
      <c r="M86" s="473">
        <v>0</v>
      </c>
      <c r="N86" s="458">
        <v>0</v>
      </c>
      <c r="O86" s="458">
        <v>4.6752579929586369E-2</v>
      </c>
      <c r="P86" s="470">
        <v>39.7446363629792</v>
      </c>
      <c r="Q86" s="465" t="s">
        <v>1962</v>
      </c>
    </row>
    <row r="87" spans="1:17">
      <c r="A87" s="455">
        <v>46037</v>
      </c>
      <c r="B87" s="470" t="s">
        <v>2094</v>
      </c>
      <c r="C87" s="457" t="s">
        <v>2094</v>
      </c>
      <c r="D87" s="458" t="s">
        <v>2093</v>
      </c>
      <c r="E87" s="459">
        <v>46073</v>
      </c>
      <c r="F87" s="458" t="s">
        <v>1935</v>
      </c>
      <c r="G87" s="458" t="s">
        <v>194</v>
      </c>
      <c r="H87" s="458" t="s">
        <v>2283</v>
      </c>
      <c r="I87" s="458" t="s">
        <v>1936</v>
      </c>
      <c r="J87" s="471">
        <v>0.61</v>
      </c>
      <c r="K87" s="458">
        <v>19.89</v>
      </c>
      <c r="L87" s="472">
        <v>0</v>
      </c>
      <c r="M87" s="473">
        <v>0</v>
      </c>
      <c r="N87" s="458">
        <v>0</v>
      </c>
      <c r="O87" s="458">
        <v>0.12106636458755235</v>
      </c>
      <c r="P87" s="470">
        <v>37.374525060454793</v>
      </c>
      <c r="Q87" s="465" t="s">
        <v>1962</v>
      </c>
    </row>
    <row r="88" spans="1:17">
      <c r="A88" s="455">
        <v>46037</v>
      </c>
      <c r="B88" s="470" t="s">
        <v>2115</v>
      </c>
      <c r="C88" s="457" t="s">
        <v>2115</v>
      </c>
      <c r="D88" s="458" t="s">
        <v>1963</v>
      </c>
      <c r="E88" s="459">
        <v>46073</v>
      </c>
      <c r="F88" s="458" t="s">
        <v>1935</v>
      </c>
      <c r="G88" s="458" t="s">
        <v>194</v>
      </c>
      <c r="H88" s="458" t="s">
        <v>2284</v>
      </c>
      <c r="I88" s="458" t="s">
        <v>1936</v>
      </c>
      <c r="J88" s="471">
        <v>0.02</v>
      </c>
      <c r="K88" s="458">
        <v>12.09</v>
      </c>
      <c r="L88" s="472">
        <v>0</v>
      </c>
      <c r="M88" s="473">
        <v>0</v>
      </c>
      <c r="N88" s="458">
        <v>0</v>
      </c>
      <c r="O88" s="458">
        <v>1.3385267823726934E-3</v>
      </c>
      <c r="P88" s="470">
        <v>31.7039852623904</v>
      </c>
      <c r="Q88" s="465" t="s">
        <v>1962</v>
      </c>
    </row>
    <row r="89" spans="1:17">
      <c r="A89" s="455">
        <v>46037</v>
      </c>
      <c r="B89" s="470" t="s">
        <v>2116</v>
      </c>
      <c r="C89" s="457" t="s">
        <v>2116</v>
      </c>
      <c r="D89" s="458" t="s">
        <v>1963</v>
      </c>
      <c r="E89" s="459">
        <v>46073</v>
      </c>
      <c r="F89" s="458" t="s">
        <v>1935</v>
      </c>
      <c r="G89" s="458" t="s">
        <v>194</v>
      </c>
      <c r="H89" s="458" t="s">
        <v>2285</v>
      </c>
      <c r="I89" s="458" t="s">
        <v>1936</v>
      </c>
      <c r="J89" s="471">
        <v>7.0000000000000007E-2</v>
      </c>
      <c r="K89" s="458">
        <v>13.29</v>
      </c>
      <c r="L89" s="472">
        <v>0</v>
      </c>
      <c r="M89" s="473">
        <v>0</v>
      </c>
      <c r="N89" s="458">
        <v>0</v>
      </c>
      <c r="O89" s="458">
        <v>1.2725029291833891E-2</v>
      </c>
      <c r="P89" s="470">
        <v>28.805607697378299</v>
      </c>
      <c r="Q89" s="465" t="s">
        <v>1962</v>
      </c>
    </row>
    <row r="90" spans="1:17">
      <c r="A90" s="455">
        <v>46037</v>
      </c>
      <c r="B90" s="470" t="s">
        <v>2125</v>
      </c>
      <c r="C90" s="457" t="s">
        <v>2125</v>
      </c>
      <c r="D90" s="458" t="s">
        <v>2126</v>
      </c>
      <c r="E90" s="459">
        <v>46038</v>
      </c>
      <c r="F90" s="458" t="s">
        <v>1940</v>
      </c>
      <c r="G90" s="458" t="s">
        <v>194</v>
      </c>
      <c r="H90" s="458" t="s">
        <v>2286</v>
      </c>
      <c r="I90" s="458" t="s">
        <v>1936</v>
      </c>
      <c r="J90" s="471">
        <v>0.1</v>
      </c>
      <c r="K90" s="458">
        <v>0</v>
      </c>
      <c r="L90" s="472">
        <v>0</v>
      </c>
      <c r="M90" s="473">
        <v>0</v>
      </c>
      <c r="N90" s="458">
        <v>0</v>
      </c>
      <c r="O90" s="458">
        <v>2.4624489113470544E-5</v>
      </c>
      <c r="P90" s="470">
        <v>20.171099972028099</v>
      </c>
      <c r="Q90" s="465" t="s">
        <v>1962</v>
      </c>
    </row>
    <row r="91" spans="1:17">
      <c r="A91" s="455">
        <v>46037</v>
      </c>
      <c r="B91" s="470" t="s">
        <v>2127</v>
      </c>
      <c r="C91" s="457" t="s">
        <v>2127</v>
      </c>
      <c r="D91" s="458" t="s">
        <v>2126</v>
      </c>
      <c r="E91" s="459">
        <v>46038</v>
      </c>
      <c r="F91" s="458" t="s">
        <v>1935</v>
      </c>
      <c r="G91" s="458" t="s">
        <v>194</v>
      </c>
      <c r="H91" s="458" t="s">
        <v>2287</v>
      </c>
      <c r="I91" s="458" t="s">
        <v>1936</v>
      </c>
      <c r="J91" s="471">
        <v>0.05</v>
      </c>
      <c r="K91" s="458">
        <v>57.650000000000006</v>
      </c>
      <c r="L91" s="472">
        <v>0</v>
      </c>
      <c r="M91" s="473">
        <v>0</v>
      </c>
      <c r="N91" s="458">
        <v>0</v>
      </c>
      <c r="O91" s="458">
        <v>3.2468193726558566E-8</v>
      </c>
      <c r="P91" s="470">
        <v>36.541556893008199</v>
      </c>
      <c r="Q91" s="465" t="s">
        <v>1962</v>
      </c>
    </row>
    <row r="92" spans="1:17">
      <c r="A92" s="455">
        <v>46037</v>
      </c>
      <c r="B92" s="470" t="s">
        <v>2128</v>
      </c>
      <c r="C92" s="457" t="s">
        <v>2128</v>
      </c>
      <c r="D92" s="458" t="s">
        <v>2126</v>
      </c>
      <c r="E92" s="459">
        <v>46038</v>
      </c>
      <c r="F92" s="458" t="s">
        <v>1935</v>
      </c>
      <c r="G92" s="458" t="s">
        <v>194</v>
      </c>
      <c r="H92" s="458" t="s">
        <v>2288</v>
      </c>
      <c r="I92" s="458" t="s">
        <v>1936</v>
      </c>
      <c r="J92" s="471">
        <v>0.5</v>
      </c>
      <c r="K92" s="458">
        <v>62.2</v>
      </c>
      <c r="L92" s="472">
        <v>0</v>
      </c>
      <c r="M92" s="473">
        <v>0</v>
      </c>
      <c r="N92" s="458">
        <v>0</v>
      </c>
      <c r="O92" s="458">
        <v>6.7327664642765394E-3</v>
      </c>
      <c r="P92" s="470">
        <v>30.153308822504101</v>
      </c>
      <c r="Q92" s="465" t="s">
        <v>1962</v>
      </c>
    </row>
    <row r="93" spans="1:17">
      <c r="A93" s="455">
        <v>46037</v>
      </c>
      <c r="B93" s="470" t="s">
        <v>2145</v>
      </c>
      <c r="C93" s="457" t="s">
        <v>2145</v>
      </c>
      <c r="D93" s="458" t="s">
        <v>2146</v>
      </c>
      <c r="E93" s="459">
        <v>46038</v>
      </c>
      <c r="F93" s="458" t="s">
        <v>1935</v>
      </c>
      <c r="G93" s="458" t="s">
        <v>194</v>
      </c>
      <c r="H93" s="458" t="s">
        <v>2219</v>
      </c>
      <c r="I93" s="458" t="s">
        <v>1936</v>
      </c>
      <c r="J93" s="471">
        <v>0.01</v>
      </c>
      <c r="K93" s="458">
        <v>103.99</v>
      </c>
      <c r="L93" s="472">
        <v>0</v>
      </c>
      <c r="M93" s="473">
        <v>0</v>
      </c>
      <c r="N93" s="458">
        <v>0</v>
      </c>
      <c r="O93" s="458">
        <v>2.8772363655945031E-3</v>
      </c>
      <c r="P93" s="470">
        <v>63.848147823982693</v>
      </c>
      <c r="Q93" s="465" t="s">
        <v>1962</v>
      </c>
    </row>
    <row r="94" spans="1:17">
      <c r="A94" s="455">
        <v>46037</v>
      </c>
      <c r="B94" s="470" t="s">
        <v>2147</v>
      </c>
      <c r="C94" s="457" t="s">
        <v>2147</v>
      </c>
      <c r="D94" s="458" t="s">
        <v>2146</v>
      </c>
      <c r="E94" s="459">
        <v>46038</v>
      </c>
      <c r="F94" s="458" t="s">
        <v>1935</v>
      </c>
      <c r="G94" s="458" t="s">
        <v>194</v>
      </c>
      <c r="H94" s="458" t="s">
        <v>2289</v>
      </c>
      <c r="I94" s="458" t="s">
        <v>1936</v>
      </c>
      <c r="J94" s="471">
        <v>0.04</v>
      </c>
      <c r="K94" s="458">
        <v>110.96</v>
      </c>
      <c r="L94" s="472">
        <v>0</v>
      </c>
      <c r="M94" s="473">
        <v>0</v>
      </c>
      <c r="N94" s="458">
        <v>0</v>
      </c>
      <c r="O94" s="458">
        <v>8.3677741068149125E-3</v>
      </c>
      <c r="P94" s="470">
        <v>27.588490238085299</v>
      </c>
      <c r="Q94" s="465" t="s">
        <v>1962</v>
      </c>
    </row>
    <row r="95" spans="1:17">
      <c r="A95" s="455">
        <v>46037</v>
      </c>
      <c r="B95" s="470" t="s">
        <v>2148</v>
      </c>
      <c r="C95" s="457" t="s">
        <v>2148</v>
      </c>
      <c r="D95" s="458" t="s">
        <v>2149</v>
      </c>
      <c r="E95" s="459">
        <v>46038</v>
      </c>
      <c r="F95" s="458" t="s">
        <v>1935</v>
      </c>
      <c r="G95" s="458" t="s">
        <v>194</v>
      </c>
      <c r="H95" s="458" t="s">
        <v>2290</v>
      </c>
      <c r="I95" s="458" t="s">
        <v>1936</v>
      </c>
      <c r="J95" s="471">
        <v>0.01</v>
      </c>
      <c r="K95" s="458">
        <v>11.74</v>
      </c>
      <c r="L95" s="472">
        <v>0</v>
      </c>
      <c r="M95" s="473">
        <v>0</v>
      </c>
      <c r="N95" s="458">
        <v>0</v>
      </c>
      <c r="O95" s="458">
        <v>1.4386744042843015E-14</v>
      </c>
      <c r="P95" s="470">
        <v>31.7242849054647</v>
      </c>
      <c r="Q95" s="465" t="s">
        <v>1962</v>
      </c>
    </row>
    <row r="96" spans="1:17">
      <c r="A96" s="455">
        <v>46037</v>
      </c>
      <c r="B96" s="470" t="s">
        <v>2150</v>
      </c>
      <c r="C96" s="457" t="s">
        <v>2150</v>
      </c>
      <c r="D96" s="458" t="s">
        <v>2149</v>
      </c>
      <c r="E96" s="459">
        <v>46038</v>
      </c>
      <c r="F96" s="458" t="s">
        <v>1935</v>
      </c>
      <c r="G96" s="458" t="s">
        <v>194</v>
      </c>
      <c r="H96" s="458" t="s">
        <v>2291</v>
      </c>
      <c r="I96" s="458" t="s">
        <v>1936</v>
      </c>
      <c r="J96" s="471">
        <v>0.01</v>
      </c>
      <c r="K96" s="458">
        <v>12.74</v>
      </c>
      <c r="L96" s="472">
        <v>0</v>
      </c>
      <c r="M96" s="473">
        <v>0</v>
      </c>
      <c r="N96" s="458">
        <v>0</v>
      </c>
      <c r="O96" s="458">
        <v>1.5358484608964192E-5</v>
      </c>
      <c r="P96" s="470">
        <v>27.062496671144199</v>
      </c>
      <c r="Q96" s="465" t="s">
        <v>1962</v>
      </c>
    </row>
    <row r="97" spans="1:17">
      <c r="A97" s="455">
        <v>46037</v>
      </c>
      <c r="B97" s="470" t="s">
        <v>2168</v>
      </c>
      <c r="C97" s="457" t="s">
        <v>2168</v>
      </c>
      <c r="D97" s="458" t="s">
        <v>2169</v>
      </c>
      <c r="E97" s="459">
        <v>46073</v>
      </c>
      <c r="F97" s="458" t="s">
        <v>1940</v>
      </c>
      <c r="G97" s="458" t="s">
        <v>194</v>
      </c>
      <c r="H97" s="458" t="s">
        <v>2292</v>
      </c>
      <c r="I97" s="458" t="s">
        <v>1936</v>
      </c>
      <c r="J97" s="471">
        <v>1.32</v>
      </c>
      <c r="K97" s="458">
        <v>0</v>
      </c>
      <c r="L97" s="472">
        <v>0</v>
      </c>
      <c r="M97" s="473">
        <v>0</v>
      </c>
      <c r="N97" s="458">
        <v>0</v>
      </c>
      <c r="O97" s="458">
        <v>0.24868964742811109</v>
      </c>
      <c r="P97" s="470">
        <v>28.270244252576099</v>
      </c>
      <c r="Q97" s="465" t="s">
        <v>1962</v>
      </c>
    </row>
    <row r="98" spans="1:17">
      <c r="A98" s="455">
        <v>46037</v>
      </c>
      <c r="B98" s="470" t="s">
        <v>2170</v>
      </c>
      <c r="C98" s="457" t="s">
        <v>2170</v>
      </c>
      <c r="D98" s="458" t="s">
        <v>2169</v>
      </c>
      <c r="E98" s="459">
        <v>46073</v>
      </c>
      <c r="F98" s="458" t="s">
        <v>1935</v>
      </c>
      <c r="G98" s="458" t="s">
        <v>194</v>
      </c>
      <c r="H98" s="458" t="s">
        <v>2293</v>
      </c>
      <c r="I98" s="458" t="s">
        <v>1936</v>
      </c>
      <c r="J98" s="471">
        <v>0.16</v>
      </c>
      <c r="K98" s="458">
        <v>47.660000000000004</v>
      </c>
      <c r="L98" s="472">
        <v>0</v>
      </c>
      <c r="M98" s="473">
        <v>0</v>
      </c>
      <c r="N98" s="458">
        <v>0</v>
      </c>
      <c r="O98" s="458">
        <v>3.0793512691715288E-2</v>
      </c>
      <c r="P98" s="470">
        <v>34.391304361136797</v>
      </c>
      <c r="Q98" s="465" t="s">
        <v>1962</v>
      </c>
    </row>
    <row r="99" spans="1:17">
      <c r="A99" s="455">
        <v>46037</v>
      </c>
      <c r="B99" s="470" t="s">
        <v>2171</v>
      </c>
      <c r="C99" s="457" t="s">
        <v>2171</v>
      </c>
      <c r="D99" s="458" t="s">
        <v>2169</v>
      </c>
      <c r="E99" s="459">
        <v>46073</v>
      </c>
      <c r="F99" s="458" t="s">
        <v>1935</v>
      </c>
      <c r="G99" s="458" t="s">
        <v>194</v>
      </c>
      <c r="H99" s="458" t="s">
        <v>2294</v>
      </c>
      <c r="I99" s="458" t="s">
        <v>1936</v>
      </c>
      <c r="J99" s="471">
        <v>0.61</v>
      </c>
      <c r="K99" s="458">
        <v>51.21</v>
      </c>
      <c r="L99" s="472">
        <v>0</v>
      </c>
      <c r="M99" s="473">
        <v>0</v>
      </c>
      <c r="N99" s="458">
        <v>0</v>
      </c>
      <c r="O99" s="458">
        <v>0.11511544233329239</v>
      </c>
      <c r="P99" s="470">
        <v>31.199763613054202</v>
      </c>
      <c r="Q99" s="465" t="s">
        <v>1962</v>
      </c>
    </row>
    <row r="100" spans="1:17">
      <c r="A100" s="455">
        <v>46037</v>
      </c>
      <c r="B100" s="470" t="s">
        <v>2177</v>
      </c>
      <c r="C100" s="457" t="s">
        <v>2177</v>
      </c>
      <c r="D100" s="458" t="s">
        <v>2126</v>
      </c>
      <c r="E100" s="459">
        <v>46073</v>
      </c>
      <c r="F100" s="458" t="s">
        <v>1935</v>
      </c>
      <c r="G100" s="458" t="s">
        <v>194</v>
      </c>
      <c r="H100" s="458" t="s">
        <v>2295</v>
      </c>
      <c r="I100" s="458" t="s">
        <v>1936</v>
      </c>
      <c r="J100" s="471">
        <v>0.1</v>
      </c>
      <c r="K100" s="458">
        <v>42.9</v>
      </c>
      <c r="L100" s="472">
        <v>0</v>
      </c>
      <c r="M100" s="473">
        <v>0</v>
      </c>
      <c r="N100" s="458">
        <v>0</v>
      </c>
      <c r="O100" s="458">
        <v>7.4051583074918742E-3</v>
      </c>
      <c r="P100" s="470">
        <v>31.237672358727103</v>
      </c>
      <c r="Q100" s="465" t="s">
        <v>1962</v>
      </c>
    </row>
    <row r="101" spans="1:17">
      <c r="A101" s="455">
        <v>46037</v>
      </c>
      <c r="B101" s="470" t="s">
        <v>2178</v>
      </c>
      <c r="C101" s="457" t="s">
        <v>2178</v>
      </c>
      <c r="D101" s="458" t="s">
        <v>2126</v>
      </c>
      <c r="E101" s="459">
        <v>46073</v>
      </c>
      <c r="F101" s="458" t="s">
        <v>1935</v>
      </c>
      <c r="G101" s="458" t="s">
        <v>194</v>
      </c>
      <c r="H101" s="458" t="s">
        <v>2296</v>
      </c>
      <c r="I101" s="458" t="s">
        <v>1936</v>
      </c>
      <c r="J101" s="471">
        <v>0.43</v>
      </c>
      <c r="K101" s="458">
        <v>47.57</v>
      </c>
      <c r="L101" s="472">
        <v>0</v>
      </c>
      <c r="M101" s="473">
        <v>0</v>
      </c>
      <c r="N101" s="458">
        <v>0</v>
      </c>
      <c r="O101" s="458">
        <v>7.5143212557524638E-2</v>
      </c>
      <c r="P101" s="470">
        <v>28.176290884327901</v>
      </c>
      <c r="Q101" s="465" t="s">
        <v>1962</v>
      </c>
    </row>
    <row r="102" spans="1:17">
      <c r="A102" s="455">
        <v>46037</v>
      </c>
      <c r="B102" s="470" t="s">
        <v>2179</v>
      </c>
      <c r="C102" s="457" t="s">
        <v>2179</v>
      </c>
      <c r="D102" s="458" t="s">
        <v>2180</v>
      </c>
      <c r="E102" s="459">
        <v>46038</v>
      </c>
      <c r="F102" s="458" t="s">
        <v>1940</v>
      </c>
      <c r="G102" s="458" t="s">
        <v>194</v>
      </c>
      <c r="H102" s="458" t="s">
        <v>2297</v>
      </c>
      <c r="I102" s="458" t="s">
        <v>1936</v>
      </c>
      <c r="J102" s="471">
        <v>0.13</v>
      </c>
      <c r="K102" s="458">
        <v>0</v>
      </c>
      <c r="L102" s="472">
        <v>0</v>
      </c>
      <c r="M102" s="473">
        <v>0</v>
      </c>
      <c r="N102" s="458">
        <v>0</v>
      </c>
      <c r="O102" s="458">
        <v>3.4774353672907765E-4</v>
      </c>
      <c r="P102" s="470">
        <v>37.811672459656997</v>
      </c>
      <c r="Q102" s="465" t="s">
        <v>1962</v>
      </c>
    </row>
    <row r="103" spans="1:17">
      <c r="A103" s="455">
        <v>46037</v>
      </c>
      <c r="B103" s="470" t="s">
        <v>2181</v>
      </c>
      <c r="C103" s="457" t="s">
        <v>2181</v>
      </c>
      <c r="D103" s="458" t="s">
        <v>2180</v>
      </c>
      <c r="E103" s="459">
        <v>46038</v>
      </c>
      <c r="F103" s="458" t="s">
        <v>1935</v>
      </c>
      <c r="G103" s="458" t="s">
        <v>194</v>
      </c>
      <c r="H103" s="458" t="s">
        <v>2298</v>
      </c>
      <c r="I103" s="458" t="s">
        <v>1936</v>
      </c>
      <c r="J103" s="471">
        <v>0.13</v>
      </c>
      <c r="K103" s="458">
        <v>40.669999999999995</v>
      </c>
      <c r="L103" s="472">
        <v>0</v>
      </c>
      <c r="M103" s="473">
        <v>0</v>
      </c>
      <c r="N103" s="458">
        <v>0</v>
      </c>
      <c r="O103" s="458">
        <v>2.5149712726436719E-3</v>
      </c>
      <c r="P103" s="470">
        <v>53.550429931022002</v>
      </c>
      <c r="Q103" s="465" t="s">
        <v>1962</v>
      </c>
    </row>
    <row r="104" spans="1:17">
      <c r="A104" s="455">
        <v>46037</v>
      </c>
      <c r="B104" s="470" t="s">
        <v>2182</v>
      </c>
      <c r="C104" s="457" t="s">
        <v>2182</v>
      </c>
      <c r="D104" s="458" t="s">
        <v>2180</v>
      </c>
      <c r="E104" s="459">
        <v>46038</v>
      </c>
      <c r="F104" s="458" t="s">
        <v>1935</v>
      </c>
      <c r="G104" s="458" t="s">
        <v>194</v>
      </c>
      <c r="H104" s="458" t="s">
        <v>2299</v>
      </c>
      <c r="I104" s="458" t="s">
        <v>1936</v>
      </c>
      <c r="J104" s="471">
        <v>0.31</v>
      </c>
      <c r="K104" s="458">
        <v>42.989999999999995</v>
      </c>
      <c r="L104" s="472">
        <v>0</v>
      </c>
      <c r="M104" s="473">
        <v>0</v>
      </c>
      <c r="N104" s="458">
        <v>0</v>
      </c>
      <c r="O104" s="458">
        <v>7.0249955346769796E-2</v>
      </c>
      <c r="P104" s="470">
        <v>46.457230110763902</v>
      </c>
      <c r="Q104" s="465" t="s">
        <v>1962</v>
      </c>
    </row>
    <row r="105" spans="1:17">
      <c r="A105" s="455">
        <v>46037</v>
      </c>
      <c r="B105" s="456" t="s">
        <v>2187</v>
      </c>
      <c r="C105" s="456" t="s">
        <v>2187</v>
      </c>
      <c r="D105" s="458" t="s">
        <v>2043</v>
      </c>
      <c r="E105" s="459">
        <v>46038</v>
      </c>
      <c r="F105" s="458" t="s">
        <v>1940</v>
      </c>
      <c r="G105" s="458" t="s">
        <v>194</v>
      </c>
      <c r="H105" s="458" t="s">
        <v>2300</v>
      </c>
      <c r="I105" s="458" t="s">
        <v>1936</v>
      </c>
      <c r="J105" s="471">
        <v>1.45</v>
      </c>
      <c r="K105" s="458">
        <v>0</v>
      </c>
      <c r="L105" s="472">
        <v>0</v>
      </c>
      <c r="M105" s="473">
        <v>0</v>
      </c>
      <c r="N105" s="458">
        <v>0</v>
      </c>
      <c r="O105" s="458">
        <v>0.26690657931581063</v>
      </c>
      <c r="P105" s="470">
        <v>70.545545020091808</v>
      </c>
      <c r="Q105" s="465" t="s">
        <v>1962</v>
      </c>
    </row>
    <row r="106" spans="1:17">
      <c r="A106" s="455">
        <v>46037</v>
      </c>
      <c r="B106" s="456" t="s">
        <v>2188</v>
      </c>
      <c r="C106" s="456" t="s">
        <v>2188</v>
      </c>
      <c r="D106" s="458" t="s">
        <v>2043</v>
      </c>
      <c r="E106" s="459">
        <v>46038</v>
      </c>
      <c r="F106" s="458" t="s">
        <v>1940</v>
      </c>
      <c r="G106" s="458" t="s">
        <v>194</v>
      </c>
      <c r="H106" s="458" t="s">
        <v>2301</v>
      </c>
      <c r="I106" s="458" t="s">
        <v>1936</v>
      </c>
      <c r="J106" s="471">
        <v>0.9</v>
      </c>
      <c r="K106" s="458">
        <v>0</v>
      </c>
      <c r="L106" s="472">
        <v>0</v>
      </c>
      <c r="M106" s="473">
        <v>0</v>
      </c>
      <c r="N106" s="458">
        <v>0</v>
      </c>
      <c r="O106" s="458">
        <v>0.17439425036411249</v>
      </c>
      <c r="P106" s="470">
        <v>55.061194240258402</v>
      </c>
      <c r="Q106" s="465" t="s">
        <v>1962</v>
      </c>
    </row>
    <row r="107" spans="1:17">
      <c r="A107" s="455">
        <v>46037</v>
      </c>
      <c r="B107" s="456" t="s">
        <v>2189</v>
      </c>
      <c r="C107" s="456" t="s">
        <v>2189</v>
      </c>
      <c r="D107" s="458" t="s">
        <v>2190</v>
      </c>
      <c r="E107" s="459">
        <v>46073</v>
      </c>
      <c r="F107" s="458" t="s">
        <v>1935</v>
      </c>
      <c r="G107" s="458" t="s">
        <v>194</v>
      </c>
      <c r="H107" s="458" t="s">
        <v>2302</v>
      </c>
      <c r="I107" s="458" t="s">
        <v>1936</v>
      </c>
      <c r="J107" s="471">
        <v>0.57999999999999996</v>
      </c>
      <c r="K107" s="458">
        <v>49.800000000000004</v>
      </c>
      <c r="L107" s="472">
        <v>0</v>
      </c>
      <c r="M107" s="473">
        <v>0</v>
      </c>
      <c r="N107" s="458">
        <v>0</v>
      </c>
      <c r="O107" s="458">
        <v>0.10822727075425986</v>
      </c>
      <c r="P107" s="470">
        <v>24.731739173700898</v>
      </c>
      <c r="Q107" s="465" t="s">
        <v>1962</v>
      </c>
    </row>
    <row r="108" spans="1:17">
      <c r="A108" s="455">
        <v>46037</v>
      </c>
      <c r="B108" s="456" t="s">
        <v>2202</v>
      </c>
      <c r="C108" s="456" t="s">
        <v>2202</v>
      </c>
      <c r="D108" s="458" t="s">
        <v>2043</v>
      </c>
      <c r="E108" s="459">
        <v>46038</v>
      </c>
      <c r="F108" s="458" t="s">
        <v>1940</v>
      </c>
      <c r="G108" s="458" t="s">
        <v>194</v>
      </c>
      <c r="H108" s="458" t="s">
        <v>2303</v>
      </c>
      <c r="I108" s="458" t="s">
        <v>1936</v>
      </c>
      <c r="J108" s="471">
        <v>0.68</v>
      </c>
      <c r="K108" s="458">
        <v>0</v>
      </c>
      <c r="L108" s="472">
        <v>0</v>
      </c>
      <c r="M108" s="473">
        <v>0</v>
      </c>
      <c r="N108" s="458">
        <v>0</v>
      </c>
      <c r="O108" s="458">
        <v>0.12841254991425519</v>
      </c>
      <c r="P108" s="470">
        <v>45.964945535557199</v>
      </c>
      <c r="Q108" s="465" t="s">
        <v>1962</v>
      </c>
    </row>
    <row r="109" spans="1:17">
      <c r="A109" s="455">
        <v>46037</v>
      </c>
      <c r="B109" s="456" t="s">
        <v>2203</v>
      </c>
      <c r="C109" s="456" t="s">
        <v>2203</v>
      </c>
      <c r="D109" s="458" t="s">
        <v>2043</v>
      </c>
      <c r="E109" s="459">
        <v>46038</v>
      </c>
      <c r="F109" s="458" t="s">
        <v>1935</v>
      </c>
      <c r="G109" s="458" t="s">
        <v>194</v>
      </c>
      <c r="H109" s="458" t="s">
        <v>2304</v>
      </c>
      <c r="I109" s="458" t="s">
        <v>1936</v>
      </c>
      <c r="J109" s="471">
        <v>0.01</v>
      </c>
      <c r="K109" s="458">
        <v>13.01</v>
      </c>
      <c r="L109" s="472">
        <v>0</v>
      </c>
      <c r="M109" s="473">
        <v>0</v>
      </c>
      <c r="N109" s="458">
        <v>0</v>
      </c>
      <c r="O109" s="458">
        <v>3.9863231790114013E-5</v>
      </c>
      <c r="P109" s="470">
        <v>89.76166392824139</v>
      </c>
      <c r="Q109" s="465" t="s">
        <v>1962</v>
      </c>
    </row>
    <row r="110" spans="1:17">
      <c r="A110" s="455">
        <v>46037</v>
      </c>
      <c r="B110" s="456" t="s">
        <v>2204</v>
      </c>
      <c r="C110" s="456" t="s">
        <v>2204</v>
      </c>
      <c r="D110" s="458" t="s">
        <v>2043</v>
      </c>
      <c r="E110" s="459">
        <v>46038</v>
      </c>
      <c r="F110" s="458" t="s">
        <v>1935</v>
      </c>
      <c r="G110" s="458" t="s">
        <v>194</v>
      </c>
      <c r="H110" s="458" t="s">
        <v>2305</v>
      </c>
      <c r="I110" s="458" t="s">
        <v>1936</v>
      </c>
      <c r="J110" s="471">
        <v>0.01</v>
      </c>
      <c r="K110" s="458">
        <v>13.76</v>
      </c>
      <c r="L110" s="472">
        <v>0</v>
      </c>
      <c r="M110" s="473">
        <v>0</v>
      </c>
      <c r="N110" s="458">
        <v>0</v>
      </c>
      <c r="O110" s="458">
        <v>3.1298364024433207E-4</v>
      </c>
      <c r="P110" s="470">
        <v>76.62247725346009</v>
      </c>
      <c r="Q110" s="465" t="s">
        <v>1962</v>
      </c>
    </row>
    <row r="111" spans="1:17">
      <c r="A111" s="455">
        <v>46037</v>
      </c>
      <c r="B111" s="456" t="s">
        <v>2205</v>
      </c>
      <c r="C111" s="456" t="s">
        <v>2205</v>
      </c>
      <c r="D111" s="458" t="s">
        <v>2206</v>
      </c>
      <c r="E111" s="459">
        <v>46038</v>
      </c>
      <c r="F111" s="458" t="s">
        <v>1940</v>
      </c>
      <c r="G111" s="458" t="s">
        <v>194</v>
      </c>
      <c r="H111" s="458" t="s">
        <v>2306</v>
      </c>
      <c r="I111" s="458" t="s">
        <v>1936</v>
      </c>
      <c r="J111" s="471">
        <v>0.2</v>
      </c>
      <c r="K111" s="458">
        <v>0</v>
      </c>
      <c r="L111" s="472">
        <v>0</v>
      </c>
      <c r="M111" s="473">
        <v>0</v>
      </c>
      <c r="N111" s="458">
        <v>0</v>
      </c>
      <c r="O111" s="458">
        <v>3.1478252458207165E-2</v>
      </c>
      <c r="P111" s="470">
        <v>24.805842758912899</v>
      </c>
      <c r="Q111" s="465" t="s">
        <v>1962</v>
      </c>
    </row>
    <row r="112" spans="1:17">
      <c r="A112" s="455">
        <v>46037</v>
      </c>
      <c r="B112" s="456" t="s">
        <v>2211</v>
      </c>
      <c r="C112" s="457" t="s">
        <v>2211</v>
      </c>
      <c r="D112" s="458" t="s">
        <v>2206</v>
      </c>
      <c r="E112" s="459">
        <v>46038</v>
      </c>
      <c r="F112" s="458" t="s">
        <v>1940</v>
      </c>
      <c r="G112" s="458" t="s">
        <v>194</v>
      </c>
      <c r="H112" s="458" t="s">
        <v>2307</v>
      </c>
      <c r="I112" s="458" t="s">
        <v>1936</v>
      </c>
      <c r="J112" s="471">
        <v>1.52</v>
      </c>
      <c r="K112" s="458">
        <v>0</v>
      </c>
      <c r="L112" s="472">
        <v>0</v>
      </c>
      <c r="M112" s="473">
        <v>0</v>
      </c>
      <c r="N112" s="458">
        <v>0</v>
      </c>
      <c r="O112" s="458">
        <v>0.27003181270141102</v>
      </c>
      <c r="P112" s="470">
        <v>40.147098907901402</v>
      </c>
      <c r="Q112" s="465" t="s">
        <v>1962</v>
      </c>
    </row>
    <row r="113" spans="1:17">
      <c r="A113" s="455">
        <v>46037</v>
      </c>
      <c r="B113" s="456" t="s">
        <v>2212</v>
      </c>
      <c r="C113" s="456" t="s">
        <v>2212</v>
      </c>
      <c r="D113" s="458" t="s">
        <v>1963</v>
      </c>
      <c r="E113" s="459">
        <v>46073</v>
      </c>
      <c r="F113" s="458" t="s">
        <v>1935</v>
      </c>
      <c r="G113" s="458" t="s">
        <v>194</v>
      </c>
      <c r="H113" s="458" t="s">
        <v>2308</v>
      </c>
      <c r="I113" s="458" t="s">
        <v>1936</v>
      </c>
      <c r="J113" s="471">
        <v>0.02</v>
      </c>
      <c r="K113" s="458">
        <v>11.4</v>
      </c>
      <c r="L113" s="472">
        <v>0</v>
      </c>
      <c r="M113" s="473">
        <v>0</v>
      </c>
      <c r="N113" s="458">
        <v>0</v>
      </c>
      <c r="O113" s="458">
        <v>1.3385267823726934E-3</v>
      </c>
      <c r="P113" s="470">
        <v>31.7039852623904</v>
      </c>
      <c r="Q113" s="465" t="s">
        <v>1962</v>
      </c>
    </row>
    <row r="114" spans="1:17">
      <c r="A114" s="455">
        <v>46037</v>
      </c>
      <c r="B114" s="456" t="s">
        <v>2213</v>
      </c>
      <c r="C114" s="456" t="s">
        <v>2213</v>
      </c>
      <c r="D114" s="458" t="s">
        <v>1963</v>
      </c>
      <c r="E114" s="459">
        <v>46073</v>
      </c>
      <c r="F114" s="458" t="s">
        <v>1935</v>
      </c>
      <c r="G114" s="458" t="s">
        <v>194</v>
      </c>
      <c r="H114" s="458" t="s">
        <v>2309</v>
      </c>
      <c r="I114" s="458" t="s">
        <v>1936</v>
      </c>
      <c r="J114" s="471">
        <v>7.0000000000000007E-2</v>
      </c>
      <c r="K114" s="458">
        <v>12.6</v>
      </c>
      <c r="L114" s="472">
        <v>0</v>
      </c>
      <c r="M114" s="473">
        <v>0</v>
      </c>
      <c r="N114" s="458">
        <v>0</v>
      </c>
      <c r="O114" s="458">
        <v>1.2725029291833891E-2</v>
      </c>
      <c r="P114" s="470">
        <v>28.805607697378299</v>
      </c>
      <c r="Q114" s="465" t="s">
        <v>1962</v>
      </c>
    </row>
    <row r="115" spans="1:17">
      <c r="A115" s="455">
        <v>46037</v>
      </c>
      <c r="B115" s="456" t="s">
        <v>2214</v>
      </c>
      <c r="C115" s="456" t="s">
        <v>2214</v>
      </c>
      <c r="D115" s="458" t="s">
        <v>1963</v>
      </c>
      <c r="E115" s="459">
        <v>46073</v>
      </c>
      <c r="F115" s="458" t="s">
        <v>1935</v>
      </c>
      <c r="G115" s="458" t="s">
        <v>194</v>
      </c>
      <c r="H115" s="458" t="s">
        <v>2310</v>
      </c>
      <c r="I115" s="458" t="s">
        <v>1936</v>
      </c>
      <c r="J115" s="471">
        <v>0.28000000000000003</v>
      </c>
      <c r="K115" s="458">
        <v>13.39</v>
      </c>
      <c r="L115" s="472">
        <v>0</v>
      </c>
      <c r="M115" s="473">
        <v>0</v>
      </c>
      <c r="N115" s="458">
        <v>0</v>
      </c>
      <c r="O115" s="458">
        <v>5.324731892131656E-2</v>
      </c>
      <c r="P115" s="470">
        <v>27.127543330626597</v>
      </c>
      <c r="Q115" s="465" t="s">
        <v>1962</v>
      </c>
    </row>
    <row r="116" spans="1:17">
      <c r="A116" s="455">
        <v>46037</v>
      </c>
      <c r="B116" s="456" t="s">
        <v>2215</v>
      </c>
      <c r="C116" s="456" t="s">
        <v>2215</v>
      </c>
      <c r="D116" s="458" t="s">
        <v>2216</v>
      </c>
      <c r="E116" s="459">
        <v>46073</v>
      </c>
      <c r="F116" s="458" t="s">
        <v>1935</v>
      </c>
      <c r="G116" s="458" t="s">
        <v>194</v>
      </c>
      <c r="H116" s="458" t="s">
        <v>2311</v>
      </c>
      <c r="I116" s="458" t="s">
        <v>1936</v>
      </c>
      <c r="J116" s="471">
        <v>0.12</v>
      </c>
      <c r="K116" s="458">
        <v>11.92</v>
      </c>
      <c r="L116" s="472">
        <v>0</v>
      </c>
      <c r="M116" s="473">
        <v>0</v>
      </c>
      <c r="N116" s="458">
        <v>0</v>
      </c>
      <c r="O116" s="458">
        <v>2.2081877640040659E-2</v>
      </c>
      <c r="P116" s="470">
        <v>39.7571832582925</v>
      </c>
      <c r="Q116" s="465" t="s">
        <v>1962</v>
      </c>
    </row>
    <row r="117" spans="1:17">
      <c r="A117" s="455">
        <v>46037</v>
      </c>
      <c r="B117" s="456" t="s">
        <v>2217</v>
      </c>
      <c r="C117" s="456" t="s">
        <v>2217</v>
      </c>
      <c r="D117" s="458" t="s">
        <v>2216</v>
      </c>
      <c r="E117" s="459">
        <v>46073</v>
      </c>
      <c r="F117" s="458" t="s">
        <v>1935</v>
      </c>
      <c r="G117" s="458" t="s">
        <v>194</v>
      </c>
      <c r="H117" s="458" t="s">
        <v>2312</v>
      </c>
      <c r="I117" s="458" t="s">
        <v>1936</v>
      </c>
      <c r="J117" s="471">
        <v>0.34</v>
      </c>
      <c r="K117" s="458">
        <v>12.7</v>
      </c>
      <c r="L117" s="472">
        <v>0</v>
      </c>
      <c r="M117" s="473">
        <v>0</v>
      </c>
      <c r="N117" s="458">
        <v>0</v>
      </c>
      <c r="O117" s="458">
        <v>6.2729016623614048E-2</v>
      </c>
      <c r="P117" s="470">
        <v>37.173633268891699</v>
      </c>
      <c r="Q117" s="465" t="s">
        <v>1962</v>
      </c>
    </row>
    <row r="118" spans="1:17">
      <c r="A118" s="455">
        <v>46037</v>
      </c>
      <c r="B118" s="457" t="s">
        <v>2313</v>
      </c>
      <c r="C118" s="457" t="s">
        <v>2313</v>
      </c>
      <c r="D118" s="458" t="s">
        <v>2126</v>
      </c>
      <c r="E118" s="459">
        <v>46073</v>
      </c>
      <c r="F118" s="458" t="s">
        <v>1940</v>
      </c>
      <c r="G118" s="458" t="s">
        <v>194</v>
      </c>
      <c r="H118" s="458" t="s">
        <v>2314</v>
      </c>
      <c r="I118" s="458" t="s">
        <v>1936</v>
      </c>
      <c r="J118" s="471">
        <v>0.76</v>
      </c>
      <c r="K118" s="458">
        <v>0</v>
      </c>
      <c r="L118" s="472">
        <v>0</v>
      </c>
      <c r="M118" s="473">
        <v>0</v>
      </c>
      <c r="N118" s="458">
        <v>0</v>
      </c>
      <c r="O118" s="458">
        <v>0.12064517353801955</v>
      </c>
      <c r="P118" s="470">
        <v>24.118570688274598</v>
      </c>
      <c r="Q118" s="465" t="s">
        <v>1962</v>
      </c>
    </row>
    <row r="119" spans="1:17">
      <c r="A119" s="455">
        <v>46037</v>
      </c>
      <c r="B119" s="457" t="s">
        <v>2315</v>
      </c>
      <c r="C119" s="457" t="s">
        <v>2315</v>
      </c>
      <c r="D119" s="458" t="s">
        <v>2126</v>
      </c>
      <c r="E119" s="459">
        <v>46073</v>
      </c>
      <c r="F119" s="458" t="s">
        <v>1935</v>
      </c>
      <c r="G119" s="458" t="s">
        <v>194</v>
      </c>
      <c r="H119" s="458" t="s">
        <v>2316</v>
      </c>
      <c r="I119" s="458" t="s">
        <v>1936</v>
      </c>
      <c r="J119" s="471">
        <v>0.38</v>
      </c>
      <c r="K119" s="458">
        <v>46.62</v>
      </c>
      <c r="L119" s="472">
        <v>0</v>
      </c>
      <c r="M119" s="473">
        <v>0</v>
      </c>
      <c r="N119" s="458">
        <v>0</v>
      </c>
      <c r="O119" s="458">
        <v>5.0053264231713294E-2</v>
      </c>
      <c r="P119" s="470">
        <v>28.816596876256099</v>
      </c>
      <c r="Q119" s="465" t="s">
        <v>1962</v>
      </c>
    </row>
    <row r="120" spans="1:17">
      <c r="A120" s="455">
        <v>46037</v>
      </c>
      <c r="B120" s="457" t="s">
        <v>2317</v>
      </c>
      <c r="C120" s="457" t="s">
        <v>2317</v>
      </c>
      <c r="D120" s="458" t="s">
        <v>2126</v>
      </c>
      <c r="E120" s="459">
        <v>46073</v>
      </c>
      <c r="F120" s="458" t="s">
        <v>1935</v>
      </c>
      <c r="G120" s="458" t="s">
        <v>194</v>
      </c>
      <c r="H120" s="458" t="s">
        <v>2318</v>
      </c>
      <c r="I120" s="458" t="s">
        <v>1936</v>
      </c>
      <c r="J120" s="471">
        <v>1.01</v>
      </c>
      <c r="K120" s="458">
        <v>49.49</v>
      </c>
      <c r="L120" s="472">
        <v>0</v>
      </c>
      <c r="M120" s="473">
        <v>0</v>
      </c>
      <c r="N120" s="458">
        <v>0</v>
      </c>
      <c r="O120" s="458">
        <v>0.18541981335222152</v>
      </c>
      <c r="P120" s="470">
        <v>26.565497708644198</v>
      </c>
      <c r="Q120" s="465" t="s">
        <v>1962</v>
      </c>
    </row>
    <row r="121" spans="1:17">
      <c r="A121" s="455">
        <v>46037</v>
      </c>
      <c r="B121" s="456" t="s">
        <v>2319</v>
      </c>
      <c r="C121" s="456" t="s">
        <v>2319</v>
      </c>
      <c r="D121" s="458" t="s">
        <v>1961</v>
      </c>
      <c r="E121" s="459">
        <v>46101</v>
      </c>
      <c r="F121" s="458" t="s">
        <v>1940</v>
      </c>
      <c r="G121" s="458" t="s">
        <v>194</v>
      </c>
      <c r="H121" s="458" t="s">
        <v>2320</v>
      </c>
      <c r="I121" s="458" t="s">
        <v>1936</v>
      </c>
      <c r="J121" s="471">
        <v>0.82</v>
      </c>
      <c r="K121" s="458">
        <v>0</v>
      </c>
      <c r="L121" s="472">
        <v>0</v>
      </c>
      <c r="M121" s="473">
        <v>0</v>
      </c>
      <c r="N121" s="458">
        <v>0</v>
      </c>
      <c r="O121" s="458">
        <v>1.4115714771864902E-2</v>
      </c>
      <c r="P121" s="470">
        <v>26.882683866381402</v>
      </c>
      <c r="Q121" s="465" t="s">
        <v>1962</v>
      </c>
    </row>
    <row r="122" spans="1:17">
      <c r="A122" s="455">
        <v>46037</v>
      </c>
      <c r="B122" s="456" t="s">
        <v>2321</v>
      </c>
      <c r="C122" s="456" t="s">
        <v>2321</v>
      </c>
      <c r="D122" s="458" t="s">
        <v>1961</v>
      </c>
      <c r="E122" s="459">
        <v>46101</v>
      </c>
      <c r="F122" s="458" t="s">
        <v>1935</v>
      </c>
      <c r="G122" s="458" t="s">
        <v>194</v>
      </c>
      <c r="H122" s="458" t="s">
        <v>2322</v>
      </c>
      <c r="I122" s="458" t="s">
        <v>1936</v>
      </c>
      <c r="J122" s="471">
        <v>1.18</v>
      </c>
      <c r="K122" s="458">
        <v>20.13</v>
      </c>
      <c r="L122" s="472">
        <v>0</v>
      </c>
      <c r="M122" s="473">
        <v>0</v>
      </c>
      <c r="N122" s="458">
        <v>0</v>
      </c>
      <c r="O122" s="458">
        <v>0.19014183836966705</v>
      </c>
      <c r="P122" s="470">
        <v>30.714394291564499</v>
      </c>
      <c r="Q122" s="465" t="s">
        <v>1962</v>
      </c>
    </row>
    <row r="123" spans="1:17">
      <c r="A123" s="455">
        <v>46037</v>
      </c>
      <c r="B123" s="456" t="s">
        <v>2323</v>
      </c>
      <c r="C123" s="456" t="s">
        <v>2323</v>
      </c>
      <c r="D123" s="458" t="s">
        <v>1961</v>
      </c>
      <c r="E123" s="459">
        <v>46101</v>
      </c>
      <c r="F123" s="458" t="s">
        <v>1935</v>
      </c>
      <c r="G123" s="458" t="s">
        <v>194</v>
      </c>
      <c r="H123" s="458" t="s">
        <v>2324</v>
      </c>
      <c r="I123" s="458" t="s">
        <v>1936</v>
      </c>
      <c r="J123" s="471">
        <v>1.26</v>
      </c>
      <c r="K123" s="458">
        <v>22.049999999999997</v>
      </c>
      <c r="L123" s="472">
        <v>0</v>
      </c>
      <c r="M123" s="473">
        <v>0</v>
      </c>
      <c r="N123" s="458">
        <v>0</v>
      </c>
      <c r="O123" s="458">
        <v>0.4143551814005792</v>
      </c>
      <c r="P123" s="470">
        <v>28.624307012608501</v>
      </c>
      <c r="Q123" s="465" t="s">
        <v>1962</v>
      </c>
    </row>
    <row r="124" spans="1:17">
      <c r="A124" s="455">
        <v>46037</v>
      </c>
      <c r="B124" s="456" t="s">
        <v>2325</v>
      </c>
      <c r="C124" s="456" t="s">
        <v>2325</v>
      </c>
      <c r="D124" s="458" t="s">
        <v>2326</v>
      </c>
      <c r="E124" s="459">
        <v>46073</v>
      </c>
      <c r="F124" s="458" t="s">
        <v>1940</v>
      </c>
      <c r="G124" s="458" t="s">
        <v>194</v>
      </c>
      <c r="H124" s="458" t="s">
        <v>2327</v>
      </c>
      <c r="I124" s="458" t="s">
        <v>1936</v>
      </c>
      <c r="J124" s="471">
        <v>4.5599999999999996</v>
      </c>
      <c r="K124" s="458">
        <v>0</v>
      </c>
      <c r="L124" s="472">
        <v>0</v>
      </c>
      <c r="M124" s="473">
        <v>0</v>
      </c>
      <c r="N124" s="458">
        <v>0</v>
      </c>
      <c r="O124" s="458">
        <v>0.89749048728360503</v>
      </c>
      <c r="P124" s="470">
        <v>24.538374791829199</v>
      </c>
      <c r="Q124" s="465" t="s">
        <v>1962</v>
      </c>
    </row>
    <row r="125" spans="1:17">
      <c r="A125" s="455">
        <v>46037</v>
      </c>
      <c r="B125" s="456" t="s">
        <v>2328</v>
      </c>
      <c r="C125" s="456" t="s">
        <v>2328</v>
      </c>
      <c r="D125" s="458" t="s">
        <v>2326</v>
      </c>
      <c r="E125" s="459">
        <v>46073</v>
      </c>
      <c r="F125" s="458" t="s">
        <v>1940</v>
      </c>
      <c r="G125" s="458" t="s">
        <v>194</v>
      </c>
      <c r="H125" s="458" t="s">
        <v>2329</v>
      </c>
      <c r="I125" s="458" t="s">
        <v>1936</v>
      </c>
      <c r="J125" s="471">
        <v>1.75</v>
      </c>
      <c r="K125" s="458">
        <v>0</v>
      </c>
      <c r="L125" s="472">
        <v>0</v>
      </c>
      <c r="M125" s="473">
        <v>0</v>
      </c>
      <c r="N125" s="458">
        <v>0</v>
      </c>
      <c r="O125" s="458">
        <v>0.35144282712129604</v>
      </c>
      <c r="P125" s="470">
        <v>23.9868970856331</v>
      </c>
      <c r="Q125" s="465" t="s">
        <v>1962</v>
      </c>
    </row>
    <row r="126" spans="1:17">
      <c r="A126" s="455">
        <v>46037</v>
      </c>
      <c r="B126" s="478" t="s">
        <v>2344</v>
      </c>
      <c r="C126" s="478" t="s">
        <v>2344</v>
      </c>
      <c r="D126" s="458" t="s">
        <v>1963</v>
      </c>
      <c r="E126" s="459">
        <v>46073</v>
      </c>
      <c r="F126" s="458" t="s">
        <v>1940</v>
      </c>
      <c r="G126" s="458" t="s">
        <v>194</v>
      </c>
      <c r="H126" s="458" t="s">
        <v>2345</v>
      </c>
      <c r="I126" s="458" t="s">
        <v>1936</v>
      </c>
      <c r="J126" s="471">
        <v>0.18</v>
      </c>
      <c r="K126" s="458">
        <v>0</v>
      </c>
      <c r="L126" s="472">
        <v>0</v>
      </c>
      <c r="M126" s="473">
        <v>0</v>
      </c>
      <c r="N126" s="458">
        <v>0</v>
      </c>
      <c r="O126" s="458">
        <v>3.4392211836535111E-2</v>
      </c>
      <c r="P126" s="470">
        <v>28.074113674128</v>
      </c>
      <c r="Q126" s="465" t="s">
        <v>1962</v>
      </c>
    </row>
    <row r="127" spans="1:17">
      <c r="A127" s="455">
        <v>46037</v>
      </c>
      <c r="B127" s="478" t="s">
        <v>2346</v>
      </c>
      <c r="C127" s="478" t="s">
        <v>2346</v>
      </c>
      <c r="D127" s="458" t="s">
        <v>2028</v>
      </c>
      <c r="E127" s="459">
        <v>46071</v>
      </c>
      <c r="F127" s="458" t="s">
        <v>1935</v>
      </c>
      <c r="G127" s="458" t="s">
        <v>194</v>
      </c>
      <c r="H127" s="458" t="s">
        <v>2347</v>
      </c>
      <c r="I127" s="458" t="s">
        <v>1936</v>
      </c>
      <c r="J127" s="471">
        <v>820</v>
      </c>
      <c r="K127" s="458">
        <v>160180</v>
      </c>
      <c r="L127" s="472">
        <v>0</v>
      </c>
      <c r="M127" s="473">
        <v>0</v>
      </c>
      <c r="N127" s="458">
        <v>0</v>
      </c>
      <c r="O127" s="458">
        <v>147.76767723222446</v>
      </c>
      <c r="P127" s="470">
        <v>15.350922798936001</v>
      </c>
      <c r="Q127" s="465" t="s">
        <v>1962</v>
      </c>
    </row>
    <row r="128" spans="1:17">
      <c r="A128" s="455">
        <v>46037</v>
      </c>
      <c r="B128" s="478" t="s">
        <v>2348</v>
      </c>
      <c r="C128" s="478" t="s">
        <v>2348</v>
      </c>
      <c r="D128" s="458" t="s">
        <v>2146</v>
      </c>
      <c r="E128" s="459">
        <v>46073</v>
      </c>
      <c r="F128" s="458" t="s">
        <v>1935</v>
      </c>
      <c r="G128" s="458" t="s">
        <v>194</v>
      </c>
      <c r="H128" s="458" t="s">
        <v>2349</v>
      </c>
      <c r="I128" s="458" t="s">
        <v>1936</v>
      </c>
      <c r="J128" s="471">
        <v>0.79</v>
      </c>
      <c r="K128" s="458">
        <v>107.21</v>
      </c>
      <c r="L128" s="472">
        <v>0</v>
      </c>
      <c r="M128" s="473">
        <v>0</v>
      </c>
      <c r="N128" s="458">
        <v>0</v>
      </c>
      <c r="O128" s="458">
        <v>0.17243465306075081</v>
      </c>
      <c r="P128" s="470">
        <v>24.4332463526185</v>
      </c>
      <c r="Q128" s="465" t="s">
        <v>1962</v>
      </c>
    </row>
    <row r="129" spans="1:17">
      <c r="A129" s="455">
        <v>46037</v>
      </c>
      <c r="B129" s="478" t="s">
        <v>2350</v>
      </c>
      <c r="C129" s="478" t="s">
        <v>2350</v>
      </c>
      <c r="D129" s="458" t="s">
        <v>2146</v>
      </c>
      <c r="E129" s="459">
        <v>46073</v>
      </c>
      <c r="F129" s="458" t="s">
        <v>1935</v>
      </c>
      <c r="G129" s="458" t="s">
        <v>194</v>
      </c>
      <c r="H129" s="458" t="s">
        <v>2351</v>
      </c>
      <c r="I129" s="458" t="s">
        <v>1936</v>
      </c>
      <c r="J129" s="471">
        <v>1.99</v>
      </c>
      <c r="K129" s="458">
        <v>111.01</v>
      </c>
      <c r="L129" s="472">
        <v>0</v>
      </c>
      <c r="M129" s="473">
        <v>0</v>
      </c>
      <c r="N129" s="458">
        <v>0</v>
      </c>
      <c r="O129" s="458">
        <v>0.39665046573239326</v>
      </c>
      <c r="P129" s="470">
        <v>21.975721512021099</v>
      </c>
      <c r="Q129" s="465" t="s">
        <v>1962</v>
      </c>
    </row>
    <row r="130" spans="1:17">
      <c r="A130" s="455">
        <v>46037</v>
      </c>
      <c r="B130" s="456" t="s">
        <v>2397</v>
      </c>
      <c r="C130" s="456" t="s">
        <v>2397</v>
      </c>
      <c r="D130" s="458" t="s">
        <v>2146</v>
      </c>
      <c r="E130" s="459">
        <v>46073</v>
      </c>
      <c r="F130" s="458" t="s">
        <v>1935</v>
      </c>
      <c r="G130" s="458" t="s">
        <v>194</v>
      </c>
      <c r="H130" s="458" t="s">
        <v>2398</v>
      </c>
      <c r="I130" s="458" t="s">
        <v>1936</v>
      </c>
      <c r="J130" s="471">
        <v>2.36</v>
      </c>
      <c r="K130" s="458">
        <v>111.64</v>
      </c>
      <c r="L130" s="472">
        <v>0</v>
      </c>
      <c r="M130" s="473">
        <v>0</v>
      </c>
      <c r="N130" s="458">
        <v>0</v>
      </c>
      <c r="O130" s="458">
        <v>0.46739547790647695</v>
      </c>
      <c r="P130" s="470">
        <v>21.630639012963201</v>
      </c>
      <c r="Q130" s="465" t="s">
        <v>1962</v>
      </c>
    </row>
    <row r="131" spans="1:17">
      <c r="A131" s="455">
        <v>46037</v>
      </c>
      <c r="B131" s="456" t="s">
        <v>2399</v>
      </c>
      <c r="C131" s="456" t="s">
        <v>2399</v>
      </c>
      <c r="D131" s="458" t="s">
        <v>2400</v>
      </c>
      <c r="E131" s="459">
        <v>46073</v>
      </c>
      <c r="F131" s="458" t="s">
        <v>1940</v>
      </c>
      <c r="G131" s="458" t="s">
        <v>194</v>
      </c>
      <c r="H131" s="458" t="s">
        <v>2401</v>
      </c>
      <c r="I131" s="458" t="s">
        <v>1936</v>
      </c>
      <c r="J131" s="471">
        <v>0.6</v>
      </c>
      <c r="K131" s="458">
        <v>0</v>
      </c>
      <c r="L131" s="472">
        <v>0</v>
      </c>
      <c r="M131" s="473">
        <v>0</v>
      </c>
      <c r="N131" s="458">
        <v>0</v>
      </c>
      <c r="O131" s="458">
        <v>4.9923308269209099E-2</v>
      </c>
      <c r="P131" s="470">
        <v>30.116133810142003</v>
      </c>
      <c r="Q131" s="465" t="s">
        <v>1962</v>
      </c>
    </row>
    <row r="132" spans="1:17">
      <c r="A132" s="455">
        <v>46037</v>
      </c>
      <c r="B132" s="456" t="s">
        <v>2402</v>
      </c>
      <c r="C132" s="456" t="s">
        <v>2402</v>
      </c>
      <c r="D132" s="458" t="s">
        <v>2400</v>
      </c>
      <c r="E132" s="459">
        <v>46073</v>
      </c>
      <c r="F132" s="458" t="s">
        <v>1935</v>
      </c>
      <c r="G132" s="458" t="s">
        <v>194</v>
      </c>
      <c r="H132" s="458" t="s">
        <v>2403</v>
      </c>
      <c r="I132" s="458" t="s">
        <v>1936</v>
      </c>
      <c r="J132" s="471">
        <v>0.38</v>
      </c>
      <c r="K132" s="458">
        <v>25.51</v>
      </c>
      <c r="L132" s="472">
        <v>0</v>
      </c>
      <c r="M132" s="473">
        <v>0</v>
      </c>
      <c r="N132" s="458">
        <v>0</v>
      </c>
      <c r="O132" s="458">
        <v>8.4467256911697292E-2</v>
      </c>
      <c r="P132" s="470">
        <v>34.926213645091096</v>
      </c>
      <c r="Q132" s="465" t="s">
        <v>1962</v>
      </c>
    </row>
    <row r="133" spans="1:17">
      <c r="A133" s="455">
        <v>46037</v>
      </c>
      <c r="B133" s="456" t="s">
        <v>2404</v>
      </c>
      <c r="C133" s="456" t="s">
        <v>2404</v>
      </c>
      <c r="D133" s="458" t="s">
        <v>2400</v>
      </c>
      <c r="E133" s="459">
        <v>46073</v>
      </c>
      <c r="F133" s="458" t="s">
        <v>1935</v>
      </c>
      <c r="G133" s="458" t="s">
        <v>194</v>
      </c>
      <c r="H133" s="458" t="s">
        <v>2405</v>
      </c>
      <c r="I133" s="458" t="s">
        <v>1936</v>
      </c>
      <c r="J133" s="471">
        <v>1.1399999999999999</v>
      </c>
      <c r="K133" s="458">
        <v>27</v>
      </c>
      <c r="L133" s="472">
        <v>0</v>
      </c>
      <c r="M133" s="473">
        <v>0</v>
      </c>
      <c r="N133" s="458">
        <v>0</v>
      </c>
      <c r="O133" s="458">
        <v>0.24434724220007711</v>
      </c>
      <c r="P133" s="470">
        <v>32.247365967863203</v>
      </c>
      <c r="Q133" s="465" t="s">
        <v>1962</v>
      </c>
    </row>
  </sheetData>
  <conditionalFormatting sqref="B68:B104">
    <cfRule type="duplicateValues" dxfId="43" priority="38" stopIfTrue="1"/>
    <cfRule type="duplicateValues" dxfId="42" priority="39"/>
  </conditionalFormatting>
  <conditionalFormatting sqref="B75:B77">
    <cfRule type="duplicateValues" dxfId="41" priority="32"/>
  </conditionalFormatting>
  <conditionalFormatting sqref="B118:B120">
    <cfRule type="duplicateValues" dxfId="40" priority="10"/>
  </conditionalFormatting>
  <conditionalFormatting sqref="B121:B125 B1 B130:B133 B53:B117">
    <cfRule type="duplicateValues" dxfId="39" priority="27" stopIfTrue="1"/>
    <cfRule type="duplicateValues" dxfId="38" priority="28"/>
  </conditionalFormatting>
  <conditionalFormatting sqref="B121:B125 B1:B17 B130:B133 B53:B117">
    <cfRule type="duplicateValues" dxfId="37" priority="29"/>
  </conditionalFormatting>
  <conditionalFormatting sqref="B121:B125 B130:B133 B1:B117">
    <cfRule type="duplicateValues" dxfId="36" priority="23"/>
  </conditionalFormatting>
  <conditionalFormatting sqref="C2:C104">
    <cfRule type="duplicateValues" dxfId="35" priority="42"/>
  </conditionalFormatting>
  <conditionalFormatting sqref="C6:C67">
    <cfRule type="duplicateValues" dxfId="34" priority="35"/>
  </conditionalFormatting>
  <conditionalFormatting sqref="C68:C104">
    <cfRule type="duplicateValues" dxfId="33" priority="40" stopIfTrue="1"/>
    <cfRule type="duplicateValues" dxfId="32" priority="41"/>
  </conditionalFormatting>
  <conditionalFormatting sqref="C78:C80">
    <cfRule type="duplicateValues" dxfId="31" priority="25" stopIfTrue="1"/>
    <cfRule type="duplicateValues" dxfId="30" priority="26"/>
  </conditionalFormatting>
  <conditionalFormatting sqref="C81:C85">
    <cfRule type="duplicateValues" dxfId="29" priority="30" stopIfTrue="1"/>
    <cfRule type="duplicateValues" dxfId="28" priority="31"/>
  </conditionalFormatting>
  <conditionalFormatting sqref="C86:C92">
    <cfRule type="duplicateValues" dxfId="27" priority="36"/>
    <cfRule type="duplicateValues" dxfId="26" priority="37" stopIfTrue="1"/>
  </conditionalFormatting>
  <conditionalFormatting sqref="C93:C94">
    <cfRule type="duplicateValues" dxfId="25" priority="19"/>
    <cfRule type="duplicateValues" dxfId="24" priority="20" stopIfTrue="1"/>
    <cfRule type="duplicateValues" dxfId="23" priority="21"/>
    <cfRule type="duplicateValues" dxfId="22" priority="22"/>
  </conditionalFormatting>
  <conditionalFormatting sqref="C105:C107">
    <cfRule type="duplicateValues" dxfId="21" priority="33"/>
    <cfRule type="duplicateValues" dxfId="20" priority="34" stopIfTrue="1"/>
  </conditionalFormatting>
  <conditionalFormatting sqref="C108:C111">
    <cfRule type="duplicateValues" dxfId="19" priority="15"/>
    <cfRule type="duplicateValues" dxfId="18" priority="16" stopIfTrue="1"/>
    <cfRule type="duplicateValues" dxfId="17" priority="17"/>
    <cfRule type="duplicateValues" dxfId="16" priority="18"/>
  </conditionalFormatting>
  <conditionalFormatting sqref="C112 C118:C120 C1:C104">
    <cfRule type="duplicateValues" dxfId="15" priority="24"/>
  </conditionalFormatting>
  <conditionalFormatting sqref="C113:C117">
    <cfRule type="duplicateValues" dxfId="14" priority="11"/>
    <cfRule type="duplicateValues" dxfId="13" priority="12" stopIfTrue="1"/>
    <cfRule type="duplicateValues" dxfId="12" priority="13"/>
    <cfRule type="duplicateValues" dxfId="11" priority="14"/>
  </conditionalFormatting>
  <conditionalFormatting sqref="C121:C125">
    <cfRule type="duplicateValues" dxfId="10" priority="6"/>
    <cfRule type="duplicateValues" dxfId="9" priority="7" stopIfTrue="1"/>
    <cfRule type="duplicateValues" dxfId="8" priority="8"/>
    <cfRule type="duplicateValues" dxfId="7" priority="9"/>
  </conditionalFormatting>
  <conditionalFormatting sqref="C130:C133">
    <cfRule type="duplicateValues" dxfId="6" priority="1"/>
    <cfRule type="duplicateValues" dxfId="5" priority="2" stopIfTrue="1"/>
    <cfRule type="duplicateValues" dxfId="4" priority="3"/>
    <cfRule type="duplicateValues" dxfId="3" priority="4"/>
  </conditionalFormatting>
  <conditionalFormatting sqref="L1:M133">
    <cfRule type="cellIs" dxfId="2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CDS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2026-01-16T21:18:07Z</dcterms:modified>
  <cp:category/>
  <cp:contentStatus/>
</cp:coreProperties>
</file>