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7F4D773C-B47D-46EF-BD6A-3450A120B77B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P&amp;L'!$A$11:$AD$44</definedName>
    <definedName name="_xlnm._FilterDatabase" localSheetId="8" hidden="1">Options!$A$3:$BD$35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6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 a="1"/>
  <c r="C17" i="2"/>
  <c r="AR17" i="2" a="1"/>
  <c r="AR17" i="2"/>
  <c r="E17" i="2" a="1"/>
  <c r="E17" i="2"/>
  <c r="E18" i="2" a="1"/>
  <c r="E18" i="2"/>
  <c r="F17" i="2" a="1"/>
  <c r="F17" i="2"/>
  <c r="F18" i="2" a="1"/>
  <c r="F18" i="2"/>
  <c r="C18" i="2" a="1"/>
  <c r="C18" i="2"/>
  <c r="AR18" i="2" a="1"/>
  <c r="AR18" i="2"/>
  <c r="AN18" i="2" a="1"/>
  <c r="AN18" i="2"/>
  <c r="L18" i="2" a="1"/>
  <c r="L18" i="2"/>
  <c r="AN17" i="2" a="1"/>
  <c r="AN17" i="2"/>
  <c r="L17" i="2" a="1"/>
  <c r="L17" i="2"/>
  <c r="BA18" i="2"/>
  <c r="BB18" i="2"/>
  <c r="BC18" i="2" s="1"/>
  <c r="BD18" i="2" s="1"/>
  <c r="BA17" i="2"/>
  <c r="BB17" i="2"/>
  <c r="BC17" i="2" s="1"/>
  <c r="BD17" i="2" s="1"/>
  <c r="BA11" i="2"/>
  <c r="T18" i="2" a="1"/>
  <c r="D17" i="2" a="1"/>
  <c r="AD18" i="2" a="1"/>
  <c r="AF17" i="2" a="1"/>
  <c r="Q17" i="2" a="1"/>
  <c r="P17" i="2" a="1"/>
  <c r="AA18" i="2" a="1"/>
  <c r="G17" i="2" a="1"/>
  <c r="D18" i="2" a="1"/>
  <c r="AF18" i="2" a="1"/>
  <c r="T17" i="2" a="1"/>
  <c r="Q18" i="2" a="1"/>
  <c r="P18" i="2" a="1"/>
  <c r="AD17" i="2" a="1"/>
  <c r="G18" i="2" a="1"/>
  <c r="AA17" i="2" a="1"/>
  <c r="T11" i="2" a="1"/>
  <c r="AR11" i="2" a="1"/>
  <c r="AN11" i="2" a="1"/>
  <c r="E11" i="2" a="1"/>
  <c r="D11" i="2" a="1"/>
  <c r="C11" i="2" a="1"/>
  <c r="AD11" i="2" a="1"/>
  <c r="AA11" i="2" a="1"/>
  <c r="AF11" i="2" a="1"/>
  <c r="G11" i="2" a="1"/>
  <c r="Q11" i="2" a="1"/>
  <c r="P11" i="2" a="1"/>
  <c r="L11" i="2" a="1"/>
  <c r="F11" i="2" a="1"/>
  <c r="AI17" i="1"/>
  <c r="L17" i="1" a="1"/>
  <c r="AG17" i="1"/>
  <c r="AF17" i="1"/>
  <c r="AB17" i="1"/>
  <c r="AC17" i="1"/>
  <c r="I17" i="1" a="1"/>
  <c r="AC30" i="1" a="1"/>
  <c r="AA17" i="2" l="1"/>
  <c r="G18" i="2"/>
  <c r="AD17" i="2"/>
  <c r="P18" i="2"/>
  <c r="Q18" i="2"/>
  <c r="T17" i="2"/>
  <c r="AF18" i="2"/>
  <c r="D18" i="2"/>
  <c r="G17" i="2"/>
  <c r="AA18" i="2"/>
  <c r="P17" i="2"/>
  <c r="Q17" i="2"/>
  <c r="AF17" i="2"/>
  <c r="AD18" i="2"/>
  <c r="D17" i="2"/>
  <c r="T18" i="2"/>
  <c r="F11" i="2"/>
  <c r="L11" i="2"/>
  <c r="P11" i="2"/>
  <c r="Q11" i="2"/>
  <c r="R11" i="2" s="1"/>
  <c r="G11" i="2"/>
  <c r="AF11" i="2"/>
  <c r="AA11" i="2"/>
  <c r="AD11" i="2"/>
  <c r="C11" i="2"/>
  <c r="D11" i="2"/>
  <c r="E11" i="2"/>
  <c r="AN11" i="2"/>
  <c r="AR11" i="2"/>
  <c r="T11" i="2"/>
  <c r="BB11" i="2"/>
  <c r="BC11" i="2" s="1"/>
  <c r="BD11" i="2" s="1"/>
  <c r="I17" i="1"/>
  <c r="L17" i="1"/>
  <c r="AC30" i="1"/>
  <c r="S18" i="2" a="1"/>
  <c r="S17" i="2" a="1"/>
  <c r="S11" i="2" a="1"/>
  <c r="AC29" i="1" a="1"/>
  <c r="R18" i="2" l="1"/>
  <c r="S17" i="2"/>
  <c r="S18" i="2"/>
  <c r="AO18" i="2"/>
  <c r="AI18" i="2" s="1"/>
  <c r="O18" i="2"/>
  <c r="U18" i="2"/>
  <c r="V18" i="2" s="1"/>
  <c r="AP18" i="2"/>
  <c r="AK18" i="2" s="1"/>
  <c r="U17" i="2"/>
  <c r="V17" i="2" s="1"/>
  <c r="O17" i="2"/>
  <c r="AP17" i="2"/>
  <c r="AK17" i="2" s="1"/>
  <c r="R17" i="2"/>
  <c r="AO17" i="2"/>
  <c r="AI17" i="2" s="1"/>
  <c r="S11" i="2"/>
  <c r="U11" i="2"/>
  <c r="V11" i="2" s="1"/>
  <c r="O11" i="2"/>
  <c r="AP11" i="2"/>
  <c r="AK11" i="2" s="1"/>
  <c r="AO11" i="2"/>
  <c r="AI11" i="2" s="1"/>
  <c r="N17" i="1"/>
  <c r="J17" i="1"/>
  <c r="W17" i="1"/>
  <c r="AC29" i="1"/>
  <c r="Z18" i="2"/>
  <c r="AC18" i="2" a="1"/>
  <c r="AQ17" i="2" a="1"/>
  <c r="AV18" i="2" a="1"/>
  <c r="AQ18" i="2" a="1"/>
  <c r="AC17" i="2" a="1"/>
  <c r="Z17" i="2"/>
  <c r="AQ11" i="2" a="1"/>
  <c r="Z11" i="2"/>
  <c r="AC11" i="2" a="1"/>
  <c r="K21" i="1" a="1"/>
  <c r="AV11" i="2" a="1"/>
  <c r="AV17" i="2" a="1"/>
  <c r="AV17" i="2" l="1"/>
  <c r="AT17" i="2"/>
  <c r="AL17" i="2"/>
  <c r="AG17" i="2" s="1"/>
  <c r="AS17" i="2"/>
  <c r="X17" i="2"/>
  <c r="Y17" i="2" s="1"/>
  <c r="W17" i="2" s="1"/>
  <c r="AB17" i="2"/>
  <c r="AM17" i="2"/>
  <c r="AH17" i="2" s="1"/>
  <c r="M17" i="2"/>
  <c r="AC17" i="2"/>
  <c r="AE17" i="2" s="1"/>
  <c r="AQ18" i="2"/>
  <c r="AV18" i="2"/>
  <c r="AQ17" i="2"/>
  <c r="AC18" i="2"/>
  <c r="AE18" i="2" s="1"/>
  <c r="AS18" i="2"/>
  <c r="AT18" i="2"/>
  <c r="AL18" i="2"/>
  <c r="AG18" i="2" s="1"/>
  <c r="X18" i="2"/>
  <c r="Y18" i="2" s="1"/>
  <c r="W18" i="2" s="1"/>
  <c r="M18" i="2"/>
  <c r="AB18" i="2"/>
  <c r="AM18" i="2"/>
  <c r="AH18" i="2" s="1"/>
  <c r="AV11" i="2"/>
  <c r="AC11" i="2"/>
  <c r="AE11" i="2" s="1"/>
  <c r="AS11" i="2"/>
  <c r="AT11" i="2"/>
  <c r="AL11" i="2"/>
  <c r="AG11" i="2" s="1"/>
  <c r="AB11" i="2"/>
  <c r="AM11" i="2"/>
  <c r="AH11" i="2" s="1"/>
  <c r="M11" i="2"/>
  <c r="X11" i="2"/>
  <c r="Y11" i="2" s="1"/>
  <c r="W11" i="2" s="1"/>
  <c r="AQ11" i="2"/>
  <c r="P17" i="1"/>
  <c r="O17" i="1"/>
  <c r="K21" i="1"/>
  <c r="E5" i="1" a="1"/>
  <c r="AD17" i="1" l="1"/>
  <c r="E5" i="1"/>
  <c r="K29" i="1" a="1"/>
  <c r="K29" i="1"/>
  <c r="AC26" i="1" a="1"/>
  <c r="AC26" i="1"/>
  <c r="AC25" i="1" a="1"/>
  <c r="AC25" i="1"/>
  <c r="AI26" i="1"/>
  <c r="AI25" i="1"/>
  <c r="AF28" i="1"/>
  <c r="AB21" i="1"/>
  <c r="AC27" i="1" a="1"/>
  <c r="AC27" i="1"/>
  <c r="AF12" i="1"/>
  <c r="AI28" i="1"/>
  <c r="AC12" i="1"/>
  <c r="K27" i="1" a="1"/>
  <c r="K27" i="1"/>
  <c r="K25" i="1" a="1"/>
  <c r="K25" i="1"/>
  <c r="AI14" i="1"/>
  <c r="AB28" i="1"/>
  <c r="AI27" i="1"/>
  <c r="AB13" i="1"/>
  <c r="AF30" i="1"/>
  <c r="AF29" i="1"/>
  <c r="AC40" i="1" a="1"/>
  <c r="AC40" i="1"/>
  <c r="AC39" i="1" a="1"/>
  <c r="AC39" i="1"/>
  <c r="AI18" i="1"/>
  <c r="AF14" i="1"/>
  <c r="AC18" i="1"/>
  <c r="AC21" i="1" a="1"/>
  <c r="AC21" i="1"/>
  <c r="AI12" i="1"/>
  <c r="K9" i="1" a="1"/>
  <c r="K9" i="1"/>
  <c r="AF21" i="1"/>
  <c r="AC28" i="1" a="1"/>
  <c r="AC28" i="1"/>
  <c r="AI40" i="1"/>
  <c r="AI39" i="1"/>
  <c r="AB27" i="1"/>
  <c r="AF18" i="1"/>
  <c r="K12" i="1" a="1"/>
  <c r="K12" i="1"/>
  <c r="AB30" i="1"/>
  <c r="AB29" i="1"/>
  <c r="AI13" i="1"/>
  <c r="K40" i="1" a="1"/>
  <c r="K40" i="1"/>
  <c r="AF13" i="1"/>
  <c r="AC14" i="1"/>
  <c r="AC13" i="1"/>
  <c r="AF27" i="1"/>
  <c r="AB14" i="1"/>
  <c r="K13" i="1" a="1"/>
  <c r="K13" i="1"/>
  <c r="AB40" i="1"/>
  <c r="AB39" i="1"/>
  <c r="AI30" i="1"/>
  <c r="AI29" i="1"/>
  <c r="AF40" i="1"/>
  <c r="AF39" i="1"/>
  <c r="K14" i="1" a="1"/>
  <c r="K14" i="1"/>
  <c r="AB18" i="1"/>
  <c r="AB12" i="1"/>
  <c r="AI21" i="1"/>
  <c r="AB26" i="1"/>
  <c r="AB25" i="1"/>
  <c r="AF26" i="1"/>
  <c r="AF25" i="1"/>
  <c r="K28" i="1" a="1"/>
  <c r="K28" i="1"/>
  <c r="K6" i="1" a="1"/>
  <c r="K6" i="1"/>
  <c r="K1" i="1"/>
  <c r="K2" i="1"/>
  <c r="E8" i="1" a="1"/>
  <c r="E8" i="1"/>
  <c r="K8" i="1" a="1"/>
  <c r="K8" i="1"/>
  <c r="K5" i="1" a="1"/>
  <c r="K5" i="1"/>
  <c r="K7" i="1"/>
  <c r="E4" i="1" a="1"/>
  <c r="E4" i="1"/>
  <c r="K4" i="1" a="1"/>
  <c r="K4" i="1"/>
  <c r="X3" i="1"/>
  <c r="K36" i="1" a="1"/>
  <c r="K36" i="1"/>
  <c r="E2" i="1" a="1"/>
  <c r="E2" i="1"/>
  <c r="K22" i="1" a="1"/>
  <c r="K22" i="1"/>
  <c r="E9" i="1"/>
  <c r="AI24" i="1"/>
  <c r="AI23" i="1"/>
  <c r="K23" i="1" a="1"/>
  <c r="K23" i="1"/>
  <c r="E7" i="1" a="1"/>
  <c r="E7" i="1"/>
  <c r="AI35" i="1"/>
  <c r="AI34" i="1"/>
  <c r="AI33" i="1"/>
  <c r="AI36" i="1"/>
  <c r="K33" i="1" a="1"/>
  <c r="K33" i="1"/>
  <c r="E3" i="1"/>
  <c r="AI22" i="1"/>
  <c r="AG20" i="1"/>
  <c r="AG19" i="1"/>
  <c r="AG44" i="1"/>
  <c r="AG22" i="1"/>
  <c r="AG28" i="1"/>
  <c r="AG43" i="1"/>
  <c r="AG35" i="1"/>
  <c r="AG34" i="1"/>
  <c r="AG33" i="1"/>
  <c r="AG38" i="1"/>
  <c r="AG37" i="1"/>
  <c r="AG18" i="1"/>
  <c r="AG32" i="1"/>
  <c r="AG31" i="1"/>
  <c r="AG12" i="1"/>
  <c r="AG24" i="1"/>
  <c r="AG23" i="1"/>
  <c r="AG16" i="1"/>
  <c r="AG27" i="1"/>
  <c r="AG21" i="1"/>
  <c r="AG42" i="1"/>
  <c r="AG41" i="1"/>
  <c r="AG26" i="1"/>
  <c r="AG25" i="1"/>
  <c r="AG13" i="1"/>
  <c r="AG36" i="1"/>
  <c r="AG40" i="1"/>
  <c r="AG39" i="1"/>
  <c r="AG30" i="1"/>
  <c r="AG29" i="1"/>
  <c r="AB43" i="1"/>
  <c r="AB20" i="1"/>
  <c r="AB19" i="1"/>
  <c r="K43" i="1" a="1"/>
  <c r="K43" i="1"/>
  <c r="AF43" i="1"/>
  <c r="AC20" i="1" a="1"/>
  <c r="AC20" i="1"/>
  <c r="AC19" i="1" a="1"/>
  <c r="AC19" i="1"/>
  <c r="AI20" i="1"/>
  <c r="AI19" i="1"/>
  <c r="AI43" i="1"/>
  <c r="AC43" i="1"/>
  <c r="AF20" i="1"/>
  <c r="AF19" i="1"/>
  <c r="K19" i="1" a="1"/>
  <c r="K19" i="1"/>
  <c r="K31" i="1" a="1"/>
  <c r="K31" i="1"/>
  <c r="E1" i="1"/>
  <c r="AI32" i="1"/>
  <c r="AI31" i="1"/>
  <c r="AC32" i="1" a="1"/>
  <c r="AC32" i="1"/>
  <c r="AC31" i="1" a="1"/>
  <c r="AC31" i="1"/>
  <c r="AI38" i="1"/>
  <c r="AI37" i="1"/>
  <c r="AC38" i="1" a="1"/>
  <c r="AC38" i="1"/>
  <c r="AC37" i="1" a="1"/>
  <c r="AC37" i="1"/>
  <c r="AB32" i="1"/>
  <c r="AB31" i="1"/>
  <c r="AB38" i="1"/>
  <c r="AB37" i="1"/>
  <c r="K37" i="1" a="1"/>
  <c r="K37" i="1"/>
  <c r="AI44" i="1"/>
  <c r="AC42" i="1"/>
  <c r="AC41" i="1"/>
  <c r="K41" i="1" a="1"/>
  <c r="K41" i="1"/>
  <c r="AC44" i="1"/>
  <c r="K44" i="1" a="1"/>
  <c r="K44" i="1"/>
  <c r="AI42" i="1"/>
  <c r="AI41" i="1"/>
  <c r="E6" i="1" a="1"/>
  <c r="E6" i="1"/>
  <c r="K3" i="1" a="1"/>
  <c r="K3" i="1"/>
  <c r="L26" i="1" a="1"/>
  <c r="L26" i="1"/>
  <c r="L25" i="1" a="1"/>
  <c r="L25" i="1"/>
  <c r="AG14" i="1"/>
  <c r="E10" i="1"/>
  <c r="AF10" i="1" a="1"/>
  <c r="AF10" i="1"/>
  <c r="AC16" i="1"/>
  <c r="AI16" i="1"/>
  <c r="AF16" i="1"/>
  <c r="K16" i="1" a="1"/>
  <c r="K16" i="1"/>
  <c r="K10" i="1"/>
  <c r="K15" i="1" a="1"/>
  <c r="K15" i="1"/>
  <c r="AG15" i="1"/>
  <c r="AC15" i="1" a="1"/>
  <c r="AC15" i="1"/>
  <c r="AI15" i="1"/>
  <c r="AD2" i="1" a="1"/>
  <c r="AD2" i="1"/>
  <c r="AC2" i="1" a="1"/>
  <c r="AC2" i="1"/>
  <c r="AB2" i="1" a="1"/>
  <c r="AB2" i="1"/>
  <c r="I21" i="1" a="1"/>
  <c r="I21" i="1"/>
  <c r="I44" i="1" a="1"/>
  <c r="I44" i="1"/>
  <c r="I22" i="1" a="1"/>
  <c r="I22" i="1"/>
  <c r="I16" i="1" a="1"/>
  <c r="I16" i="1"/>
  <c r="C1" i="1" a="1"/>
  <c r="C1" i="1"/>
  <c r="C8" i="1" a="1"/>
  <c r="C8" i="1"/>
  <c r="I1" i="1" a="1"/>
  <c r="I1" i="1"/>
  <c r="I20" i="1" a="1"/>
  <c r="I20" i="1"/>
  <c r="I39" i="1" a="1"/>
  <c r="I39" i="1"/>
  <c r="I28" i="1" a="1"/>
  <c r="I28" i="1"/>
  <c r="I24" i="1" a="1"/>
  <c r="I24" i="1"/>
  <c r="I27" i="1" a="1"/>
  <c r="I27" i="1"/>
  <c r="I30" i="1" a="1"/>
  <c r="I30" i="1"/>
  <c r="I12" i="1" a="1"/>
  <c r="I12" i="1"/>
  <c r="C5" i="1" a="1"/>
  <c r="C5" i="1"/>
  <c r="AC3" i="1" a="1"/>
  <c r="AC3" i="1"/>
  <c r="I4" i="1" a="1"/>
  <c r="I4" i="1"/>
  <c r="I25" i="1" a="1"/>
  <c r="I25" i="1"/>
  <c r="C6" i="1" a="1"/>
  <c r="C6" i="1"/>
  <c r="I32" i="1" a="1"/>
  <c r="I32" i="1"/>
  <c r="I13" i="1" a="1"/>
  <c r="I13" i="1"/>
  <c r="C9" i="1" a="1"/>
  <c r="C9" i="1"/>
  <c r="C4" i="1" a="1"/>
  <c r="C4" i="1"/>
  <c r="I8" i="1" a="1"/>
  <c r="I8" i="1"/>
  <c r="I35" i="1" a="1"/>
  <c r="I35" i="1"/>
  <c r="I42" i="1" a="1"/>
  <c r="I42" i="1"/>
  <c r="I7" i="1" a="1"/>
  <c r="I7" i="1"/>
  <c r="I2" i="1" a="1"/>
  <c r="I2" i="1"/>
  <c r="C10" i="1" a="1"/>
  <c r="C10" i="1"/>
  <c r="I3" i="1" a="1"/>
  <c r="I3" i="1"/>
  <c r="I10" i="1" a="1"/>
  <c r="I10" i="1"/>
  <c r="C7" i="1" a="1"/>
  <c r="C7" i="1"/>
  <c r="C2" i="1" a="1"/>
  <c r="C2" i="1"/>
  <c r="I38" i="1" a="1"/>
  <c r="I38" i="1"/>
  <c r="I6" i="1" a="1"/>
  <c r="I6" i="1"/>
  <c r="I5" i="1" a="1"/>
  <c r="I5" i="1"/>
  <c r="C3" i="1" a="1"/>
  <c r="C3" i="1"/>
  <c r="I43" i="1" a="1"/>
  <c r="I43" i="1"/>
  <c r="I9" i="1" a="1"/>
  <c r="I9" i="1"/>
  <c r="I36" i="1" a="1"/>
  <c r="I36" i="1"/>
  <c r="I18" i="1" a="1"/>
  <c r="I18" i="1"/>
  <c r="T63" i="89" a="1"/>
  <c r="T63" i="89"/>
  <c r="C63" i="89" a="1"/>
  <c r="C63" i="89"/>
  <c r="V63" i="89" a="1"/>
  <c r="V63" i="89"/>
  <c r="O63" i="89" a="1"/>
  <c r="O63" i="89"/>
  <c r="D63" i="89" a="1"/>
  <c r="D63" i="89" l="1"/>
  <c r="E63" i="89" a="1"/>
  <c r="E63" i="89"/>
  <c r="F63" i="89" a="1"/>
  <c r="F63" i="89"/>
  <c r="K63" i="89" a="1"/>
  <c r="K63" i="89"/>
  <c r="L63" i="89" a="1"/>
  <c r="L63" i="89"/>
  <c r="W63" i="89" a="1"/>
  <c r="W63" i="89"/>
  <c r="T62" i="89" a="1"/>
  <c r="T62" i="89"/>
  <c r="O62" i="89" a="1"/>
  <c r="O62" i="89"/>
  <c r="V62" i="89" a="1"/>
  <c r="V62" i="89"/>
  <c r="C62" i="89" a="1"/>
  <c r="C62" i="89"/>
  <c r="E62" i="89" a="1"/>
  <c r="E62" i="89"/>
  <c r="D62" i="89" a="1"/>
  <c r="D62" i="89"/>
  <c r="F62" i="89" a="1"/>
  <c r="F62" i="89"/>
  <c r="K62" i="89" a="1"/>
  <c r="K62" i="89"/>
  <c r="L62" i="89" a="1"/>
  <c r="L62" i="89"/>
  <c r="W62" i="89" a="1"/>
  <c r="W62" i="89"/>
  <c r="D81" i="89" a="1"/>
  <c r="D81" i="89"/>
  <c r="E81" i="89" a="1"/>
  <c r="E81" i="89"/>
  <c r="E82" i="89" a="1"/>
  <c r="E82" i="89"/>
  <c r="O82" i="89" a="1"/>
  <c r="O82" i="89"/>
  <c r="Z82" i="89" a="1"/>
  <c r="Z82" i="89"/>
  <c r="V82" i="89" a="1"/>
  <c r="V82" i="89"/>
  <c r="C82" i="89" a="1"/>
  <c r="C82" i="89"/>
  <c r="T82" i="89" a="1"/>
  <c r="T82" i="89"/>
  <c r="D82" i="89" a="1"/>
  <c r="D82" i="89"/>
  <c r="K82" i="89" a="1"/>
  <c r="K82" i="89"/>
  <c r="L82" i="89" a="1"/>
  <c r="L82" i="89"/>
  <c r="W82" i="89" a="1"/>
  <c r="W82" i="89"/>
  <c r="F81" i="89"/>
  <c r="BA20" i="2"/>
  <c r="BB20" i="2"/>
  <c r="T20" i="2" a="1"/>
  <c r="Q20" i="2" a="1"/>
  <c r="AN20" i="2" a="1"/>
  <c r="D20" i="2" a="1"/>
  <c r="AR20" i="2" a="1"/>
  <c r="L20" i="2" a="1"/>
  <c r="E20" i="2" a="1"/>
  <c r="C20" i="2" a="1"/>
  <c r="AF20" i="2" a="1"/>
  <c r="G20" i="2" a="1"/>
  <c r="AA20" i="2" a="1"/>
  <c r="P20" i="2" a="1"/>
  <c r="F20" i="2" a="1"/>
  <c r="AD20" i="2" a="1"/>
  <c r="T81" i="89" a="1"/>
  <c r="BC20" i="2" l="1"/>
  <c r="AD20" i="2"/>
  <c r="F20" i="2"/>
  <c r="P20" i="2"/>
  <c r="AA20" i="2"/>
  <c r="G20" i="2"/>
  <c r="AF20" i="2"/>
  <c r="C20" i="2"/>
  <c r="E20" i="2"/>
  <c r="L20" i="2"/>
  <c r="AR20" i="2"/>
  <c r="D20" i="2"/>
  <c r="AN20" i="2"/>
  <c r="Q20" i="2"/>
  <c r="T20" i="2"/>
  <c r="T81" i="89"/>
  <c r="S20" i="2" a="1"/>
  <c r="V81" i="89" a="1"/>
  <c r="R20" i="2" l="1"/>
  <c r="S20" i="2"/>
  <c r="U20" i="2" s="1"/>
  <c r="O20" i="2"/>
  <c r="AP20" i="2"/>
  <c r="AO20" i="2"/>
  <c r="V81" i="89"/>
  <c r="Z20" i="2"/>
  <c r="AC20" i="2" a="1"/>
  <c r="AV20" i="2" a="1"/>
  <c r="AQ20" i="2" a="1"/>
  <c r="C81" i="89" a="1"/>
  <c r="AQ20" i="2" l="1"/>
  <c r="AV20" i="2"/>
  <c r="AC20" i="2"/>
  <c r="AE20" i="2" s="1"/>
  <c r="AL20" i="2"/>
  <c r="AT20" i="2"/>
  <c r="AS20" i="2"/>
  <c r="M20" i="2"/>
  <c r="X20" i="2"/>
  <c r="Y20" i="2" s="1"/>
  <c r="AM20" i="2"/>
  <c r="AB20" i="2"/>
  <c r="C81" i="89"/>
  <c r="O81" i="89" a="1"/>
  <c r="O81" i="89" l="1"/>
  <c r="W81" i="89"/>
  <c r="K81" i="89"/>
  <c r="L81" i="89"/>
  <c r="T75" i="89" a="1"/>
  <c r="T75" i="89"/>
  <c r="O75" i="89" a="1"/>
  <c r="O75" i="89"/>
  <c r="V75" i="89" a="1"/>
  <c r="V75" i="89" l="1"/>
  <c r="C75" i="89" a="1"/>
  <c r="C75" i="89"/>
  <c r="E75" i="89" a="1"/>
  <c r="E75" i="89"/>
  <c r="D75" i="89" a="1"/>
  <c r="D75" i="89"/>
  <c r="W75" i="89" a="1"/>
  <c r="W75" i="89"/>
  <c r="L75" i="89" a="1"/>
  <c r="L75" i="89"/>
  <c r="K75" i="89" a="1"/>
  <c r="K75" i="89"/>
  <c r="F75" i="89" a="1"/>
  <c r="F75" i="89"/>
  <c r="AB253" i="89" a="1"/>
  <c r="AB253" i="89"/>
  <c r="AB243" i="89" a="1"/>
  <c r="AB243" i="89"/>
  <c r="AB242" i="89" a="1"/>
  <c r="AB242" i="89"/>
  <c r="AB96" i="89" a="1"/>
  <c r="AB96" i="89"/>
  <c r="AB95" i="89" a="1"/>
  <c r="AB95" i="89"/>
  <c r="AB102" i="89" a="1"/>
  <c r="AB102" i="89"/>
  <c r="AB101" i="89" a="1"/>
  <c r="AB101" i="89"/>
  <c r="AB251" i="89" a="1"/>
  <c r="AB251" i="89"/>
  <c r="AB234" i="89" a="1"/>
  <c r="AB234" i="89"/>
  <c r="AB40" i="89" a="1"/>
  <c r="AB40" i="89"/>
  <c r="AB109" i="89" a="1"/>
  <c r="AB109" i="89"/>
  <c r="AB108" i="89" a="1"/>
  <c r="AB108" i="89"/>
  <c r="AB116" i="89" a="1"/>
  <c r="AB116" i="89"/>
  <c r="AB115" i="89" a="1"/>
  <c r="AB115" i="89"/>
  <c r="AB178" i="89" a="1"/>
  <c r="AB178" i="89"/>
  <c r="AB123" i="89" a="1"/>
  <c r="AB123" i="89"/>
  <c r="AB122" i="89" a="1"/>
  <c r="AB122" i="89"/>
  <c r="AB249" i="89" a="1"/>
  <c r="AB249" i="89"/>
  <c r="AB235" i="89" a="1"/>
  <c r="AB235" i="89"/>
  <c r="AB56" i="89" a="1"/>
  <c r="AB56" i="89"/>
  <c r="AB55" i="89" a="1"/>
  <c r="AB55" i="89"/>
  <c r="AB34" i="89" a="1"/>
  <c r="AB34" i="89"/>
  <c r="AB33" i="89" a="1"/>
  <c r="AB33" i="89"/>
  <c r="AB26" i="89" a="1"/>
  <c r="AB26" i="89"/>
  <c r="AB20" i="89" a="1"/>
  <c r="AB20" i="89"/>
  <c r="AB197" i="89" a="1"/>
  <c r="AB197" i="89"/>
  <c r="AB196" i="89" a="1"/>
  <c r="AB196" i="89"/>
  <c r="AB195" i="89" a="1"/>
  <c r="AB195" i="89"/>
  <c r="AB19" i="89" a="1"/>
  <c r="AB19" i="89"/>
  <c r="AB14" i="89" a="1"/>
  <c r="AB14" i="89"/>
  <c r="AB13" i="89" a="1"/>
  <c r="AB13" i="89"/>
  <c r="AB8" i="89" a="1"/>
  <c r="AB8" i="89"/>
  <c r="AB7" i="89" a="1"/>
  <c r="AB7" i="89"/>
  <c r="AB254" i="89" a="1"/>
  <c r="AB254" i="89"/>
  <c r="AB225" i="89" a="1"/>
  <c r="AB225" i="89"/>
  <c r="AB224" i="89" a="1"/>
  <c r="AB224" i="89"/>
  <c r="AB223" i="89" a="1"/>
  <c r="AB223" i="89"/>
  <c r="AB222" i="89" a="1"/>
  <c r="AB222" i="89"/>
  <c r="AB252" i="89" a="1"/>
  <c r="AB252" i="89"/>
  <c r="AB233" i="89" a="1"/>
  <c r="AB233" i="89"/>
  <c r="AB180" i="89" a="1"/>
  <c r="AB180" i="89"/>
  <c r="AB179" i="89" a="1"/>
  <c r="AB179" i="89"/>
  <c r="AB171" i="89" a="1"/>
  <c r="AB171" i="89"/>
  <c r="AB170" i="89" a="1"/>
  <c r="AB170" i="89"/>
  <c r="AB169" i="89" a="1"/>
  <c r="AB169" i="89"/>
  <c r="AB138" i="89" a="1"/>
  <c r="AB138" i="89"/>
  <c r="AB137" i="89" a="1"/>
  <c r="AB137" i="89"/>
  <c r="AB136" i="89" a="1"/>
  <c r="AB136" i="89"/>
  <c r="AB129" i="89" a="1"/>
  <c r="AB129" i="89"/>
  <c r="AB250" i="89" a="1"/>
  <c r="AB250" i="89"/>
  <c r="AB76" i="89" a="1"/>
  <c r="AB76" i="89"/>
  <c r="AB69" i="89" a="1"/>
  <c r="AB69" i="89"/>
  <c r="AB68" i="89" a="1"/>
  <c r="AB68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90" i="89" a="1"/>
  <c r="AB90" i="89"/>
  <c r="AB89" i="89" a="1"/>
  <c r="AB89" i="89"/>
  <c r="AB39" i="89" a="1"/>
  <c r="AB39" i="89"/>
  <c r="AB160" i="89" a="1"/>
  <c r="AB160" i="89"/>
  <c r="AB50" i="89" a="1"/>
  <c r="AB50" i="89"/>
  <c r="AB49" i="89" a="1"/>
  <c r="AB49" i="89"/>
  <c r="AB188" i="89" a="1"/>
  <c r="AB188" i="89"/>
  <c r="AB187" i="89" a="1"/>
  <c r="AB187" i="89"/>
  <c r="AB186" i="89" a="1"/>
  <c r="AB186" i="89"/>
  <c r="AB145" i="89" a="1"/>
  <c r="AB145" i="89"/>
  <c r="AB144" i="89" a="1"/>
  <c r="AB144" i="89"/>
  <c r="S188" i="89" a="1"/>
  <c r="S188" i="89"/>
  <c r="R188" i="89" a="1"/>
  <c r="S129" i="89" a="1"/>
  <c r="R188" i="89" l="1"/>
  <c r="S129" i="89"/>
  <c r="R129" i="89" a="1"/>
  <c r="S250" i="89" a="1"/>
  <c r="R129" i="89" l="1"/>
  <c r="S250" i="89"/>
  <c r="R250" i="89" a="1"/>
  <c r="S123" i="89" a="1"/>
  <c r="R250" i="89" l="1"/>
  <c r="S123" i="89"/>
  <c r="R123" i="89" a="1"/>
  <c r="S101" i="89" a="1"/>
  <c r="R123" i="89" l="1"/>
  <c r="S101" i="89"/>
  <c r="R101" i="89" a="1"/>
  <c r="S160" i="89" a="1"/>
  <c r="R101" i="89" l="1"/>
  <c r="S160" i="89"/>
  <c r="R160" i="89" a="1"/>
  <c r="S109" i="89" a="1"/>
  <c r="R160" i="89" l="1"/>
  <c r="S109" i="89"/>
  <c r="R109" i="89" a="1"/>
  <c r="S178" i="89" a="1"/>
  <c r="R109" i="89" l="1"/>
  <c r="S178" i="89"/>
  <c r="R178" i="89" a="1"/>
  <c r="S243" i="89" a="1"/>
  <c r="R178" i="89" l="1"/>
  <c r="S243" i="89"/>
  <c r="R243" i="89" a="1"/>
  <c r="S253" i="89" a="1"/>
  <c r="R243" i="89" l="1"/>
  <c r="S253" i="89"/>
  <c r="R253" i="89" a="1"/>
  <c r="S39" i="89" a="1"/>
  <c r="R253" i="89" l="1"/>
  <c r="S39" i="89"/>
  <c r="R39" i="89" a="1"/>
  <c r="S108" i="89" a="1"/>
  <c r="R39" i="89" l="1"/>
  <c r="S108" i="89"/>
  <c r="R108" i="89" a="1"/>
  <c r="S180" i="89" a="1"/>
  <c r="R108" i="89" l="1"/>
  <c r="S180" i="89"/>
  <c r="R180" i="89" a="1"/>
  <c r="S50" i="89" a="1"/>
  <c r="R180" i="89" l="1"/>
  <c r="S50" i="89"/>
  <c r="R50" i="89" a="1"/>
  <c r="S116" i="89" a="1"/>
  <c r="R50" i="89" l="1"/>
  <c r="S116" i="89"/>
  <c r="R116" i="89" a="1"/>
  <c r="S138" i="89" a="1"/>
  <c r="R116" i="89" l="1"/>
  <c r="S138" i="89"/>
  <c r="R138" i="89" a="1"/>
  <c r="S145" i="89" a="1"/>
  <c r="R138" i="89" l="1"/>
  <c r="S145" i="89"/>
  <c r="R145" i="89" a="1"/>
  <c r="S90" i="89" a="1"/>
  <c r="R145" i="89" l="1"/>
  <c r="S90" i="89"/>
  <c r="R90" i="89" a="1"/>
  <c r="S56" i="89" a="1"/>
  <c r="R90" i="89" l="1"/>
  <c r="S56" i="89"/>
  <c r="R56" i="89" a="1"/>
  <c r="S40" i="89" a="1"/>
  <c r="R56" i="89" l="1"/>
  <c r="S40" i="89"/>
  <c r="R40" i="89" a="1"/>
  <c r="R40" i="89" l="1"/>
  <c r="S213" i="89" a="1"/>
  <c r="S213" i="89" l="1"/>
  <c r="R213" i="89" a="1"/>
  <c r="S234" i="89" a="1"/>
  <c r="R213" i="89" l="1"/>
  <c r="S234" i="89"/>
  <c r="R234" i="89" a="1"/>
  <c r="T90" i="89" a="1"/>
  <c r="R234" i="89" l="1"/>
  <c r="T90" i="89"/>
  <c r="E145" i="89" a="1"/>
  <c r="E145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Z89" i="89" a="1"/>
  <c r="Z89" i="89"/>
  <c r="AA89" i="89" a="1"/>
  <c r="AA89" i="89"/>
  <c r="T136" i="89" a="1"/>
  <c r="T136" i="89"/>
  <c r="C90" i="89" a="1"/>
  <c r="C90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V95" i="89" a="1"/>
  <c r="V95" i="89"/>
  <c r="Z138" i="89" a="1"/>
  <c r="Z138" i="89"/>
  <c r="AA138" i="89" a="1"/>
  <c r="AA138" i="89"/>
  <c r="C145" i="89" a="1"/>
  <c r="C145" i="89"/>
  <c r="C138" i="89" a="1"/>
  <c r="C138" i="89"/>
  <c r="E101" i="89" a="1"/>
  <c r="E101" i="89"/>
  <c r="T123" i="89" a="1"/>
  <c r="T123" i="89"/>
  <c r="D95" i="89" a="1"/>
  <c r="D95" i="89"/>
  <c r="V145" i="89" a="1"/>
  <c r="V145" i="89"/>
  <c r="E123" i="89" a="1"/>
  <c r="E123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Z123" i="89" a="1"/>
  <c r="Z123" i="89"/>
  <c r="AA123" i="89" a="1"/>
  <c r="AA123" i="89"/>
  <c r="D160" i="89" a="1"/>
  <c r="D160" i="89"/>
  <c r="V96" i="89" a="1"/>
  <c r="V96" i="89"/>
  <c r="E102" i="89" a="1"/>
  <c r="E102" i="89"/>
  <c r="T129" i="89" a="1"/>
  <c r="T129" i="89"/>
  <c r="C129" i="89" a="1"/>
  <c r="C129" i="89"/>
  <c r="V115" i="89" a="1"/>
  <c r="V115" i="89"/>
  <c r="E108" i="89" a="1"/>
  <c r="E108" i="89"/>
  <c r="C115" i="89" a="1"/>
  <c r="C115" i="89"/>
  <c r="Z116" i="89" a="1"/>
  <c r="Z116" i="89"/>
  <c r="AA116" i="89" a="1"/>
  <c r="AA116" i="89"/>
  <c r="V102" i="89" a="1"/>
  <c r="V102" i="89"/>
  <c r="E137" i="89" a="1"/>
  <c r="E137" i="89"/>
  <c r="Z96" i="89" a="1"/>
  <c r="Z96" i="89"/>
  <c r="AA96" i="89" a="1"/>
  <c r="AA96" i="89"/>
  <c r="C137" i="89" a="1"/>
  <c r="C137" i="89"/>
  <c r="E160" i="89" a="1"/>
  <c r="E160" i="89"/>
  <c r="D102" i="89" a="1"/>
  <c r="D102" i="89"/>
  <c r="T160" i="89" a="1"/>
  <c r="T160" i="89"/>
  <c r="D116" i="89" a="1"/>
  <c r="D116" i="89"/>
  <c r="D115" i="89" a="1"/>
  <c r="D115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E153" i="89" a="1"/>
  <c r="E153" i="89"/>
  <c r="V153" i="89" a="1"/>
  <c r="V153" i="89"/>
  <c r="T102" i="89" a="1"/>
  <c r="T102" i="89"/>
  <c r="Z153" i="89" a="1"/>
  <c r="Z153" i="89"/>
  <c r="E129" i="89" a="1"/>
  <c r="E129" i="89"/>
  <c r="T108" i="89" a="1"/>
  <c r="T108" i="89"/>
  <c r="C116" i="89" a="1"/>
  <c r="C116" i="89"/>
  <c r="T96" i="89" a="1"/>
  <c r="T9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V116" i="89" a="1"/>
  <c r="V116" i="89"/>
  <c r="E115" i="89" a="1"/>
  <c r="E115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Z122" i="89" a="1"/>
  <c r="Z122" i="89"/>
  <c r="AA122" i="89" a="1"/>
  <c r="AA122" i="89"/>
  <c r="C108" i="89" a="1"/>
  <c r="C108" i="89"/>
  <c r="V122" i="89" a="1"/>
  <c r="V122" i="89"/>
  <c r="V160" i="89" a="1"/>
  <c r="V160" i="89"/>
  <c r="T115" i="89" a="1"/>
  <c r="T115" i="89"/>
  <c r="D96" i="89" a="1"/>
  <c r="D96" i="89"/>
  <c r="D153" i="89" a="1"/>
  <c r="D153" i="89"/>
  <c r="C153" i="89" a="1"/>
  <c r="C153" i="89"/>
  <c r="T137" i="89" a="1"/>
  <c r="T137" i="89"/>
  <c r="C122" i="89" a="1"/>
  <c r="C122" i="89"/>
  <c r="AA102" i="89" a="1"/>
  <c r="AA102" i="89"/>
  <c r="D129" i="89" a="1"/>
  <c r="D129" i="89"/>
  <c r="AA160" i="89" a="1"/>
  <c r="AA160" i="89"/>
  <c r="D122" i="89" a="1"/>
  <c r="D122" i="89"/>
  <c r="T153" i="89" a="1"/>
  <c r="T153" i="89"/>
  <c r="T116" i="89" a="1"/>
  <c r="T116" i="89"/>
  <c r="Z108" i="89" a="1"/>
  <c r="Z108" i="89"/>
  <c r="AA108" i="89" a="1"/>
  <c r="AA108" i="89"/>
  <c r="O212" i="89" a="1"/>
  <c r="O212" i="89"/>
  <c r="T20" i="89" a="1"/>
  <c r="T20" i="89"/>
  <c r="O251" i="89" a="1"/>
  <c r="O251" i="89"/>
  <c r="Z212" i="89" a="1"/>
  <c r="Z212" i="89"/>
  <c r="O171" i="89" a="1"/>
  <c r="O171" i="89"/>
  <c r="T251" i="89" a="1"/>
  <c r="T251" i="89"/>
  <c r="T254" i="89" a="1"/>
  <c r="T254" i="89"/>
  <c r="AB75" i="89" a="1"/>
  <c r="V171" i="89" a="1"/>
  <c r="AB75" i="89" l="1"/>
  <c r="V171" i="89"/>
  <c r="T233" i="89" a="1"/>
  <c r="T233" i="89"/>
  <c r="C187" i="89" a="1"/>
  <c r="C187" i="89"/>
  <c r="V34" i="89" a="1"/>
  <c r="V34" i="89"/>
  <c r="V20" i="89" a="1"/>
  <c r="V20" i="89"/>
  <c r="Z171" i="89" a="1"/>
  <c r="Z171" i="89"/>
  <c r="C20" i="89" a="1"/>
  <c r="C20" i="89"/>
  <c r="C188" i="89" a="1"/>
  <c r="C188" i="89"/>
  <c r="O34" i="89" a="1"/>
  <c r="O34" i="89"/>
  <c r="O20" i="89" a="1"/>
  <c r="O20" i="89"/>
  <c r="T212" i="89" a="1"/>
  <c r="T212" i="89"/>
  <c r="V251" i="89" a="1"/>
  <c r="V251" i="89"/>
  <c r="C251" i="89" a="1"/>
  <c r="C251" i="89"/>
  <c r="T188" i="89" a="1"/>
  <c r="T188" i="89"/>
  <c r="V254" i="89" a="1"/>
  <c r="V254" i="89"/>
  <c r="C34" i="89" a="1"/>
  <c r="C34" i="89"/>
  <c r="T187" i="89" a="1"/>
  <c r="T187" i="89"/>
  <c r="O254" i="89" a="1"/>
  <c r="O254" i="89"/>
  <c r="O187" i="89" a="1"/>
  <c r="O187" i="89"/>
  <c r="Z187" i="89" a="1"/>
  <c r="C233" i="89" a="1"/>
  <c r="Z187" i="89" l="1"/>
  <c r="C233" i="89"/>
  <c r="C212" i="89" a="1"/>
  <c r="C212" i="89"/>
  <c r="Z254" i="89" a="1"/>
  <c r="Z254" i="89"/>
  <c r="AA254" i="89" a="1"/>
  <c r="AA254" i="89"/>
  <c r="O233" i="89" a="1"/>
  <c r="O233" i="89"/>
  <c r="Z233" i="89" a="1"/>
  <c r="C171" i="89" a="1"/>
  <c r="Z233" i="89" l="1"/>
  <c r="C171" i="89"/>
  <c r="Z251" i="89" a="1"/>
  <c r="Z251" i="89"/>
  <c r="AA251" i="89" a="1"/>
  <c r="AA251" i="89"/>
  <c r="T34" i="89" a="1"/>
  <c r="T34" i="89"/>
  <c r="T171" i="89" a="1"/>
  <c r="T171" i="89"/>
  <c r="Z34" i="89" a="1"/>
  <c r="Z34" i="89"/>
  <c r="V212" i="89" a="1"/>
  <c r="V212" i="89"/>
  <c r="Z20" i="89" a="1"/>
  <c r="Z20" i="89"/>
  <c r="O188" i="89" a="1"/>
  <c r="O188" i="89"/>
  <c r="Z188" i="89" a="1"/>
  <c r="V187" i="89" a="1"/>
  <c r="Z188" i="89" l="1"/>
  <c r="V187" i="89"/>
  <c r="V233" i="89" a="1"/>
  <c r="V233" i="89"/>
  <c r="C254" i="89" a="1"/>
  <c r="C254" i="89"/>
  <c r="V188" i="89" a="1"/>
  <c r="V188" i="89"/>
  <c r="X46" i="338" a="1"/>
  <c r="X46" i="338" l="1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18" i="338" a="1"/>
  <c r="X18" i="338"/>
  <c r="X8" i="338" a="1"/>
  <c r="X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X13" i="338" a="1"/>
  <c r="X13" i="338"/>
  <c r="X35" i="338" a="1"/>
  <c r="X35" i="338"/>
  <c r="T37" i="338" a="1"/>
  <c r="T37" i="338"/>
  <c r="P13" i="338" a="1"/>
  <c r="P13" i="338"/>
  <c r="T54" i="338" a="1"/>
  <c r="T54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X53" i="338" a="1"/>
  <c r="X53" i="338"/>
  <c r="T17" i="338" a="1"/>
  <c r="T17" i="338"/>
  <c r="S10" i="338" a="1"/>
  <c r="S10" i="338"/>
  <c r="S51" i="338" a="1"/>
  <c r="S51" i="338"/>
  <c r="S40" i="338" a="1"/>
  <c r="S40" i="338"/>
  <c r="P10" i="338" a="1"/>
  <c r="P1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S45" i="338" a="1"/>
  <c r="S45" i="338"/>
  <c r="S29" i="338" a="1"/>
  <c r="S29" i="338"/>
  <c r="S9" i="338" a="1"/>
  <c r="S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C50" i="89" a="1"/>
  <c r="C50" i="89"/>
  <c r="T235" i="89" a="1"/>
  <c r="T235" i="89"/>
  <c r="V204" i="89" a="1"/>
  <c r="V204" i="89"/>
  <c r="T204" i="89" a="1"/>
  <c r="T204" i="89"/>
  <c r="V252" i="89" a="1"/>
  <c r="V252" i="89"/>
  <c r="C40" i="89" a="1"/>
  <c r="C40" i="89"/>
  <c r="O213" i="89" a="1"/>
  <c r="O213" i="89"/>
  <c r="T242" i="89" a="1"/>
  <c r="T242" i="89"/>
  <c r="V203" i="89" a="1"/>
  <c r="V203" i="89"/>
  <c r="O252" i="89" a="1"/>
  <c r="O252" i="89"/>
  <c r="C235" i="89" a="1"/>
  <c r="C235" i="89"/>
  <c r="O235" i="89" a="1"/>
  <c r="O235" i="89"/>
  <c r="Z235" i="89" a="1"/>
  <c r="T213" i="89" a="1"/>
  <c r="Z235" i="89" l="1"/>
  <c r="T213" i="89"/>
  <c r="AA204" i="89" a="1"/>
  <c r="AA204" i="89"/>
  <c r="T40" i="89" a="1"/>
  <c r="T40" i="89"/>
  <c r="C203" i="89" a="1"/>
  <c r="C203" i="89"/>
  <c r="V40" i="89" a="1"/>
  <c r="V40" i="89"/>
  <c r="O203" i="89" a="1"/>
  <c r="O203" i="89"/>
  <c r="C242" i="89" a="1"/>
  <c r="C242" i="89"/>
  <c r="T252" i="89" a="1"/>
  <c r="T252" i="89"/>
  <c r="C204" i="89" a="1"/>
  <c r="C204" i="89"/>
  <c r="C252" i="89" a="1"/>
  <c r="C252" i="89"/>
  <c r="O50" i="89" a="1"/>
  <c r="O50" i="89"/>
  <c r="Z50" i="89" a="1"/>
  <c r="T203" i="89" a="1"/>
  <c r="Z50" i="89" l="1"/>
  <c r="T203" i="89"/>
  <c r="Z213" i="89" a="1"/>
  <c r="Z213" i="89"/>
  <c r="O242" i="89" a="1"/>
  <c r="O242" i="89"/>
  <c r="V50" i="89" a="1"/>
  <c r="V50" i="89"/>
  <c r="V235" i="89" a="1"/>
  <c r="V235" i="89"/>
  <c r="O40" i="89" a="1"/>
  <c r="O40" i="89"/>
  <c r="Z40" i="89" a="1"/>
  <c r="Z252" i="89" a="1"/>
  <c r="Z40" i="89" l="1"/>
  <c r="Z252" i="89"/>
  <c r="AA252" i="89" a="1"/>
  <c r="AA252" i="89"/>
  <c r="V213" i="89" a="1"/>
  <c r="V213" i="89"/>
  <c r="Z203" i="89" a="1"/>
  <c r="Z203" i="89"/>
  <c r="AA203" i="89" a="1"/>
  <c r="AA203" i="89"/>
  <c r="T50" i="89" a="1"/>
  <c r="T50" i="89"/>
  <c r="AB63" i="89" a="1"/>
  <c r="C213" i="89" a="1"/>
  <c r="AB63" i="89" l="1"/>
  <c r="C213" i="89"/>
  <c r="Z242" i="89" a="1"/>
  <c r="Z242" i="89"/>
  <c r="AA242" i="89" a="1"/>
  <c r="AA242" i="89"/>
  <c r="AB62" i="89" a="1"/>
  <c r="V242" i="89" a="1"/>
  <c r="AB62" i="89" l="1"/>
  <c r="V242" i="89"/>
  <c r="O204" i="89" a="1"/>
  <c r="O204" i="89"/>
  <c r="Z204" i="89" a="1"/>
  <c r="Z204" i="89" l="1"/>
  <c r="E10" i="2" a="1"/>
  <c r="E10" i="2"/>
  <c r="F10" i="2" a="1"/>
  <c r="F10" i="2"/>
  <c r="C16" i="2" a="1"/>
  <c r="C16" i="2"/>
  <c r="D15" i="2" a="1"/>
  <c r="D15" i="2"/>
  <c r="AQ15" i="2" a="1"/>
  <c r="AC15" i="2" a="1"/>
  <c r="C19" i="2" a="1"/>
  <c r="AC15" i="2" l="1"/>
  <c r="AQ15" i="2"/>
  <c r="C19" i="2"/>
  <c r="T10" i="2" a="1"/>
  <c r="T10" i="2"/>
  <c r="AR19" i="2" a="1"/>
  <c r="AR19" i="2"/>
  <c r="F15" i="2" a="1"/>
  <c r="F15" i="2"/>
  <c r="AA10" i="2" a="1"/>
  <c r="AA10" i="2"/>
  <c r="AD15" i="2" a="1"/>
  <c r="AD15" i="2"/>
  <c r="F14" i="2" a="1"/>
  <c r="F14" i="2"/>
  <c r="C5" i="2" a="1"/>
  <c r="C5" i="2"/>
  <c r="C4" i="2" a="1"/>
  <c r="C4" i="2"/>
  <c r="AD21" i="2" a="1"/>
  <c r="AD21" i="2"/>
  <c r="F21" i="2" a="1"/>
  <c r="F21" i="2"/>
  <c r="C15" i="2" a="1"/>
  <c r="C15" i="2"/>
  <c r="AD19" i="2" a="1"/>
  <c r="AD19" i="2"/>
  <c r="AD16" i="2" a="1"/>
  <c r="AD16" i="2"/>
  <c r="AA32" i="2" a="1"/>
  <c r="AA32" i="2"/>
  <c r="AA5" i="2" a="1"/>
  <c r="AA5" i="2"/>
  <c r="AA4" i="2" a="1"/>
  <c r="AA4" i="2"/>
  <c r="AA14" i="2" a="1"/>
  <c r="AA14" i="2"/>
  <c r="F16" i="2" a="1"/>
  <c r="F16" i="2"/>
  <c r="D19" i="2" a="1"/>
  <c r="D19" i="2"/>
  <c r="Z19" i="2"/>
  <c r="AC19" i="2" a="1"/>
  <c r="AQ19" i="2" a="1"/>
  <c r="E19" i="2" a="1"/>
  <c r="AQ19" i="2" l="1"/>
  <c r="AC19" i="2"/>
  <c r="E19" i="2"/>
  <c r="E15" i="2" a="1"/>
  <c r="E15" i="2"/>
  <c r="T32" i="2" a="1"/>
  <c r="T32" i="2"/>
  <c r="C10" i="2" a="1"/>
  <c r="C10" i="2"/>
  <c r="D10" i="2" a="1"/>
  <c r="D10" i="2"/>
  <c r="Z10" i="2"/>
  <c r="AV10" i="2" s="1" a="1"/>
  <c r="AC10" i="2" a="1"/>
  <c r="AQ10" i="2" a="1"/>
  <c r="T21" i="2" a="1"/>
  <c r="AQ10" i="2" l="1"/>
  <c r="AC10" i="2"/>
  <c r="AV10" i="2"/>
  <c r="T21" i="2"/>
  <c r="F19" i="2" a="1"/>
  <c r="F19" i="2"/>
  <c r="E5" i="2" a="1"/>
  <c r="E5" i="2"/>
  <c r="E4" i="2" a="1"/>
  <c r="E4" i="2"/>
  <c r="AR10" i="2" a="1"/>
  <c r="AR10" i="2"/>
  <c r="T14" i="2" a="1"/>
  <c r="T14" i="2"/>
  <c r="AA19" i="2" a="1"/>
  <c r="AA19" i="2"/>
  <c r="AV19" i="2" a="1"/>
  <c r="F5" i="2" a="1"/>
  <c r="AV19" i="2" l="1"/>
  <c r="F5" i="2"/>
  <c r="F4" i="2" a="1"/>
  <c r="F4" i="2"/>
  <c r="E16" i="2" a="1"/>
  <c r="E16" i="2"/>
  <c r="AD14" i="2" a="1"/>
  <c r="AD14" i="2"/>
  <c r="C14" i="2" a="1"/>
  <c r="C14" i="2"/>
  <c r="AR14" i="2" a="1"/>
  <c r="AR14" i="2"/>
  <c r="T19" i="2" a="1"/>
  <c r="T19" i="2"/>
  <c r="D16" i="2" a="1"/>
  <c r="D16" i="2"/>
  <c r="AQ16" i="2" a="1"/>
  <c r="AC16" i="2" a="1"/>
  <c r="T5" i="2" a="1"/>
  <c r="AC16" i="2" l="1"/>
  <c r="AQ16" i="2"/>
  <c r="T5" i="2"/>
  <c r="T4" i="2" a="1"/>
  <c r="T4" i="2"/>
  <c r="T16" i="2" a="1"/>
  <c r="T16" i="2"/>
  <c r="AA16" i="2" a="1"/>
  <c r="AA16" i="2"/>
  <c r="AR21" i="2" a="1"/>
  <c r="AR21" i="2"/>
  <c r="F32" i="2" a="1"/>
  <c r="F32" i="2"/>
  <c r="C21" i="2" a="1"/>
  <c r="C21" i="2"/>
  <c r="D14" i="2" a="1"/>
  <c r="D14" i="2"/>
  <c r="AC14" i="2" a="1"/>
  <c r="AQ14" i="2" a="1"/>
  <c r="AD5" i="2" a="1"/>
  <c r="AQ14" i="2" l="1"/>
  <c r="AC14" i="2"/>
  <c r="AD5" i="2"/>
  <c r="AD4" i="2" a="1"/>
  <c r="AD4" i="2"/>
  <c r="D32" i="2" a="1"/>
  <c r="D32" i="2"/>
  <c r="AQ32" i="2" a="1"/>
  <c r="AC32" i="2" a="1"/>
  <c r="D21" i="2" a="1"/>
  <c r="AC32" i="2" l="1"/>
  <c r="AQ32" i="2"/>
  <c r="D21" i="2"/>
  <c r="AC21" i="2" a="1"/>
  <c r="AQ21" i="2" a="1"/>
  <c r="C32" i="2" a="1"/>
  <c r="AQ21" i="2" l="1"/>
  <c r="AC21" i="2"/>
  <c r="C32" i="2"/>
  <c r="E14" i="2" a="1"/>
  <c r="E14" i="2"/>
  <c r="AR15" i="2" a="1"/>
  <c r="AR15" i="2"/>
  <c r="E32" i="2" a="1"/>
  <c r="E32" i="2"/>
  <c r="E21" i="2" a="1"/>
  <c r="E21" i="2"/>
  <c r="AR5" i="2" a="1"/>
  <c r="AR5" i="2"/>
  <c r="AR4" i="2" a="1"/>
  <c r="AR4" i="2"/>
  <c r="AA21" i="2" a="1"/>
  <c r="AA21" i="2"/>
  <c r="D5" i="2" a="1"/>
  <c r="D5" i="2"/>
  <c r="Z5" i="2"/>
  <c r="AV5" i="2" s="1" a="1"/>
  <c r="AC5" i="2" a="1"/>
  <c r="AQ5" i="2" a="1"/>
  <c r="D4" i="2" a="1"/>
  <c r="AQ5" i="2" l="1"/>
  <c r="AC5" i="2"/>
  <c r="AV5" i="2"/>
  <c r="D4" i="2"/>
  <c r="AC4" i="2" a="1"/>
  <c r="AQ4" i="2" a="1"/>
  <c r="AD32" i="2" a="1"/>
  <c r="AQ4" i="2" l="1"/>
  <c r="AC4" i="2"/>
  <c r="AD32" i="2"/>
  <c r="AR32" i="2" a="1"/>
  <c r="AR32" i="2"/>
  <c r="AR16" i="2" a="1"/>
  <c r="AR16" i="2"/>
  <c r="AA15" i="2" a="1"/>
  <c r="AA15" i="2"/>
  <c r="AD10" i="2" a="1"/>
  <c r="AD10" i="2"/>
  <c r="T15" i="2" a="1"/>
  <c r="T15" i="2"/>
  <c r="C19" i="89"/>
  <c r="V19" i="89"/>
  <c r="C178" i="89" a="1"/>
  <c r="C178" i="89"/>
  <c r="V197" i="89" a="1"/>
  <c r="V197" i="89"/>
  <c r="AA253" i="89" a="1"/>
  <c r="AA253" i="89"/>
  <c r="V253" i="89" a="1"/>
  <c r="V253" i="89"/>
  <c r="T234" i="89" a="1"/>
  <c r="T234" i="89"/>
  <c r="C186" i="89" a="1"/>
  <c r="C186" i="89"/>
  <c r="V195" i="89" a="1"/>
  <c r="V195" i="89"/>
  <c r="V33" i="89" a="1"/>
  <c r="V33" i="89"/>
  <c r="O250" i="89" a="1"/>
  <c r="O250" i="89"/>
  <c r="O253" i="89" a="1"/>
  <c r="O253" i="89"/>
  <c r="Z253" i="89" a="1"/>
  <c r="V234" i="89" a="1"/>
  <c r="Z253" i="89" l="1"/>
  <c r="V234" i="89"/>
  <c r="C197" i="89" a="1"/>
  <c r="C197" i="89"/>
  <c r="O234" i="89" a="1"/>
  <c r="O234" i="89"/>
  <c r="O186" i="89" a="1"/>
  <c r="O186" i="89"/>
  <c r="Z186" i="89" a="1"/>
  <c r="C33" i="89" a="1"/>
  <c r="Z186" i="89" l="1"/>
  <c r="C33" i="89"/>
  <c r="Z250" i="89" a="1"/>
  <c r="Z250" i="89"/>
  <c r="AA250" i="89" a="1"/>
  <c r="AA250" i="89"/>
  <c r="V211" i="89" a="1"/>
  <c r="V211" i="89"/>
  <c r="T197" i="89" a="1"/>
  <c r="T197" i="89"/>
  <c r="AA195" i="89" a="1"/>
  <c r="AA195" i="89"/>
  <c r="C211" i="89" a="1"/>
  <c r="C211" i="89"/>
  <c r="C195" i="89" a="1"/>
  <c r="C195" i="89"/>
  <c r="T178" i="89" a="1"/>
  <c r="T178" i="89"/>
  <c r="O178" i="89" a="1"/>
  <c r="O178" i="89"/>
  <c r="O211" i="89" a="1"/>
  <c r="O211" i="89"/>
  <c r="Z211" i="89" a="1"/>
  <c r="V186" i="89" a="1"/>
  <c r="Z211" i="89" l="1"/>
  <c r="V186" i="89"/>
  <c r="T250" i="89" a="1"/>
  <c r="T250" i="89"/>
  <c r="V250" i="89" a="1"/>
  <c r="V250" i="89"/>
  <c r="O33" i="89" a="1"/>
  <c r="O33" i="89"/>
  <c r="Z33" i="89" a="1"/>
  <c r="Z178" i="89" a="1"/>
  <c r="Z33" i="89" l="1"/>
  <c r="Z178" i="89"/>
  <c r="AA178" i="89" a="1"/>
  <c r="AA178" i="89"/>
  <c r="C253" i="89" a="1"/>
  <c r="C253" i="89"/>
  <c r="Z234" i="89" a="1"/>
  <c r="Z234" i="89"/>
  <c r="T195" i="89" a="1"/>
  <c r="T195" i="89"/>
  <c r="T19" i="89"/>
  <c r="O197" i="89" a="1"/>
  <c r="O197" i="89"/>
  <c r="V178" i="89" a="1"/>
  <c r="V178" i="89"/>
  <c r="O195" i="89" a="1"/>
  <c r="O195" i="89"/>
  <c r="Z195" i="89" a="1"/>
  <c r="T186" i="89" a="1"/>
  <c r="Z195" i="89" l="1"/>
  <c r="T186" i="89"/>
  <c r="T253" i="89" a="1"/>
  <c r="T253" i="89"/>
  <c r="Z197" i="89" a="1"/>
  <c r="Z197" i="89"/>
  <c r="AA197" i="89" a="1"/>
  <c r="AA197" i="89"/>
  <c r="T33" i="89" a="1"/>
  <c r="T33" i="89"/>
  <c r="O19" i="89"/>
  <c r="Z19" i="89" s="1" a="1"/>
  <c r="C234" i="89" a="1"/>
  <c r="Z19" i="89" l="1"/>
  <c r="C234" i="89"/>
  <c r="T211" i="89" a="1"/>
  <c r="T211" i="89"/>
  <c r="C250" i="89" a="1"/>
  <c r="C250" i="89"/>
  <c r="T224" i="89" a="1"/>
  <c r="T224" i="89"/>
  <c r="O243" i="89" a="1"/>
  <c r="O243" i="89"/>
  <c r="V49" i="89" a="1"/>
  <c r="V49" i="89"/>
  <c r="V169" i="89" a="1"/>
  <c r="V169" i="89"/>
  <c r="V224" i="89" a="1"/>
  <c r="V224" i="89"/>
  <c r="V68" i="89" a="1"/>
  <c r="V68" i="89"/>
  <c r="T196" i="89" a="1"/>
  <c r="T196" i="89"/>
  <c r="O39" i="89" a="1"/>
  <c r="O39" i="89"/>
  <c r="C249" i="89" a="1"/>
  <c r="C249" i="89"/>
  <c r="Z39" i="89" a="1"/>
  <c r="Z39" i="89"/>
  <c r="Z243" i="89" a="1"/>
  <c r="Z243" i="89"/>
  <c r="AA243" i="89" a="1"/>
  <c r="AA243" i="89"/>
  <c r="C68" i="89" a="1"/>
  <c r="C68" i="89"/>
  <c r="C169" i="89" a="1"/>
  <c r="C169" i="89"/>
  <c r="T39" i="89" a="1"/>
  <c r="T39" i="89"/>
  <c r="V39" i="89" a="1"/>
  <c r="V39" i="89"/>
  <c r="AA196" i="89" a="1"/>
  <c r="AA196" i="89"/>
  <c r="C27" i="89" a="1"/>
  <c r="C27" i="89"/>
  <c r="O196" i="89" a="1"/>
  <c r="O196" i="89"/>
  <c r="Z196" i="89" a="1"/>
  <c r="T68" i="89" a="1"/>
  <c r="Z196" i="89" l="1"/>
  <c r="T68" i="89"/>
  <c r="T49" i="89" a="1"/>
  <c r="T49" i="89"/>
  <c r="C49" i="89" a="1"/>
  <c r="C49" i="89"/>
  <c r="C243" i="89" a="1"/>
  <c r="C243" i="89"/>
  <c r="T249" i="89" a="1"/>
  <c r="T249" i="89"/>
  <c r="C224" i="89" a="1"/>
  <c r="C224" i="89"/>
  <c r="AB81" i="89" a="1"/>
  <c r="O68" i="89" a="1"/>
  <c r="AB81" i="89" l="1"/>
  <c r="O68" i="89"/>
  <c r="O249" i="89" a="1"/>
  <c r="O249" i="89"/>
  <c r="C196" i="89" a="1"/>
  <c r="C196" i="89"/>
  <c r="O169" i="89" a="1"/>
  <c r="O169" i="89"/>
  <c r="Z169" i="89" a="1"/>
  <c r="T243" i="89" a="1"/>
  <c r="Z169" i="89" l="1"/>
  <c r="T243" i="89"/>
  <c r="T27" i="89" a="1"/>
  <c r="T27" i="89"/>
  <c r="O27" i="89" a="1"/>
  <c r="O27" i="89"/>
  <c r="V27" i="89" a="1"/>
  <c r="V27" i="89"/>
  <c r="Z249" i="89" a="1"/>
  <c r="Z249" i="89"/>
  <c r="AA249" i="89" a="1"/>
  <c r="AA249" i="89"/>
  <c r="Z27" i="89" a="1"/>
  <c r="Z27" i="89"/>
  <c r="AA27" i="89" a="1"/>
  <c r="AA27" i="89"/>
  <c r="V249" i="89" a="1"/>
  <c r="V249" i="89"/>
  <c r="O224" i="89" a="1"/>
  <c r="O224" i="89"/>
  <c r="Z224" i="89" a="1"/>
  <c r="Z68" i="89" a="1"/>
  <c r="Z224" i="89" l="1"/>
  <c r="Z68" i="89"/>
  <c r="AA68" i="89" a="1"/>
  <c r="AA68" i="89"/>
  <c r="V243" i="89" a="1"/>
  <c r="V243" i="89"/>
  <c r="T169" i="89" a="1"/>
  <c r="T169" i="89"/>
  <c r="V196" i="89" a="1"/>
  <c r="V196" i="89"/>
  <c r="C39" i="89" a="1"/>
  <c r="C39" i="89"/>
  <c r="O49" i="89" a="1"/>
  <c r="O49" i="89"/>
  <c r="Z49" i="89" a="1"/>
  <c r="Z49" i="89" l="1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G32" i="446" a="1"/>
  <c r="G32" i="446"/>
  <c r="F39" i="446" a="1"/>
  <c r="F39" i="446"/>
  <c r="AJ40" i="338" a="1"/>
  <c r="AJ40" i="338"/>
  <c r="AJ38" i="338" a="1"/>
  <c r="AJ38" i="338"/>
  <c r="AJ16" i="338" a="1"/>
  <c r="AJ16" i="338"/>
  <c r="AH40" i="338" a="1"/>
  <c r="AH40" i="338"/>
  <c r="AH38" i="338" a="1"/>
  <c r="AH38" i="338"/>
  <c r="AH16" i="338" a="1"/>
  <c r="AH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G41" i="446" a="1"/>
  <c r="G41" i="446"/>
  <c r="F42" i="446" a="1"/>
  <c r="F42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AG30" i="338"/>
  <c r="G42" i="446" a="1"/>
  <c r="G42" i="446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P17" i="252" a="1"/>
  <c r="P17" i="252"/>
  <c r="F11" i="252" a="1"/>
  <c r="F11" i="252"/>
  <c r="F20" i="252" a="1"/>
  <c r="F20" i="252"/>
  <c r="F19" i="252" a="1"/>
  <c r="F19" i="252"/>
  <c r="P19" i="252" a="1"/>
  <c r="P19" i="252"/>
  <c r="N19" i="252" a="1"/>
  <c r="N19" i="252"/>
  <c r="F14" i="252" a="1"/>
  <c r="F14" i="252"/>
  <c r="M17" i="252" a="1"/>
  <c r="M17" i="252"/>
  <c r="S20" i="252" a="1"/>
  <c r="S20" i="252"/>
  <c r="AH9" i="338" a="1"/>
  <c r="AH9" i="338"/>
  <c r="AH8" i="338" a="1"/>
  <c r="AH8" i="338"/>
  <c r="S19" i="252" a="1"/>
  <c r="S19" i="252"/>
  <c r="M11" i="252" a="1"/>
  <c r="M11" i="252"/>
  <c r="S10" i="252" a="1"/>
  <c r="S10" i="252"/>
  <c r="P18" i="252" a="1"/>
  <c r="P18" i="252"/>
  <c r="AG9" i="338"/>
  <c r="AF44" i="1"/>
  <c r="L14" i="252" a="1"/>
  <c r="L14" i="252"/>
  <c r="F7" i="252" a="1"/>
  <c r="F7" i="252"/>
  <c r="P8" i="252" a="1"/>
  <c r="P8" i="252"/>
  <c r="AK9" i="338" a="1"/>
  <c r="AK9" i="338"/>
  <c r="AJ9" i="338" a="1"/>
  <c r="AJ9" i="338"/>
  <c r="AJ8" i="338" a="1"/>
  <c r="AJ8" i="338"/>
  <c r="O8" i="252" a="1"/>
  <c r="O8" i="252"/>
  <c r="AJ35" i="338" a="1"/>
  <c r="AJ35" i="338"/>
  <c r="AJ14" i="338" a="1"/>
  <c r="AJ14" i="338"/>
  <c r="AH35" i="338" a="1"/>
  <c r="AH35" i="338"/>
  <c r="AH14" i="338" a="1"/>
  <c r="AH14" i="338"/>
  <c r="P7" i="252" a="1"/>
  <c r="P7" i="252"/>
  <c r="L16" i="252" a="1"/>
  <c r="L16" i="252"/>
  <c r="AF33" i="338"/>
  <c r="AF11" i="338"/>
  <c r="AF10" i="338"/>
  <c r="AF22" i="1"/>
  <c r="P20" i="252" a="1"/>
  <c r="P20" i="252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N17" i="252" a="1"/>
  <c r="N17" i="252"/>
  <c r="S18" i="252" a="1"/>
  <c r="S18" i="252"/>
  <c r="F10" i="252" a="1"/>
  <c r="F10" i="252"/>
  <c r="G19" i="446" a="1"/>
  <c r="G19" i="446"/>
  <c r="G36" i="446" a="1"/>
  <c r="G36" i="446"/>
  <c r="S14" i="252" a="1"/>
  <c r="S14" i="252"/>
  <c r="N8" i="252" a="1"/>
  <c r="N8" i="252"/>
  <c r="AF18" i="338"/>
  <c r="AF17" i="338"/>
  <c r="AF42" i="1"/>
  <c r="AF41" i="1"/>
  <c r="L10" i="252" a="1"/>
  <c r="L10" i="252"/>
  <c r="O19" i="252" a="1"/>
  <c r="O19" i="252"/>
  <c r="M16" i="252" a="1"/>
  <c r="M16" i="252"/>
  <c r="L7" i="252" a="1"/>
  <c r="L7" i="252"/>
  <c r="AF35" i="338"/>
  <c r="AF14" i="338"/>
  <c r="AF36" i="1"/>
  <c r="M10" i="252" a="1"/>
  <c r="M10" i="252"/>
  <c r="P11" i="252" a="1"/>
  <c r="P11" i="252"/>
  <c r="N18" i="252" a="1"/>
  <c r="N18" i="252"/>
  <c r="AC35" i="1" a="1"/>
  <c r="AC35" i="1"/>
  <c r="AC34" i="1" a="1"/>
  <c r="AC34" i="1"/>
  <c r="AC33" i="1" a="1"/>
  <c r="AC33" i="1"/>
  <c r="D35" i="446" a="1"/>
  <c r="D35" i="446"/>
  <c r="F17" i="252" a="1"/>
  <c r="F17" i="252"/>
  <c r="O16" i="252" a="1"/>
  <c r="O16" i="252"/>
  <c r="S8" i="252" a="1"/>
  <c r="S8" i="252"/>
  <c r="G26" i="446" a="1"/>
  <c r="G26" i="446"/>
  <c r="S11" i="252" a="1"/>
  <c r="S11" i="252"/>
  <c r="AJ18" i="338" a="1"/>
  <c r="AJ18" i="338"/>
  <c r="AJ17" i="338" a="1"/>
  <c r="AJ17" i="338"/>
  <c r="L17" i="252" a="1"/>
  <c r="L17" i="252"/>
  <c r="AI9" i="338" a="1"/>
  <c r="AI9" i="338"/>
  <c r="L8" i="252" a="1"/>
  <c r="L8" i="252"/>
  <c r="AB42" i="1"/>
  <c r="AB41" i="1"/>
  <c r="F14" i="446" a="1"/>
  <c r="F14" i="446"/>
  <c r="M18" i="252" a="1"/>
  <c r="M18" i="252"/>
  <c r="AB44" i="1"/>
  <c r="F19" i="446" a="1"/>
  <c r="F19" i="446"/>
  <c r="S16" i="252" a="1"/>
  <c r="S16" i="252"/>
  <c r="AC22" i="1" a="1"/>
  <c r="AC22" i="1"/>
  <c r="D26" i="446" a="1"/>
  <c r="D26" i="446"/>
  <c r="L11" i="252" a="1"/>
  <c r="L11" i="252"/>
  <c r="AB22" i="1"/>
  <c r="F26" i="446" a="1"/>
  <c r="F26" i="446"/>
  <c r="O14" i="252" a="1"/>
  <c r="O14" i="252"/>
  <c r="N14" i="252" a="1"/>
  <c r="N14" i="252"/>
  <c r="O17" i="252" a="1"/>
  <c r="O17" i="252"/>
  <c r="M20" i="252" a="1"/>
  <c r="M20" i="252"/>
  <c r="AC24" i="1" a="1"/>
  <c r="AC24" i="1"/>
  <c r="AC23" i="1" a="1"/>
  <c r="AC23" i="1"/>
  <c r="D30" i="446" a="1"/>
  <c r="D30" i="446"/>
  <c r="N20" i="252" a="1"/>
  <c r="N20" i="252"/>
  <c r="N10" i="252" a="1"/>
  <c r="N10" i="252"/>
  <c r="AF34" i="338"/>
  <c r="AF13" i="338"/>
  <c r="AF35" i="1"/>
  <c r="AF34" i="1"/>
  <c r="AF33" i="1"/>
  <c r="N7" i="252" a="1"/>
  <c r="N7" i="252"/>
  <c r="G30" i="446" a="1"/>
  <c r="G30" i="446"/>
  <c r="M19" i="252" a="1"/>
  <c r="M19" i="252"/>
  <c r="F16" i="252" a="1"/>
  <c r="F16" i="252"/>
  <c r="AJ34" i="338" a="1"/>
  <c r="AJ34" i="338"/>
  <c r="AJ13" i="338" a="1"/>
  <c r="AJ13" i="338"/>
  <c r="O20" i="252" a="1"/>
  <c r="O20" i="252"/>
  <c r="O11" i="252" a="1"/>
  <c r="O11" i="252"/>
  <c r="AC36" i="1" a="1"/>
  <c r="AC36" i="1"/>
  <c r="D36" i="446" a="1"/>
  <c r="D36" i="446"/>
  <c r="P10" i="252" a="1"/>
  <c r="P10" i="252"/>
  <c r="AF9" i="338"/>
  <c r="AF8" i="338"/>
  <c r="AF24" i="1"/>
  <c r="AF23" i="1"/>
  <c r="N16" i="252" a="1"/>
  <c r="N16" i="252"/>
  <c r="N11" i="252" a="1"/>
  <c r="N11" i="252"/>
  <c r="M14" i="252" a="1"/>
  <c r="M14" i="252"/>
  <c r="L19" i="252" a="1"/>
  <c r="L19" i="252"/>
  <c r="P14" i="252" a="1"/>
  <c r="P14" i="252"/>
  <c r="AJ33" i="338" a="1"/>
  <c r="AJ33" i="338"/>
  <c r="AJ11" i="338" a="1"/>
  <c r="AJ11" i="338"/>
  <c r="AJ10" i="338" a="1"/>
  <c r="AJ10" i="338"/>
  <c r="O10" i="252" a="1"/>
  <c r="O10" i="252"/>
  <c r="M7" i="252" a="1"/>
  <c r="M7" i="252"/>
  <c r="AB24" i="1"/>
  <c r="AB23" i="1"/>
  <c r="F30" i="446" a="1"/>
  <c r="F30" i="446"/>
  <c r="M8" i="252" a="1"/>
  <c r="M8" i="252"/>
  <c r="L20" i="252" a="1"/>
  <c r="L20" i="252"/>
  <c r="G35" i="446" a="1"/>
  <c r="G35" i="446"/>
  <c r="AB36" i="1"/>
  <c r="F36" i="446" a="1"/>
  <c r="F36" i="446"/>
  <c r="S7" i="252" a="1"/>
  <c r="S7" i="252"/>
  <c r="L18" i="252" a="1"/>
  <c r="L18" i="252"/>
  <c r="O7" i="252" a="1"/>
  <c r="O7" i="252"/>
  <c r="AH34" i="338" a="1"/>
  <c r="AH34" i="338"/>
  <c r="AH13" i="338" a="1"/>
  <c r="AH13" i="338"/>
  <c r="P16" i="252" a="1"/>
  <c r="P16" i="252"/>
  <c r="AB35" i="1"/>
  <c r="AB34" i="1"/>
  <c r="AB33" i="1"/>
  <c r="F35" i="446" a="1"/>
  <c r="F35" i="446"/>
  <c r="F18" i="252" a="1"/>
  <c r="F18" i="252"/>
  <c r="F8" i="252" a="1"/>
  <c r="F8" i="252"/>
  <c r="O18" i="252" a="1"/>
  <c r="O18" i="252"/>
  <c r="S17" i="252" a="1"/>
  <c r="S17" i="252"/>
  <c r="G14" i="446" a="1"/>
  <c r="G14" i="446"/>
  <c r="Z154" i="89" a="1"/>
  <c r="Z154" i="89"/>
  <c r="F25" i="2" a="1"/>
  <c r="F25" i="2"/>
  <c r="F24" i="2" a="1"/>
  <c r="F24" i="2"/>
  <c r="E154" i="89" a="1"/>
  <c r="E154" i="89"/>
  <c r="AD25" i="2" a="1"/>
  <c r="AD25" i="2"/>
  <c r="AD24" i="2" a="1"/>
  <c r="AD24" i="2"/>
  <c r="V154" i="89" a="1"/>
  <c r="V154" i="89"/>
  <c r="AA25" i="2" a="1"/>
  <c r="AA25" i="2"/>
  <c r="AA24" i="2" a="1"/>
  <c r="AA24" i="2"/>
  <c r="T154" i="89" a="1"/>
  <c r="T154" i="89"/>
  <c r="AR25" i="2" a="1"/>
  <c r="AR25" i="2"/>
  <c r="AR24" i="2" a="1"/>
  <c r="AR24" i="2"/>
  <c r="E25" i="2" a="1"/>
  <c r="E25" i="2"/>
  <c r="E24" i="2" a="1"/>
  <c r="E24" i="2"/>
  <c r="D154" i="89" a="1"/>
  <c r="D154" i="89"/>
  <c r="K24" i="2"/>
  <c r="D25" i="2" a="1"/>
  <c r="D25" i="2"/>
  <c r="D24" i="2" a="1"/>
  <c r="D24" i="2"/>
  <c r="C154" i="89" a="1"/>
  <c r="C154" i="89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M15" i="252" a="1"/>
  <c r="M15" i="252"/>
  <c r="M9" i="252" a="1"/>
  <c r="M9" i="252"/>
  <c r="O15" i="252" a="1"/>
  <c r="O15" i="252"/>
  <c r="O12" i="252" a="1"/>
  <c r="O12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G54" i="338"/>
  <c r="F16" i="446" a="1"/>
  <c r="F16" i="446"/>
  <c r="AI54" i="338" a="1"/>
  <c r="AI54" i="338"/>
  <c r="AI8" i="338" a="1"/>
  <c r="AI8" i="338"/>
  <c r="AI50" i="338" a="1"/>
  <c r="AI50" i="338"/>
  <c r="AI46" i="338" a="1"/>
  <c r="AI46" i="338"/>
  <c r="AI32" i="338" a="1"/>
  <c r="AI32" i="338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9" i="446" a="1"/>
  <c r="G9" i="446"/>
  <c r="F9" i="446" a="1"/>
  <c r="F9" i="446"/>
  <c r="F18" i="446" a="1"/>
  <c r="F18" i="446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F23" i="446" a="1"/>
  <c r="F23" i="446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K49" i="338" a="1"/>
  <c r="AK49" i="338"/>
  <c r="AK48" i="338" a="1"/>
  <c r="AK48" i="338"/>
  <c r="AF54" i="338"/>
  <c r="AF53" i="338"/>
  <c r="AF52" i="338"/>
  <c r="F17" i="446" a="1"/>
  <c r="F17" i="446"/>
  <c r="F15" i="446" a="1"/>
  <c r="F15" i="446"/>
  <c r="F21" i="446" a="1"/>
  <c r="F21" i="446"/>
  <c r="AI13" i="338" a="1"/>
  <c r="AI13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49" i="338"/>
  <c r="AG48" i="338"/>
  <c r="G21" i="446" a="1"/>
  <c r="G21" i="446"/>
  <c r="G24" i="446" a="1"/>
  <c r="G24" i="446"/>
  <c r="AG52" i="338"/>
  <c r="AG44" i="338"/>
  <c r="AG39" i="338"/>
  <c r="AG38" i="338"/>
  <c r="AG17" i="338"/>
  <c r="AG16" i="338"/>
  <c r="AG15" i="338"/>
  <c r="G17" i="446" a="1"/>
  <c r="G17" i="446"/>
  <c r="G18" i="446" a="1"/>
  <c r="G18" i="446"/>
  <c r="M13" i="252" a="1"/>
  <c r="M13" i="252"/>
  <c r="F13" i="252" a="1"/>
  <c r="F13" i="252"/>
  <c r="L13" i="252" a="1"/>
  <c r="L13" i="252"/>
  <c r="O13" i="252" a="1"/>
  <c r="O13" i="252"/>
  <c r="N13" i="252" a="1"/>
  <c r="N13" i="252"/>
  <c r="E8" i="89" a="1"/>
  <c r="E8" i="89"/>
  <c r="E40" i="89" a="1"/>
  <c r="E40" i="89"/>
  <c r="D7" i="89" a="1"/>
  <c r="D7" i="89"/>
  <c r="E55" i="89" a="1"/>
  <c r="E55" i="89"/>
  <c r="D197" i="89" a="1"/>
  <c r="D197" i="89"/>
  <c r="E39" i="89" a="1"/>
  <c r="E39" i="89"/>
  <c r="D20" i="89" a="1"/>
  <c r="D20" i="89"/>
  <c r="E196" i="89" a="1"/>
  <c r="E196" i="89"/>
  <c r="D55" i="89" a="1"/>
  <c r="D55" i="89"/>
  <c r="D8" i="89" a="1"/>
  <c r="D8" i="89"/>
  <c r="E7" i="89" a="1"/>
  <c r="E7" i="89"/>
  <c r="E197" i="89" a="1"/>
  <c r="E197" i="89"/>
  <c r="D39" i="89" a="1"/>
  <c r="D39" i="89"/>
  <c r="E20" i="89" a="1"/>
  <c r="E20" i="89"/>
  <c r="D40" i="89" a="1"/>
  <c r="D40" i="89"/>
  <c r="D196" i="89" a="1"/>
  <c r="D196" i="89"/>
  <c r="G27" i="446" a="1"/>
  <c r="G27" i="446"/>
  <c r="F27" i="446" a="1"/>
  <c r="F27" i="446"/>
  <c r="AK11" i="338" a="1"/>
  <c r="AK11" i="338"/>
  <c r="AI11" i="338" a="1"/>
  <c r="AI11" i="338"/>
  <c r="D27" i="446" a="1"/>
  <c r="D27" i="446"/>
  <c r="AG11" i="338"/>
  <c r="D13" i="2" a="1"/>
  <c r="D13" i="2"/>
  <c r="AC13" i="2" a="1"/>
  <c r="AQ13" i="2" a="1"/>
  <c r="C180" i="89" a="1"/>
  <c r="AQ13" i="2" l="1"/>
  <c r="AC13" i="2"/>
  <c r="C180" i="89"/>
  <c r="C7" i="2" a="1"/>
  <c r="C7" i="2"/>
  <c r="C6" i="2" a="1"/>
  <c r="C6" i="2"/>
  <c r="T23" i="2" a="1"/>
  <c r="T23" i="2"/>
  <c r="O56" i="89" a="1"/>
  <c r="O56" i="89"/>
  <c r="T30" i="2" a="1"/>
  <c r="T30" i="2"/>
  <c r="T28" i="2" a="1"/>
  <c r="T28" i="2"/>
  <c r="O13" i="89" a="1"/>
  <c r="O13" i="89"/>
  <c r="E23" i="2" a="1"/>
  <c r="E23" i="2"/>
  <c r="Z56" i="89" a="1"/>
  <c r="Z56" i="89"/>
  <c r="F26" i="2" a="1"/>
  <c r="F26" i="2"/>
  <c r="AD26" i="2" a="1"/>
  <c r="AD26" i="2"/>
  <c r="V7" i="89" a="1"/>
  <c r="V7" i="89"/>
  <c r="AA7" i="2" a="1"/>
  <c r="AA7" i="2"/>
  <c r="AA6" i="2" a="1"/>
  <c r="AA6" i="2"/>
  <c r="T222" i="89" a="1"/>
  <c r="T222" i="89"/>
  <c r="AR30" i="2" a="1"/>
  <c r="AR30" i="2"/>
  <c r="AR28" i="2" a="1"/>
  <c r="AR28" i="2"/>
  <c r="C13" i="2" a="1"/>
  <c r="C13" i="2"/>
  <c r="T7" i="2" a="1"/>
  <c r="T7" i="2"/>
  <c r="T6" i="2" a="1"/>
  <c r="T6" i="2"/>
  <c r="O222" i="89" a="1"/>
  <c r="O222" i="89"/>
  <c r="AR12" i="2" a="1"/>
  <c r="AR12" i="2"/>
  <c r="C23" i="2" a="1"/>
  <c r="C23" i="2"/>
  <c r="F27" i="2" a="1"/>
  <c r="F27" i="2"/>
  <c r="D12" i="2" a="1"/>
  <c r="D12" i="2"/>
  <c r="AC12" i="2" a="1"/>
  <c r="AQ12" i="2" a="1"/>
  <c r="C179" i="89" a="1"/>
  <c r="AQ12" i="2" l="1"/>
  <c r="AC12" i="2"/>
  <c r="C179" i="89"/>
  <c r="C170" i="89" a="1"/>
  <c r="C170" i="89"/>
  <c r="F8" i="2" a="1"/>
  <c r="F8" i="2"/>
  <c r="AR23" i="2" a="1"/>
  <c r="AR23" i="2"/>
  <c r="AD31" i="2" a="1"/>
  <c r="AD31" i="2"/>
  <c r="AD29" i="2" a="1"/>
  <c r="AD29" i="2"/>
  <c r="V14" i="89" a="1"/>
  <c r="V14" i="89"/>
  <c r="AA13" i="2" a="1"/>
  <c r="AA13" i="2"/>
  <c r="T180" i="89" a="1"/>
  <c r="T180" i="89"/>
  <c r="AA12" i="2" a="1"/>
  <c r="AA12" i="2"/>
  <c r="T179" i="89" a="1"/>
  <c r="T179" i="89"/>
  <c r="T170" i="89" a="1"/>
  <c r="T170" i="89"/>
  <c r="AR31" i="2" a="1"/>
  <c r="AR31" i="2"/>
  <c r="AR29" i="2" a="1"/>
  <c r="AR29" i="2"/>
  <c r="D9" i="2" a="1"/>
  <c r="D9" i="2"/>
  <c r="Z9" i="2"/>
  <c r="AC9" i="2" a="1"/>
  <c r="AQ9" i="2" a="1"/>
  <c r="C26" i="89" a="1"/>
  <c r="AQ9" i="2" l="1"/>
  <c r="AC9" i="2"/>
  <c r="C26" i="89"/>
  <c r="T12" i="2" a="1"/>
  <c r="T12" i="2"/>
  <c r="O179" i="89" a="1"/>
  <c r="O179" i="89"/>
  <c r="O170" i="89" a="1"/>
  <c r="O170" i="89"/>
  <c r="Z13" i="89" a="1"/>
  <c r="Z13" i="89"/>
  <c r="F7" i="2" a="1"/>
  <c r="F7" i="2"/>
  <c r="F6" i="2" a="1"/>
  <c r="F6" i="2"/>
  <c r="AD7" i="2" a="1"/>
  <c r="AD7" i="2"/>
  <c r="AD6" i="2" a="1"/>
  <c r="AD6" i="2"/>
  <c r="V222" i="89" a="1"/>
  <c r="V222" i="89"/>
  <c r="C31" i="2" a="1"/>
  <c r="C31" i="2"/>
  <c r="C29" i="2" a="1"/>
  <c r="C29" i="2"/>
  <c r="D23" i="2" a="1"/>
  <c r="D23" i="2"/>
  <c r="AC23" i="2" a="1"/>
  <c r="AQ23" i="2" a="1"/>
  <c r="C56" i="89" a="1"/>
  <c r="AQ23" i="2" l="1"/>
  <c r="AC23" i="2"/>
  <c r="C56" i="89"/>
  <c r="E8" i="2" a="1"/>
  <c r="E8" i="2"/>
  <c r="T13" i="2" a="1"/>
  <c r="T13" i="2"/>
  <c r="O180" i="89" a="1"/>
  <c r="O180" i="89"/>
  <c r="AA9" i="2" a="1"/>
  <c r="AA9" i="2"/>
  <c r="AV9" i="2" a="1"/>
  <c r="T26" i="89" a="1"/>
  <c r="AV9" i="2" l="1"/>
  <c r="T26" i="89"/>
  <c r="T8" i="2" a="1"/>
  <c r="T8" i="2"/>
  <c r="O223" i="89" a="1"/>
  <c r="O223" i="89"/>
  <c r="F23" i="2" a="1"/>
  <c r="F23" i="2"/>
  <c r="T26" i="2" a="1"/>
  <c r="T26" i="2"/>
  <c r="O7" i="89" a="1"/>
  <c r="O7" i="89"/>
  <c r="Z7" i="89" a="1"/>
  <c r="AD30" i="2" a="1"/>
  <c r="Z7" i="89" l="1"/>
  <c r="AD30" i="2"/>
  <c r="AD28" i="2" a="1"/>
  <c r="AD28" i="2"/>
  <c r="V13" i="89" a="1"/>
  <c r="V13" i="89"/>
  <c r="E31" i="2" a="1"/>
  <c r="E31" i="2"/>
  <c r="E29" i="2" a="1"/>
  <c r="E29" i="2"/>
  <c r="AD13" i="2" a="1"/>
  <c r="AD13" i="2"/>
  <c r="V180" i="89" a="1"/>
  <c r="V180" i="89"/>
  <c r="D26" i="2" a="1"/>
  <c r="D26" i="2"/>
  <c r="AQ26" i="2" a="1"/>
  <c r="AC26" i="2" a="1"/>
  <c r="C7" i="89" a="1"/>
  <c r="AC26" i="2" l="1"/>
  <c r="AQ26" i="2"/>
  <c r="C7" i="89"/>
  <c r="C27" i="2" a="1"/>
  <c r="C27" i="2"/>
  <c r="C12" i="2" a="1"/>
  <c r="C12" i="2"/>
  <c r="AR27" i="2" a="1"/>
  <c r="AR27" i="2"/>
  <c r="E13" i="2" a="1"/>
  <c r="E13" i="2"/>
  <c r="Z180" i="89" a="1"/>
  <c r="Z180" i="89"/>
  <c r="C30" i="2" a="1"/>
  <c r="C30" i="2"/>
  <c r="C28" i="2" a="1"/>
  <c r="C28" i="2"/>
  <c r="AD27" i="2" a="1"/>
  <c r="AD27" i="2"/>
  <c r="V8" i="89" a="1"/>
  <c r="V8" i="89"/>
  <c r="E30" i="2" a="1"/>
  <c r="E30" i="2"/>
  <c r="E28" i="2" a="1"/>
  <c r="E28" i="2"/>
  <c r="AD8" i="2" a="1"/>
  <c r="AD8" i="2"/>
  <c r="V223" i="89" a="1"/>
  <c r="V223" i="89"/>
  <c r="AA8" i="2" a="1"/>
  <c r="AA8" i="2"/>
  <c r="T223" i="89" a="1"/>
  <c r="T223" i="89"/>
  <c r="D223" i="89" a="1"/>
  <c r="D223" i="89"/>
  <c r="AR8" i="2" a="1"/>
  <c r="AR8" i="2"/>
  <c r="D19" i="89"/>
  <c r="AR9" i="2" a="1"/>
  <c r="AR9" i="2"/>
  <c r="T9" i="2" a="1"/>
  <c r="T9" i="2"/>
  <c r="O26" i="89" a="1"/>
  <c r="O26" i="89"/>
  <c r="Z26" i="89" a="1"/>
  <c r="D14" i="89" a="1"/>
  <c r="Z26" i="89" l="1"/>
  <c r="D14" i="89"/>
  <c r="D31" i="2" a="1"/>
  <c r="D31" i="2"/>
  <c r="AQ31" i="2" a="1"/>
  <c r="AC31" i="2" a="1"/>
  <c r="D29" i="2" a="1"/>
  <c r="AC31" i="2" l="1"/>
  <c r="AQ31" i="2"/>
  <c r="D29" i="2"/>
  <c r="AQ29" i="2" a="1"/>
  <c r="AC29" i="2" a="1"/>
  <c r="C14" i="89" a="1"/>
  <c r="AC29" i="2" l="1"/>
  <c r="AQ29" i="2"/>
  <c r="C14" i="89"/>
  <c r="D222" i="89" a="1"/>
  <c r="D222" i="89"/>
  <c r="E13" i="89" a="1"/>
  <c r="E13" i="89"/>
  <c r="E56" i="89" a="1"/>
  <c r="E56" i="89"/>
  <c r="AA30" i="2" a="1"/>
  <c r="AA30" i="2"/>
  <c r="AA28" i="2" a="1"/>
  <c r="AA28" i="2"/>
  <c r="T13" i="89" a="1"/>
  <c r="T13" i="89"/>
  <c r="AD9" i="2" a="1"/>
  <c r="AD9" i="2"/>
  <c r="V26" i="89" a="1"/>
  <c r="V26" i="89"/>
  <c r="D26" i="89" a="1"/>
  <c r="D26" i="89"/>
  <c r="F31" i="2" a="1"/>
  <c r="F31" i="2"/>
  <c r="F29" i="2" a="1"/>
  <c r="F29" i="2"/>
  <c r="D205" i="89" a="1"/>
  <c r="D205" i="89"/>
  <c r="Z222" i="89" a="1"/>
  <c r="Z222" i="89"/>
  <c r="D203" i="89" a="1"/>
  <c r="D203" i="89"/>
  <c r="E26" i="89" a="1"/>
  <c r="E26" i="89"/>
  <c r="AA23" i="2" a="1"/>
  <c r="AA23" i="2"/>
  <c r="T56" i="89" a="1"/>
  <c r="T56" i="89"/>
  <c r="AD12" i="2" a="1"/>
  <c r="AD12" i="2"/>
  <c r="V179" i="89" a="1"/>
  <c r="V179" i="89"/>
  <c r="V170" i="89" a="1"/>
  <c r="V170" i="89"/>
  <c r="E223" i="89" a="1"/>
  <c r="E223" i="89"/>
  <c r="D8" i="2" a="1"/>
  <c r="D8" i="2"/>
  <c r="AQ8" i="2" a="1"/>
  <c r="AC8" i="2" a="1"/>
  <c r="C223" i="89" a="1"/>
  <c r="AC8" i="2" l="1"/>
  <c r="AQ8" i="2"/>
  <c r="C223" i="89"/>
  <c r="E203" i="89" a="1"/>
  <c r="E203" i="89"/>
  <c r="E7" i="2" a="1"/>
  <c r="E7" i="2"/>
  <c r="E6" i="2" a="1"/>
  <c r="E6" i="2"/>
  <c r="E205" i="89" a="1"/>
  <c r="E205" i="89"/>
  <c r="E26" i="2" a="1"/>
  <c r="E26" i="2"/>
  <c r="E14" i="89" a="1"/>
  <c r="E14" i="89"/>
  <c r="C26" i="2" a="1"/>
  <c r="C26" i="2"/>
  <c r="Z179" i="89" a="1"/>
  <c r="Z179" i="89"/>
  <c r="Z170" i="89" a="1"/>
  <c r="Z170" i="89"/>
  <c r="E34" i="89" a="1"/>
  <c r="E34" i="89"/>
  <c r="E222" i="89" a="1"/>
  <c r="E222" i="89"/>
  <c r="D56" i="89" a="1"/>
  <c r="D56" i="89"/>
  <c r="E9" i="2" a="1"/>
  <c r="E9" i="2"/>
  <c r="AA26" i="2" a="1"/>
  <c r="AA26" i="2"/>
  <c r="T7" i="89" a="1"/>
  <c r="T7" i="89"/>
  <c r="E19" i="89"/>
  <c r="D13" i="89" a="1"/>
  <c r="D13" i="89"/>
  <c r="F13" i="2" a="1"/>
  <c r="F13" i="2"/>
  <c r="D34" i="89" a="1"/>
  <c r="D34" i="89"/>
  <c r="D7" i="2" a="1"/>
  <c r="D7" i="2"/>
  <c r="Z7" i="2"/>
  <c r="AV7" i="2" s="1" a="1"/>
  <c r="AQ7" i="2" a="1"/>
  <c r="AC7" i="2" a="1"/>
  <c r="D6" i="2" a="1"/>
  <c r="AC7" i="2" l="1"/>
  <c r="AQ7" i="2"/>
  <c r="AV7" i="2"/>
  <c r="D6" i="2"/>
  <c r="AQ6" i="2" a="1"/>
  <c r="AC6" i="2" a="1"/>
  <c r="C222" i="89" a="1"/>
  <c r="AC6" i="2" l="1"/>
  <c r="AQ6" i="2"/>
  <c r="C222" i="89"/>
  <c r="AA31" i="2" a="1"/>
  <c r="AA31" i="2"/>
  <c r="AA29" i="2" a="1"/>
  <c r="AA29" i="2"/>
  <c r="T14" i="89" a="1"/>
  <c r="T14" i="89"/>
  <c r="C8" i="2" a="1"/>
  <c r="C8" i="2"/>
  <c r="AA27" i="2" a="1"/>
  <c r="AA27" i="2"/>
  <c r="T8" i="89" a="1"/>
  <c r="T8" i="89"/>
  <c r="E27" i="2" a="1"/>
  <c r="E27" i="2"/>
  <c r="F9" i="2" a="1"/>
  <c r="F9" i="2"/>
  <c r="AR26" i="2" a="1"/>
  <c r="AR26" i="2"/>
  <c r="T27" i="2" a="1"/>
  <c r="T27" i="2"/>
  <c r="O8" i="89" a="1"/>
  <c r="O8" i="89"/>
  <c r="Z8" i="89" a="1"/>
  <c r="E12" i="2" a="1"/>
  <c r="Z8" i="89" l="1"/>
  <c r="E12" i="2"/>
  <c r="F30" i="2" a="1"/>
  <c r="F30" i="2"/>
  <c r="F28" i="2" a="1"/>
  <c r="F28" i="2"/>
  <c r="AD23" i="2" a="1"/>
  <c r="AD23" i="2"/>
  <c r="V56" i="89" a="1"/>
  <c r="V56" i="89"/>
  <c r="T31" i="2" a="1"/>
  <c r="T31" i="2"/>
  <c r="T29" i="2" a="1"/>
  <c r="T29" i="2"/>
  <c r="O14" i="89" a="1"/>
  <c r="O14" i="89"/>
  <c r="Z14" i="89" a="1"/>
  <c r="AR13" i="2" a="1"/>
  <c r="Z14" i="89" l="1"/>
  <c r="AR13" i="2"/>
  <c r="C9" i="2" a="1"/>
  <c r="C9" i="2"/>
  <c r="D30" i="2" a="1"/>
  <c r="D30" i="2"/>
  <c r="AQ30" i="2" a="1"/>
  <c r="AC30" i="2" a="1"/>
  <c r="D28" i="2" a="1"/>
  <c r="AC30" i="2" l="1"/>
  <c r="AQ30" i="2"/>
  <c r="D28" i="2"/>
  <c r="Z28" i="2"/>
  <c r="AV28" i="2" s="1" a="1"/>
  <c r="AQ28" i="2" a="1"/>
  <c r="AC28" i="2" a="1"/>
  <c r="C13" i="89" a="1"/>
  <c r="AC28" i="2" l="1"/>
  <c r="AQ28" i="2"/>
  <c r="AV28" i="2"/>
  <c r="C13" i="89"/>
  <c r="F12" i="2" a="1"/>
  <c r="F12" i="2"/>
  <c r="AR7" i="2" a="1"/>
  <c r="AR7" i="2"/>
  <c r="AR6" i="2" a="1"/>
  <c r="AR6" i="2"/>
  <c r="D27" i="2" a="1"/>
  <c r="D27" i="2"/>
  <c r="Z27" i="2"/>
  <c r="AV27" i="2" s="1" a="1"/>
  <c r="AQ27" i="2" a="1"/>
  <c r="AC27" i="2" a="1"/>
  <c r="C8" i="89" a="1"/>
  <c r="AC27" i="2" l="1"/>
  <c r="AQ27" i="2"/>
  <c r="AV27" i="2"/>
  <c r="C8" i="89"/>
  <c r="Z223" i="89" a="1"/>
  <c r="Z223" i="89"/>
  <c r="E204" i="89" a="1"/>
  <c r="E204" i="89"/>
  <c r="E224" i="89" a="1"/>
  <c r="E224" i="89"/>
  <c r="E50" i="89" a="1"/>
  <c r="E50" i="89"/>
  <c r="E68" i="89"/>
  <c r="E27" i="89" a="1"/>
  <c r="E27" i="89"/>
  <c r="D27" i="89" a="1"/>
  <c r="D27" i="89"/>
  <c r="E33" i="89" a="1"/>
  <c r="E33" i="89"/>
  <c r="E49" i="89" a="1"/>
  <c r="E49" i="89"/>
  <c r="D204" i="89" a="1"/>
  <c r="D204" i="89"/>
  <c r="D224" i="89" a="1"/>
  <c r="D224" i="89"/>
  <c r="E225" i="89" a="1"/>
  <c r="E225" i="89"/>
  <c r="D49" i="89" a="1"/>
  <c r="D49" i="89"/>
  <c r="D225" i="89" a="1"/>
  <c r="D225" i="89"/>
  <c r="D195" i="89" a="1"/>
  <c r="D195" i="89"/>
  <c r="D68" i="89"/>
  <c r="D50" i="89" a="1"/>
  <c r="D50" i="89"/>
  <c r="E195" i="89" a="1"/>
  <c r="E195" i="89"/>
  <c r="D33" i="89" a="1"/>
  <c r="D33" i="89"/>
  <c r="E233" i="89" a="1"/>
  <c r="E233" i="89"/>
  <c r="E249" i="89" a="1"/>
  <c r="E249" i="89"/>
  <c r="E212" i="89" a="1"/>
  <c r="E212" i="89"/>
  <c r="E211" i="89" a="1"/>
  <c r="E211" i="89"/>
  <c r="E234" i="89" a="1"/>
  <c r="E234" i="89"/>
  <c r="E187" i="89" a="1"/>
  <c r="E187" i="89"/>
  <c r="E251" i="89" a="1"/>
  <c r="E251" i="89"/>
  <c r="E242" i="89" a="1"/>
  <c r="E242" i="89"/>
  <c r="E243" i="89" a="1"/>
  <c r="E243" i="89"/>
  <c r="E252" i="89" a="1"/>
  <c r="E252" i="89"/>
  <c r="AJ37" i="338" a="1"/>
  <c r="AJ37" i="338"/>
  <c r="AH37" i="338" a="1"/>
  <c r="AH37" i="338"/>
  <c r="AJ36" i="338" a="1"/>
  <c r="AJ36" i="338"/>
  <c r="AF37" i="338"/>
  <c r="AF38" i="1"/>
  <c r="AF37" i="1"/>
  <c r="AH36" i="338" a="1"/>
  <c r="AH36" i="338"/>
  <c r="AF36" i="338"/>
  <c r="AF32" i="1"/>
  <c r="AF31" i="1"/>
  <c r="E178" i="89" a="1"/>
  <c r="E178" i="89"/>
  <c r="E213" i="89" a="1"/>
  <c r="E213" i="89"/>
  <c r="E179" i="89" a="1"/>
  <c r="E179" i="89"/>
  <c r="E170" i="89" a="1"/>
  <c r="E170" i="89"/>
  <c r="E171" i="89" a="1"/>
  <c r="E171" i="89"/>
  <c r="E186" i="89" a="1"/>
  <c r="E186" i="89"/>
  <c r="E235" i="89" a="1"/>
  <c r="E235" i="89"/>
  <c r="E253" i="89" a="1"/>
  <c r="E253" i="89"/>
  <c r="E188" i="89" a="1"/>
  <c r="E188" i="89"/>
  <c r="E254" i="89" a="1"/>
  <c r="E254" i="89"/>
  <c r="E169" i="89" a="1"/>
  <c r="E169" i="89"/>
  <c r="AB15" i="1"/>
  <c r="AF15" i="1"/>
  <c r="Y6" i="252" a="1"/>
  <c r="Y6" i="252"/>
  <c r="O6" i="252" a="1"/>
  <c r="O6" i="252"/>
  <c r="L6" i="252" a="1"/>
  <c r="L6" i="252"/>
  <c r="M6" i="252" a="1"/>
  <c r="M6" i="252"/>
  <c r="N6" i="252" a="1"/>
  <c r="N6" i="252"/>
  <c r="AK45" i="338" a="1"/>
  <c r="AK45" i="338"/>
  <c r="AG45" i="338"/>
  <c r="AI45" i="338" a="1"/>
  <c r="AI45" i="338"/>
  <c r="G6" i="446" a="1"/>
  <c r="G6" i="446"/>
  <c r="G5" i="446" a="1"/>
  <c r="G5" i="446"/>
  <c r="AB16" i="1"/>
  <c r="F6" i="446" a="1"/>
  <c r="F6" i="446"/>
  <c r="F5" i="446" a="1"/>
  <c r="F5" i="446"/>
  <c r="D69" i="89" a="1"/>
  <c r="D69" i="89"/>
  <c r="D76" i="89" a="1"/>
  <c r="D76" i="89"/>
  <c r="AA69" i="89" a="1"/>
  <c r="AA69" i="89"/>
  <c r="E76" i="89" a="1"/>
  <c r="E76" i="89"/>
  <c r="S82" i="89" a="1"/>
  <c r="AB82" i="89" a="1"/>
  <c r="V69" i="89" a="1"/>
  <c r="AB82" i="89" l="1"/>
  <c r="S82" i="89"/>
  <c r="V69" i="89"/>
  <c r="R82" i="89" a="1"/>
  <c r="T69" i="89" a="1"/>
  <c r="R82" i="89" l="1"/>
  <c r="T69" i="89"/>
  <c r="T76" i="89" a="1"/>
  <c r="T76" i="89"/>
  <c r="C76" i="89" a="1"/>
  <c r="C76" i="89"/>
  <c r="V76" i="89" a="1"/>
  <c r="V76" i="89"/>
  <c r="O76" i="89" a="1"/>
  <c r="O76" i="89"/>
  <c r="O69" i="89" a="1"/>
  <c r="O69" i="89"/>
  <c r="Z69" i="89" a="1"/>
  <c r="E69" i="89" a="1"/>
  <c r="Z69" i="89" l="1"/>
  <c r="E69" i="89"/>
  <c r="C69" i="89" a="1"/>
  <c r="C69" i="89"/>
  <c r="AA205" i="89" a="1"/>
  <c r="AA205" i="89"/>
  <c r="V205" i="89" a="1"/>
  <c r="V205" i="89"/>
  <c r="T205" i="89" a="1"/>
  <c r="T205" i="89"/>
  <c r="O225" i="89" a="1"/>
  <c r="O225" i="89"/>
  <c r="O205" i="89" a="1"/>
  <c r="O205" i="89"/>
  <c r="Z205" i="89" a="1"/>
  <c r="C225" i="89" a="1"/>
  <c r="Z205" i="89" l="1"/>
  <c r="C225" i="89"/>
  <c r="V225" i="89" a="1"/>
  <c r="V225" i="89"/>
  <c r="Z225" i="89" a="1"/>
  <c r="Z225" i="89"/>
  <c r="T225" i="89" a="1"/>
  <c r="T225" i="89"/>
  <c r="C205" i="89" a="1"/>
  <c r="C205" i="89"/>
  <c r="E250" i="89" a="1"/>
  <c r="E250" i="89"/>
  <c r="E180" i="89" a="1"/>
  <c r="E180" i="89"/>
  <c r="N95" i="89" a="1"/>
  <c r="N95" i="89"/>
  <c r="Z95" i="89" a="1"/>
  <c r="N82" i="89" a="1"/>
  <c r="Z95" i="89" l="1"/>
  <c r="N82" i="89"/>
  <c r="N76" i="89" a="1"/>
  <c r="N76" i="89" l="1"/>
  <c r="N160" i="89" a="1"/>
  <c r="N160" i="89" l="1"/>
  <c r="Z160" i="89" a="1"/>
  <c r="N102" i="89" a="1"/>
  <c r="Z160" i="89" l="1"/>
  <c r="N102" i="89"/>
  <c r="Z102" i="89" a="1"/>
  <c r="N101" i="89" a="1"/>
  <c r="Z102" i="89" l="1"/>
  <c r="N101" i="89"/>
  <c r="Z101" i="89" a="1"/>
  <c r="L44" i="1" a="1"/>
  <c r="Z101" i="89" l="1"/>
  <c r="L44" i="1"/>
  <c r="L43" i="1" a="1"/>
  <c r="L43" i="1"/>
  <c r="L42" i="1" a="1"/>
  <c r="L42" i="1"/>
  <c r="L41" i="1" a="1"/>
  <c r="L41" i="1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6" i="1" a="1"/>
  <c r="L16" i="1"/>
  <c r="L15" i="1" a="1"/>
  <c r="L15" i="1"/>
  <c r="L14" i="1" a="1"/>
  <c r="L14" i="1"/>
  <c r="L13" i="1" a="1"/>
  <c r="L13" i="1"/>
  <c r="L12" i="1" a="1"/>
  <c r="L12" i="1"/>
  <c r="D22" i="2" a="1"/>
  <c r="D22" i="2"/>
  <c r="AC22" i="2" a="1"/>
  <c r="AQ22" i="2" a="1"/>
  <c r="C55" i="89" a="1"/>
  <c r="AQ22" i="2" l="1"/>
  <c r="AC22" i="2"/>
  <c r="C55" i="89"/>
  <c r="T22" i="2" a="1"/>
  <c r="T22" i="2"/>
  <c r="O55" i="89" a="1"/>
  <c r="O55" i="89"/>
  <c r="AA22" i="2" a="1"/>
  <c r="AA22" i="2"/>
  <c r="T55" i="89" a="1"/>
  <c r="T55" i="89"/>
  <c r="E22" i="2" a="1"/>
  <c r="E22" i="2"/>
  <c r="F22" i="2" a="1"/>
  <c r="F22" i="2"/>
  <c r="AR22" i="2" a="1"/>
  <c r="AR22" i="2"/>
  <c r="AD22" i="2" a="1"/>
  <c r="AD22" i="2"/>
  <c r="V55" i="89" a="1"/>
  <c r="V55" i="89"/>
  <c r="C22" i="2" a="1"/>
  <c r="C22" i="2"/>
  <c r="Z55" i="89" a="1"/>
  <c r="Z55" i="89"/>
  <c r="J1" i="24" a="1"/>
  <c r="J1" i="24"/>
  <c r="K2" i="2" a="1"/>
  <c r="K2" i="2"/>
  <c r="P55" i="338" a="1"/>
  <c r="P55" i="338"/>
  <c r="U55" i="338" a="1"/>
  <c r="U55" i="338"/>
  <c r="AK55" i="338" a="1"/>
  <c r="AK55" i="338"/>
  <c r="AK14" i="338" a="1"/>
  <c r="AK14" i="338"/>
  <c r="AJ55" i="338" a="1"/>
  <c r="AJ55" i="338"/>
  <c r="V55" i="338" a="1"/>
  <c r="V55" i="338"/>
  <c r="X55" i="338" a="1"/>
  <c r="X55" i="338"/>
  <c r="AI55" i="338" a="1"/>
  <c r="AI55" i="338"/>
  <c r="AI14" i="338" a="1"/>
  <c r="AI14" i="338"/>
  <c r="AH55" i="338" a="1"/>
  <c r="AH55" i="338"/>
  <c r="S55" i="338" a="1"/>
  <c r="S55" i="338"/>
  <c r="L55" i="338" a="1"/>
  <c r="L55" i="338"/>
  <c r="J55" i="338" a="1"/>
  <c r="J55" i="338"/>
  <c r="J14" i="338" a="1"/>
  <c r="J14" i="338"/>
  <c r="H55" i="338" a="1"/>
  <c r="H55" i="338"/>
  <c r="T55" i="338" a="1"/>
  <c r="T55" i="338"/>
  <c r="BA7" i="2" l="1"/>
  <c r="BB7" i="2"/>
  <c r="L4" i="2" a="1"/>
  <c r="K76" i="89" a="1"/>
  <c r="L76" i="89" a="1"/>
  <c r="W76" i="89" a="1"/>
  <c r="K213" i="89" a="1"/>
  <c r="L213" i="89" a="1"/>
  <c r="W211" i="89" a="1"/>
  <c r="L212" i="89" a="1"/>
  <c r="L211" i="89" a="1"/>
  <c r="K212" i="89" a="1"/>
  <c r="F213" i="89" a="1"/>
  <c r="K211" i="89" a="1"/>
  <c r="F212" i="89" a="1"/>
  <c r="L7" i="2" a="1"/>
  <c r="G7" i="2" a="1"/>
  <c r="F211" i="89" a="1"/>
  <c r="AN7" i="2" a="1"/>
  <c r="Q7" i="2" a="1"/>
  <c r="AF7" i="2" a="1"/>
  <c r="W213" i="89" a="1"/>
  <c r="P7" i="2" a="1"/>
  <c r="W212" i="89" a="1"/>
  <c r="W212" i="89" l="1"/>
  <c r="W213" i="89"/>
  <c r="F211" i="89"/>
  <c r="F212" i="89"/>
  <c r="K211" i="89"/>
  <c r="F213" i="89"/>
  <c r="K212" i="89"/>
  <c r="L211" i="89"/>
  <c r="L212" i="89"/>
  <c r="W211" i="89"/>
  <c r="L213" i="89"/>
  <c r="K213" i="89"/>
  <c r="W76" i="89"/>
  <c r="L76" i="89"/>
  <c r="K76" i="89"/>
  <c r="L4" i="2"/>
  <c r="BC7" i="2"/>
  <c r="P7" i="2"/>
  <c r="AF7" i="2"/>
  <c r="G7" i="2"/>
  <c r="Q7" i="2"/>
  <c r="AN7" i="2"/>
  <c r="L7" i="2"/>
  <c r="S7" i="2" a="1"/>
  <c r="R7" i="2" l="1"/>
  <c r="S7" i="2"/>
  <c r="U7" i="2" s="1"/>
  <c r="O7" i="2"/>
  <c r="AP7" i="2"/>
  <c r="AO7" i="2" l="1"/>
  <c r="AE7" i="2"/>
  <c r="AT7" i="2"/>
  <c r="AS7" i="2"/>
  <c r="AL7" i="2"/>
  <c r="X7" i="2"/>
  <c r="Y7" i="2" s="1"/>
  <c r="AM7" i="2"/>
  <c r="M7" i="2"/>
  <c r="AB7" i="2"/>
  <c r="N18" i="1"/>
  <c r="J18" i="1"/>
  <c r="BA5" i="2" l="1"/>
  <c r="BB5" i="2"/>
  <c r="AF5" i="2" a="1"/>
  <c r="AN5" i="2" a="1"/>
  <c r="Q5" i="2" a="1"/>
  <c r="P5" i="2" a="1"/>
  <c r="L5" i="2" a="1"/>
  <c r="G5" i="2" a="1"/>
  <c r="BC5" i="2" l="1"/>
  <c r="G5" i="2"/>
  <c r="AN5" i="2"/>
  <c r="Q5" i="2"/>
  <c r="AF5" i="2"/>
  <c r="L5" i="2"/>
  <c r="P5" i="2"/>
  <c r="S5" i="2" a="1"/>
  <c r="S5" i="2" l="1"/>
  <c r="O5" i="2"/>
  <c r="U5" i="2"/>
  <c r="AP5" i="2"/>
  <c r="R5" i="2"/>
  <c r="AO5" i="2"/>
  <c r="AT5" i="2" l="1"/>
  <c r="AS5" i="2"/>
  <c r="AL5" i="2"/>
  <c r="M5" i="2"/>
  <c r="AB5" i="2"/>
  <c r="X5" i="2"/>
  <c r="Y5" i="2" s="1"/>
  <c r="AM5" i="2"/>
  <c r="AE5" i="2"/>
  <c r="N27" i="1" l="1"/>
  <c r="J27" i="1"/>
  <c r="BA9" i="2" l="1"/>
  <c r="BB9" i="2"/>
  <c r="L9" i="2" a="1"/>
  <c r="AN9" i="2" a="1"/>
  <c r="AF9" i="2" a="1"/>
  <c r="P9" i="2" a="1"/>
  <c r="G9" i="2" a="1"/>
  <c r="Q9" i="2" a="1"/>
  <c r="AN9" i="2" l="1"/>
  <c r="L9" i="2"/>
  <c r="BC9" i="2"/>
  <c r="G9" i="2"/>
  <c r="Q9" i="2"/>
  <c r="P9" i="2"/>
  <c r="AF9" i="2"/>
  <c r="S9" i="2" a="1"/>
  <c r="R9" i="2" l="1"/>
  <c r="S9" i="2"/>
  <c r="AO9" i="2" s="1"/>
  <c r="U9" i="2"/>
  <c r="O9" i="2"/>
  <c r="AP9" i="2"/>
  <c r="AE9" i="2" l="1"/>
  <c r="AT9" i="2"/>
  <c r="AL9" i="2"/>
  <c r="AS9" i="2"/>
  <c r="X9" i="2"/>
  <c r="Y9" i="2" s="1"/>
  <c r="AB9" i="2"/>
  <c r="AM9" i="2"/>
  <c r="M9" i="2"/>
  <c r="K234" i="89" a="1"/>
  <c r="L234" i="89" a="1"/>
  <c r="W234" i="89" a="1"/>
  <c r="F234" i="89" a="1"/>
  <c r="F234" i="89" l="1"/>
  <c r="W234" i="89"/>
  <c r="L234" i="89"/>
  <c r="K234" i="89"/>
  <c r="F235" i="89" a="1"/>
  <c r="K235" i="89" a="1"/>
  <c r="W235" i="89" a="1"/>
  <c r="L235" i="89" a="1"/>
  <c r="L235" i="89" l="1"/>
  <c r="W235" i="89"/>
  <c r="K235" i="89"/>
  <c r="F235" i="89"/>
  <c r="N39" i="1" l="1"/>
  <c r="J39" i="1"/>
  <c r="T39" i="1" l="1"/>
  <c r="N38" i="1" l="1"/>
  <c r="J38" i="1"/>
  <c r="N32" i="1" l="1"/>
  <c r="J32" i="1"/>
  <c r="N24" i="1"/>
  <c r="J24" i="1"/>
  <c r="BA29" i="2" l="1"/>
  <c r="BB29" i="2"/>
  <c r="BA28" i="2"/>
  <c r="BB28" i="2"/>
  <c r="G29" i="2" a="1"/>
  <c r="I40" i="1" a="1"/>
  <c r="P29" i="2" a="1"/>
  <c r="P28" i="2" a="1"/>
  <c r="AF29" i="2" a="1"/>
  <c r="I31" i="1" a="1"/>
  <c r="L28" i="2" a="1"/>
  <c r="Q29" i="2" a="1"/>
  <c r="I34" i="1" a="1"/>
  <c r="I37" i="1" a="1"/>
  <c r="AN29" i="2" a="1"/>
  <c r="I23" i="1" a="1"/>
  <c r="L29" i="2" a="1"/>
  <c r="AF28" i="2" a="1"/>
  <c r="Q28" i="2" a="1"/>
  <c r="AN28" i="2" a="1"/>
  <c r="G28" i="2" a="1"/>
  <c r="I37" i="1" l="1"/>
  <c r="I31" i="1"/>
  <c r="I40" i="1"/>
  <c r="I23" i="1"/>
  <c r="I34" i="1"/>
  <c r="BC29" i="2"/>
  <c r="BC28" i="2"/>
  <c r="AN29" i="2"/>
  <c r="AF28" i="2"/>
  <c r="P28" i="2"/>
  <c r="P29" i="2"/>
  <c r="L28" i="2"/>
  <c r="L29" i="2"/>
  <c r="Q29" i="2"/>
  <c r="AN28" i="2"/>
  <c r="AF29" i="2"/>
  <c r="G28" i="2"/>
  <c r="G29" i="2"/>
  <c r="Q28" i="2"/>
  <c r="S29" i="2" a="1"/>
  <c r="S28" i="2" a="1"/>
  <c r="Q27" i="1" l="1"/>
  <c r="T27" i="1" s="1"/>
  <c r="N35" i="1"/>
  <c r="J35" i="1"/>
  <c r="R29" i="2"/>
  <c r="R28" i="2"/>
  <c r="S29" i="2"/>
  <c r="U29" i="2" s="1"/>
  <c r="S28" i="2"/>
  <c r="AO28" i="2" s="1"/>
  <c r="O28" i="2"/>
  <c r="O29" i="2"/>
  <c r="Z29" i="2"/>
  <c r="AV29" i="2" s="1" a="1"/>
  <c r="S26" i="89" a="1"/>
  <c r="S223" i="89" a="1"/>
  <c r="Z16" i="2"/>
  <c r="AV16" i="2" s="1" a="1"/>
  <c r="Z4" i="2"/>
  <c r="AV4" i="2" s="1" a="1"/>
  <c r="AV29" i="2" l="1"/>
  <c r="AV4" i="2"/>
  <c r="AV16" i="2"/>
  <c r="AO29" i="2"/>
  <c r="AP29" i="2"/>
  <c r="S223" i="89"/>
  <c r="S26" i="89"/>
  <c r="AE29" i="2"/>
  <c r="AE28" i="2"/>
  <c r="AP28" i="2"/>
  <c r="U28" i="2"/>
  <c r="T35" i="1"/>
  <c r="AL28" i="2"/>
  <c r="AS28" i="2"/>
  <c r="AT28" i="2"/>
  <c r="AB28" i="2"/>
  <c r="M28" i="2"/>
  <c r="AM28" i="2"/>
  <c r="X28" i="2"/>
  <c r="Y28" i="2" s="1"/>
  <c r="AL29" i="2"/>
  <c r="AT29" i="2"/>
  <c r="AS29" i="2"/>
  <c r="AB29" i="2"/>
  <c r="M29" i="2"/>
  <c r="X29" i="2"/>
  <c r="Y29" i="2" s="1"/>
  <c r="AM29" i="2"/>
  <c r="R223" i="89" a="1"/>
  <c r="R26" i="89" a="1"/>
  <c r="L26" i="89" a="1"/>
  <c r="F26" i="89" a="1"/>
  <c r="K26" i="89" a="1"/>
  <c r="W26" i="89" a="1"/>
  <c r="R26" i="89" l="1"/>
  <c r="R223" i="89"/>
  <c r="F26" i="89"/>
  <c r="L26" i="89"/>
  <c r="W26" i="89"/>
  <c r="K26" i="89"/>
  <c r="J42" i="1" l="1"/>
  <c r="N42" i="1"/>
  <c r="N30" i="1"/>
  <c r="J30" i="1"/>
  <c r="N34" i="1"/>
  <c r="J34" i="1"/>
  <c r="T42" i="1" l="1"/>
  <c r="T34" i="1"/>
  <c r="BA25" i="2"/>
  <c r="BB25" i="2"/>
  <c r="P25" i="2" a="1"/>
  <c r="AN25" i="2" a="1"/>
  <c r="G25" i="2" a="1"/>
  <c r="L25" i="2" a="1"/>
  <c r="I29" i="1" a="1"/>
  <c r="I41" i="1" a="1"/>
  <c r="Q25" i="2" a="1"/>
  <c r="I33" i="1" a="1"/>
  <c r="AF25" i="2" a="1"/>
  <c r="I41" i="1" l="1"/>
  <c r="I33" i="1"/>
  <c r="I29" i="1"/>
  <c r="BC25" i="2"/>
  <c r="AN25" i="2"/>
  <c r="G25" i="2"/>
  <c r="L25" i="2"/>
  <c r="P25" i="2"/>
  <c r="AF25" i="2"/>
  <c r="Q25" i="2"/>
  <c r="S25" i="2" a="1"/>
  <c r="N20" i="1" l="1"/>
  <c r="J20" i="1"/>
  <c r="R25" i="2"/>
  <c r="S25" i="2"/>
  <c r="AP25" i="2" s="1"/>
  <c r="O25" i="2"/>
  <c r="AO25" i="2"/>
  <c r="Z25" i="2"/>
  <c r="AV25" i="2" s="1" a="1"/>
  <c r="AQ25" i="2" a="1"/>
  <c r="AC25" i="2" a="1"/>
  <c r="AV25" i="2" l="1"/>
  <c r="U25" i="2"/>
  <c r="T20" i="1"/>
  <c r="AC25" i="2"/>
  <c r="AE25" i="2" s="1"/>
  <c r="AQ25" i="2"/>
  <c r="X25" i="2"/>
  <c r="Y25" i="2" s="1"/>
  <c r="AL25" i="2"/>
  <c r="AT25" i="2"/>
  <c r="AS25" i="2"/>
  <c r="AM25" i="2"/>
  <c r="M25" i="2"/>
  <c r="AB25" i="2"/>
  <c r="J6" i="2" l="1"/>
  <c r="K6" i="2" s="1"/>
  <c r="J8" i="2"/>
  <c r="K8" i="2" s="1"/>
  <c r="J10" i="2"/>
  <c r="K10" i="2" s="1"/>
  <c r="J12" i="2"/>
  <c r="K12" i="2" s="1"/>
  <c r="J13" i="2"/>
  <c r="K13" i="2" s="1"/>
  <c r="J14" i="2"/>
  <c r="K14" i="2" s="1"/>
  <c r="J15" i="2"/>
  <c r="K15" i="2" s="1"/>
  <c r="J16" i="2"/>
  <c r="K16" i="2" s="1"/>
  <c r="J19" i="2"/>
  <c r="K19" i="2" s="1"/>
  <c r="J21" i="2"/>
  <c r="K21" i="2" s="1"/>
  <c r="J22" i="2"/>
  <c r="K22" i="2" s="1"/>
  <c r="J23" i="2"/>
  <c r="K23" i="2" s="1"/>
  <c r="J24" i="2"/>
  <c r="J26" i="2"/>
  <c r="K26" i="2" s="1"/>
  <c r="J27" i="2"/>
  <c r="K27" i="2" s="1"/>
  <c r="J30" i="2"/>
  <c r="K30" i="2" s="1"/>
  <c r="J31" i="2"/>
  <c r="K31" i="2" s="1"/>
  <c r="J32" i="2"/>
  <c r="K32" i="2" s="1"/>
  <c r="I26" i="1" a="1"/>
  <c r="I26" i="1" l="1"/>
  <c r="N26" i="1" l="1"/>
  <c r="J26" i="1"/>
  <c r="BB27" i="2" l="1"/>
  <c r="BA27" i="2"/>
  <c r="BB26" i="2"/>
  <c r="BA26" i="2"/>
  <c r="P27" i="2" a="1"/>
  <c r="L26" i="2" a="1"/>
  <c r="L27" i="2" a="1"/>
  <c r="AF26" i="2" a="1"/>
  <c r="P26" i="2" a="1"/>
  <c r="Q27" i="2" a="1"/>
  <c r="Q26" i="2" a="1"/>
  <c r="G27" i="2" a="1"/>
  <c r="AF27" i="2" a="1"/>
  <c r="AN26" i="2" a="1"/>
  <c r="AN27" i="2" a="1"/>
  <c r="G26" i="2" a="1"/>
  <c r="BC26" i="2" l="1"/>
  <c r="BC27" i="2"/>
  <c r="AN27" i="2"/>
  <c r="L27" i="2"/>
  <c r="G27" i="2"/>
  <c r="P26" i="2"/>
  <c r="AF27" i="2"/>
  <c r="AN26" i="2"/>
  <c r="G26" i="2"/>
  <c r="P27" i="2"/>
  <c r="AF26" i="2"/>
  <c r="L26" i="2"/>
  <c r="Q26" i="2"/>
  <c r="Q27" i="2"/>
  <c r="S27" i="2" a="1"/>
  <c r="S26" i="2" a="1"/>
  <c r="S26" i="1" l="1"/>
  <c r="Q26" i="1"/>
  <c r="T26" i="1" s="1"/>
  <c r="J43" i="1"/>
  <c r="N43" i="1"/>
  <c r="S27" i="2"/>
  <c r="S26" i="2"/>
  <c r="U26" i="2" s="1"/>
  <c r="O27" i="2"/>
  <c r="AP27" i="2"/>
  <c r="U27" i="2"/>
  <c r="R27" i="2"/>
  <c r="AO27" i="2"/>
  <c r="AO26" i="2"/>
  <c r="R26" i="2"/>
  <c r="O26" i="2"/>
  <c r="S14" i="89" a="1"/>
  <c r="Z26" i="2"/>
  <c r="AV26" i="2" s="1" a="1"/>
  <c r="AV26" i="2" l="1"/>
  <c r="S14" i="89"/>
  <c r="AE26" i="2"/>
  <c r="AP26" i="2"/>
  <c r="AE27" i="2"/>
  <c r="AT26" i="2"/>
  <c r="AS26" i="2"/>
  <c r="AL26" i="2"/>
  <c r="X26" i="2"/>
  <c r="Y26" i="2" s="1"/>
  <c r="AM26" i="2"/>
  <c r="AB26" i="2"/>
  <c r="M26" i="2"/>
  <c r="AS27" i="2"/>
  <c r="AL27" i="2"/>
  <c r="AT27" i="2"/>
  <c r="AM27" i="2"/>
  <c r="M27" i="2"/>
  <c r="X27" i="2"/>
  <c r="Y27" i="2" s="1"/>
  <c r="AB27" i="2"/>
  <c r="R14" i="89" a="1"/>
  <c r="F153" i="89" a="1"/>
  <c r="T17" i="1" l="1"/>
  <c r="R14" i="89"/>
  <c r="T18" i="1"/>
  <c r="F153" i="89"/>
  <c r="K153" i="89" a="1"/>
  <c r="AH17" i="1" l="1"/>
  <c r="U17" i="1"/>
  <c r="K153" i="89"/>
  <c r="L153" i="89" a="1"/>
  <c r="AA17" i="1" l="1"/>
  <c r="Y17" i="1"/>
  <c r="Z17" i="1"/>
  <c r="L153" i="89"/>
  <c r="W153" i="89" a="1"/>
  <c r="W153" i="89" l="1"/>
  <c r="I19" i="1" a="1"/>
  <c r="I19" i="1" l="1"/>
  <c r="N16" i="1" l="1"/>
  <c r="J16" i="1"/>
  <c r="N21" i="1"/>
  <c r="J21" i="1"/>
  <c r="N19" i="1"/>
  <c r="J19" i="1"/>
  <c r="J44" i="1" l="1"/>
  <c r="N44" i="1" l="1"/>
  <c r="W19" i="252" l="1"/>
  <c r="T19" i="252"/>
  <c r="W10" i="252"/>
  <c r="T8" i="252"/>
  <c r="W17" i="252"/>
  <c r="T11" i="252"/>
  <c r="T10" i="252"/>
  <c r="W18" i="252"/>
  <c r="T17" i="252"/>
  <c r="W16" i="252"/>
  <c r="T16" i="252"/>
  <c r="T14" i="252"/>
  <c r="W8" i="252"/>
  <c r="T18" i="252"/>
  <c r="W11" i="252"/>
  <c r="W14" i="252"/>
  <c r="S43" i="1" l="1"/>
  <c r="Q43" i="1"/>
  <c r="Q19" i="1"/>
  <c r="T19" i="1" s="1"/>
  <c r="Q16" i="1"/>
  <c r="T16" i="1" s="1"/>
  <c r="S19" i="1"/>
  <c r="S21" i="1"/>
  <c r="Q21" i="1"/>
  <c r="T21" i="1" s="1"/>
  <c r="Q44" i="1"/>
  <c r="T44" i="1" s="1"/>
  <c r="S44" i="1"/>
  <c r="S8" i="89" a="1"/>
  <c r="S8" i="89" l="1"/>
  <c r="T43" i="1"/>
  <c r="R8" i="89" a="1"/>
  <c r="R8" i="89" l="1"/>
  <c r="J10" i="252" a="1"/>
  <c r="J17" i="252" a="1"/>
  <c r="J20" i="252" a="1"/>
  <c r="J15" i="252" a="1"/>
  <c r="J12" i="252" a="1"/>
  <c r="J13" i="252" a="1"/>
  <c r="J14" i="252" a="1"/>
  <c r="J6" i="252" a="1"/>
  <c r="J8" i="252" a="1"/>
  <c r="J9" i="252" a="1"/>
  <c r="J19" i="252" a="1"/>
  <c r="J16" i="252" a="1"/>
  <c r="J11" i="252" a="1"/>
  <c r="J7" i="252" a="1"/>
  <c r="J18" i="252" a="1"/>
  <c r="J18" i="252" l="1"/>
  <c r="J7" i="252"/>
  <c r="J11" i="252"/>
  <c r="J16" i="252"/>
  <c r="J19" i="252"/>
  <c r="J9" i="252"/>
  <c r="J8" i="252"/>
  <c r="J6" i="252"/>
  <c r="J14" i="252"/>
  <c r="J13" i="252"/>
  <c r="J12" i="252"/>
  <c r="J15" i="252"/>
  <c r="J20" i="252"/>
  <c r="J17" i="252"/>
  <c r="J10" i="252"/>
  <c r="W20" i="252" l="1"/>
  <c r="T20" i="252"/>
  <c r="W7" i="252"/>
  <c r="T7" i="252"/>
  <c r="S242" i="89" a="1"/>
  <c r="S251" i="89" a="1"/>
  <c r="S251" i="89" l="1"/>
  <c r="S242" i="89"/>
  <c r="R251" i="89" a="1"/>
  <c r="R242" i="89" a="1"/>
  <c r="R242" i="89" l="1"/>
  <c r="R251" i="89"/>
  <c r="R165" i="444"/>
  <c r="T165" i="444" s="1"/>
  <c r="U165" i="444" s="1"/>
  <c r="G165" i="444"/>
  <c r="R164" i="444"/>
  <c r="S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T160" i="444"/>
  <c r="U160" i="444" s="1"/>
  <c r="V160" i="444" s="1"/>
  <c r="W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R157" i="444"/>
  <c r="S157" i="444" s="1"/>
  <c r="G157" i="444"/>
  <c r="R156" i="444"/>
  <c r="T156" i="444" s="1"/>
  <c r="U156" i="444" s="1"/>
  <c r="G156" i="444"/>
  <c r="R155" i="444"/>
  <c r="T155" i="444" s="1"/>
  <c r="U155" i="444" s="1"/>
  <c r="G155" i="444"/>
  <c r="S154" i="444"/>
  <c r="R154" i="444"/>
  <c r="T154" i="444" s="1"/>
  <c r="U154" i="444" s="1"/>
  <c r="V154" i="444" s="1"/>
  <c r="W154" i="444" s="1"/>
  <c r="G154" i="444"/>
  <c r="R153" i="444"/>
  <c r="G153" i="444"/>
  <c r="R152" i="444"/>
  <c r="T152" i="444" s="1"/>
  <c r="U152" i="444" s="1"/>
  <c r="G152" i="444"/>
  <c r="T151" i="444"/>
  <c r="U151" i="444" s="1"/>
  <c r="R151" i="444"/>
  <c r="S151" i="444" s="1"/>
  <c r="G151" i="444"/>
  <c r="S150" i="444"/>
  <c r="R150" i="444"/>
  <c r="T150" i="444" s="1"/>
  <c r="U150" i="444" s="1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S147" i="444"/>
  <c r="R147" i="444"/>
  <c r="G147" i="444"/>
  <c r="T146" i="444"/>
  <c r="U146" i="444" s="1"/>
  <c r="V146" i="444" s="1"/>
  <c r="W146" i="444" s="1"/>
  <c r="S146" i="444"/>
  <c r="R146" i="444"/>
  <c r="G146" i="444"/>
  <c r="R145" i="444"/>
  <c r="T145" i="444" s="1"/>
  <c r="U145" i="444" s="1"/>
  <c r="G145" i="444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S141" i="444"/>
  <c r="R141" i="444"/>
  <c r="T141" i="444" s="1"/>
  <c r="U141" i="444" s="1"/>
  <c r="G141" i="444"/>
  <c r="T140" i="444"/>
  <c r="U140" i="444" s="1"/>
  <c r="V140" i="444" s="1"/>
  <c r="W140" i="444" s="1"/>
  <c r="S140" i="444"/>
  <c r="R140" i="444"/>
  <c r="G140" i="444"/>
  <c r="R139" i="444"/>
  <c r="T139" i="444" s="1"/>
  <c r="U139" i="444" s="1"/>
  <c r="G139" i="444"/>
  <c r="R138" i="444"/>
  <c r="T138" i="444" s="1"/>
  <c r="U138" i="444" s="1"/>
  <c r="G138" i="444"/>
  <c r="T137" i="444"/>
  <c r="U137" i="444" s="1"/>
  <c r="R137" i="444"/>
  <c r="S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V134" i="444" s="1"/>
  <c r="W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S128" i="444"/>
  <c r="R128" i="444"/>
  <c r="T128" i="444" s="1"/>
  <c r="U128" i="444" s="1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T120" i="444"/>
  <c r="U120" i="444" s="1"/>
  <c r="V120" i="444" s="1"/>
  <c r="W120" i="444" s="1"/>
  <c r="S120" i="444"/>
  <c r="R120" i="444"/>
  <c r="G120" i="444"/>
  <c r="R119" i="444"/>
  <c r="T119" i="444" s="1"/>
  <c r="U119" i="444" s="1"/>
  <c r="G119" i="444"/>
  <c r="R118" i="444"/>
  <c r="T118" i="444" s="1"/>
  <c r="U118" i="444" s="1"/>
  <c r="G118" i="444"/>
  <c r="T117" i="444"/>
  <c r="U117" i="444" s="1"/>
  <c r="R117" i="444"/>
  <c r="S117" i="444" s="1"/>
  <c r="G117" i="444"/>
  <c r="R116" i="444"/>
  <c r="T116" i="444" s="1"/>
  <c r="U116" i="444" s="1"/>
  <c r="G116" i="444"/>
  <c r="T115" i="444"/>
  <c r="U115" i="444" s="1"/>
  <c r="R115" i="444"/>
  <c r="S115" i="444" s="1"/>
  <c r="G115" i="444"/>
  <c r="T114" i="444"/>
  <c r="U114" i="444" s="1"/>
  <c r="V114" i="444" s="1"/>
  <c r="W114" i="444" s="1"/>
  <c r="S114" i="444"/>
  <c r="R114" i="444"/>
  <c r="G114" i="444"/>
  <c r="R113" i="444"/>
  <c r="G113" i="444"/>
  <c r="T112" i="444"/>
  <c r="U112" i="444" s="1"/>
  <c r="V112" i="444" s="1"/>
  <c r="W112" i="444" s="1"/>
  <c r="S112" i="444"/>
  <c r="R112" i="444"/>
  <c r="G112" i="444"/>
  <c r="T111" i="444"/>
  <c r="U111" i="444" s="1"/>
  <c r="R111" i="444"/>
  <c r="S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S108" i="444"/>
  <c r="R108" i="444"/>
  <c r="T108" i="444" s="1"/>
  <c r="U108" i="444" s="1"/>
  <c r="G108" i="444"/>
  <c r="T107" i="444"/>
  <c r="U107" i="444" s="1"/>
  <c r="S107" i="444"/>
  <c r="R107" i="444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R104" i="444"/>
  <c r="S104" i="444" s="1"/>
  <c r="G104" i="444"/>
  <c r="R103" i="444"/>
  <c r="T103" i="444" s="1"/>
  <c r="U103" i="444" s="1"/>
  <c r="G103" i="444"/>
  <c r="R102" i="444"/>
  <c r="T102" i="444" s="1"/>
  <c r="U102" i="444" s="1"/>
  <c r="G102" i="444"/>
  <c r="S101" i="444"/>
  <c r="R101" i="444"/>
  <c r="T101" i="444" s="1"/>
  <c r="U101" i="444" s="1"/>
  <c r="G101" i="444"/>
  <c r="T100" i="444"/>
  <c r="U100" i="444" s="1"/>
  <c r="V100" i="444" s="1"/>
  <c r="W100" i="444" s="1"/>
  <c r="S100" i="444"/>
  <c r="R100" i="444"/>
  <c r="G100" i="444"/>
  <c r="R99" i="444"/>
  <c r="T99" i="444" s="1"/>
  <c r="U99" i="444" s="1"/>
  <c r="G99" i="444"/>
  <c r="R98" i="444"/>
  <c r="T98" i="444" s="1"/>
  <c r="U98" i="444" s="1"/>
  <c r="G98" i="444"/>
  <c r="T97" i="444"/>
  <c r="U97" i="444" s="1"/>
  <c r="R97" i="444"/>
  <c r="S97" i="444" s="1"/>
  <c r="G97" i="444"/>
  <c r="R96" i="444"/>
  <c r="T96" i="444" s="1"/>
  <c r="U96" i="444" s="1"/>
  <c r="G96" i="444"/>
  <c r="T95" i="444"/>
  <c r="U95" i="444" s="1"/>
  <c r="S95" i="444"/>
  <c r="R95" i="444"/>
  <c r="G95" i="444"/>
  <c r="T94" i="444"/>
  <c r="U94" i="444" s="1"/>
  <c r="V94" i="444" s="1"/>
  <c r="W94" i="444" s="1"/>
  <c r="S94" i="444"/>
  <c r="R94" i="444"/>
  <c r="G94" i="444"/>
  <c r="R93" i="444"/>
  <c r="G93" i="444"/>
  <c r="T92" i="444"/>
  <c r="U92" i="444" s="1"/>
  <c r="S92" i="444"/>
  <c r="R92" i="444"/>
  <c r="G92" i="444"/>
  <c r="T91" i="444"/>
  <c r="U91" i="444" s="1"/>
  <c r="R91" i="444"/>
  <c r="S91" i="444" s="1"/>
  <c r="G91" i="444"/>
  <c r="R90" i="444"/>
  <c r="T90" i="444" s="1"/>
  <c r="U90" i="444" s="1"/>
  <c r="G90" i="444"/>
  <c r="T89" i="444"/>
  <c r="U89" i="444" s="1"/>
  <c r="V89" i="444" s="1"/>
  <c r="W89" i="444" s="1"/>
  <c r="S89" i="444"/>
  <c r="R89" i="444"/>
  <c r="G89" i="444"/>
  <c r="S88" i="444"/>
  <c r="R88" i="444"/>
  <c r="T88" i="444" s="1"/>
  <c r="U88" i="444" s="1"/>
  <c r="G88" i="444"/>
  <c r="T87" i="444"/>
  <c r="U87" i="444" s="1"/>
  <c r="S87" i="444"/>
  <c r="R87" i="444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T84" i="444"/>
  <c r="U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R79" i="444"/>
  <c r="T79" i="444" s="1"/>
  <c r="U79" i="444" s="1"/>
  <c r="G79" i="444"/>
  <c r="T78" i="444"/>
  <c r="U78" i="444" s="1"/>
  <c r="R78" i="444"/>
  <c r="S78" i="444" s="1"/>
  <c r="G78" i="444"/>
  <c r="T77" i="444"/>
  <c r="U77" i="444" s="1"/>
  <c r="R77" i="444"/>
  <c r="S77" i="444" s="1"/>
  <c r="G77" i="444"/>
  <c r="R76" i="444"/>
  <c r="T76" i="444" s="1"/>
  <c r="U76" i="444" s="1"/>
  <c r="G76" i="444"/>
  <c r="T75" i="444"/>
  <c r="U75" i="444" s="1"/>
  <c r="R75" i="444"/>
  <c r="S75" i="444" s="1"/>
  <c r="G75" i="444"/>
  <c r="T74" i="444"/>
  <c r="U74" i="444" s="1"/>
  <c r="V74" i="444" s="1"/>
  <c r="W74" i="444" s="1"/>
  <c r="S74" i="444"/>
  <c r="R74" i="444"/>
  <c r="G74" i="444"/>
  <c r="R73" i="444"/>
  <c r="G73" i="444"/>
  <c r="R72" i="444"/>
  <c r="T72" i="444" s="1"/>
  <c r="U72" i="444" s="1"/>
  <c r="G72" i="444"/>
  <c r="T71" i="444"/>
  <c r="U71" i="444" s="1"/>
  <c r="R71" i="444"/>
  <c r="S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S68" i="444"/>
  <c r="R68" i="444"/>
  <c r="T68" i="444" s="1"/>
  <c r="U68" i="444" s="1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T64" i="444"/>
  <c r="U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S61" i="444"/>
  <c r="R61" i="444"/>
  <c r="T61" i="444" s="1"/>
  <c r="U61" i="444" s="1"/>
  <c r="V61" i="444" s="1"/>
  <c r="W61" i="444" s="1"/>
  <c r="G61" i="444"/>
  <c r="T60" i="444"/>
  <c r="U60" i="444" s="1"/>
  <c r="V60" i="444" s="1"/>
  <c r="W60" i="444" s="1"/>
  <c r="S60" i="444"/>
  <c r="R60" i="444"/>
  <c r="G60" i="444"/>
  <c r="R59" i="444"/>
  <c r="T59" i="444" s="1"/>
  <c r="U59" i="444" s="1"/>
  <c r="G59" i="444"/>
  <c r="T58" i="444"/>
  <c r="U58" i="444" s="1"/>
  <c r="S58" i="444"/>
  <c r="R58" i="444"/>
  <c r="G58" i="444"/>
  <c r="T57" i="444"/>
  <c r="U57" i="444" s="1"/>
  <c r="R57" i="444"/>
  <c r="S57" i="444" s="1"/>
  <c r="G57" i="444"/>
  <c r="R56" i="444"/>
  <c r="T56" i="444" s="1"/>
  <c r="U56" i="444" s="1"/>
  <c r="G56" i="444"/>
  <c r="R55" i="444"/>
  <c r="T55" i="444" s="1"/>
  <c r="U55" i="444" s="1"/>
  <c r="G55" i="444"/>
  <c r="T54" i="444"/>
  <c r="U54" i="444" s="1"/>
  <c r="V54" i="444" s="1"/>
  <c r="W54" i="444" s="1"/>
  <c r="S54" i="444"/>
  <c r="R54" i="444"/>
  <c r="G54" i="444"/>
  <c r="R53" i="444"/>
  <c r="G53" i="444"/>
  <c r="T52" i="444"/>
  <c r="U52" i="444" s="1"/>
  <c r="V52" i="444" s="1"/>
  <c r="W52" i="444" s="1"/>
  <c r="S52" i="444"/>
  <c r="R52" i="444"/>
  <c r="G52" i="444"/>
  <c r="T51" i="444"/>
  <c r="U51" i="444" s="1"/>
  <c r="R51" i="444"/>
  <c r="S51" i="444" s="1"/>
  <c r="G51" i="444"/>
  <c r="R50" i="444"/>
  <c r="T50" i="444" s="1"/>
  <c r="U50" i="444" s="1"/>
  <c r="G50" i="444"/>
  <c r="T49" i="444"/>
  <c r="U49" i="444" s="1"/>
  <c r="S49" i="444"/>
  <c r="R49" i="444"/>
  <c r="G49" i="444"/>
  <c r="S48" i="444"/>
  <c r="R48" i="444"/>
  <c r="T48" i="444" s="1"/>
  <c r="U48" i="444" s="1"/>
  <c r="G48" i="444"/>
  <c r="T47" i="444"/>
  <c r="U47" i="444" s="1"/>
  <c r="S47" i="444"/>
  <c r="R47" i="444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T40" i="444"/>
  <c r="U40" i="444" s="1"/>
  <c r="V40" i="444" s="1"/>
  <c r="W40" i="444" s="1"/>
  <c r="S40" i="444"/>
  <c r="R40" i="444"/>
  <c r="G40" i="444"/>
  <c r="R39" i="444"/>
  <c r="T39" i="444" s="1"/>
  <c r="U39" i="444" s="1"/>
  <c r="G39" i="444"/>
  <c r="T38" i="444"/>
  <c r="U38" i="444" s="1"/>
  <c r="R38" i="444"/>
  <c r="S38" i="444" s="1"/>
  <c r="G38" i="444"/>
  <c r="T37" i="444"/>
  <c r="U37" i="444" s="1"/>
  <c r="R37" i="444"/>
  <c r="S37" i="444" s="1"/>
  <c r="G37" i="444"/>
  <c r="R36" i="444"/>
  <c r="T36" i="444" s="1"/>
  <c r="U36" i="444" s="1"/>
  <c r="G36" i="444"/>
  <c r="R35" i="444"/>
  <c r="T35" i="444" s="1"/>
  <c r="U35" i="444" s="1"/>
  <c r="G35" i="444"/>
  <c r="T34" i="444"/>
  <c r="U34" i="444" s="1"/>
  <c r="V34" i="444" s="1"/>
  <c r="W34" i="444" s="1"/>
  <c r="S34" i="444"/>
  <c r="R34" i="444"/>
  <c r="G34" i="444"/>
  <c r="R33" i="444"/>
  <c r="G33" i="444"/>
  <c r="R32" i="444"/>
  <c r="T32" i="444" s="1"/>
  <c r="U32" i="444" s="1"/>
  <c r="G32" i="444"/>
  <c r="T31" i="444"/>
  <c r="U31" i="444" s="1"/>
  <c r="R31" i="444"/>
  <c r="S31" i="444" s="1"/>
  <c r="G31" i="444"/>
  <c r="R30" i="444"/>
  <c r="T30" i="444" s="1"/>
  <c r="U30" i="444" s="1"/>
  <c r="G30" i="444"/>
  <c r="T29" i="444"/>
  <c r="U29" i="444" s="1"/>
  <c r="V29" i="444" s="1"/>
  <c r="W29" i="444" s="1"/>
  <c r="S29" i="444"/>
  <c r="R29" i="444"/>
  <c r="G29" i="444"/>
  <c r="S28" i="444"/>
  <c r="R28" i="444"/>
  <c r="T28" i="444" s="1"/>
  <c r="U28" i="444" s="1"/>
  <c r="G28" i="444"/>
  <c r="T27" i="444"/>
  <c r="U27" i="444" s="1"/>
  <c r="S27" i="444"/>
  <c r="R27" i="444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R24" i="444"/>
  <c r="S24" i="444" s="1"/>
  <c r="G24" i="444"/>
  <c r="R23" i="444"/>
  <c r="T23" i="444" s="1"/>
  <c r="U23" i="444" s="1"/>
  <c r="G23" i="444"/>
  <c r="R22" i="444"/>
  <c r="T22" i="444" s="1"/>
  <c r="U22" i="444" s="1"/>
  <c r="G22" i="444"/>
  <c r="R21" i="444"/>
  <c r="T21" i="444" s="1"/>
  <c r="U21" i="444" s="1"/>
  <c r="G21" i="444"/>
  <c r="T20" i="444"/>
  <c r="U20" i="444" s="1"/>
  <c r="V20" i="444" s="1"/>
  <c r="W20" i="444" s="1"/>
  <c r="S20" i="444"/>
  <c r="R20" i="444"/>
  <c r="G20" i="444"/>
  <c r="R19" i="444"/>
  <c r="T19" i="444" s="1"/>
  <c r="U19" i="444" s="1"/>
  <c r="G19" i="444"/>
  <c r="R18" i="444"/>
  <c r="T18" i="444" s="1"/>
  <c r="U18" i="444" s="1"/>
  <c r="G18" i="444"/>
  <c r="T17" i="444"/>
  <c r="U17" i="444" s="1"/>
  <c r="R17" i="444"/>
  <c r="S17" i="444" s="1"/>
  <c r="G17" i="444"/>
  <c r="R16" i="444"/>
  <c r="T16" i="444" s="1"/>
  <c r="U16" i="444" s="1"/>
  <c r="G16" i="444"/>
  <c r="T15" i="444"/>
  <c r="U15" i="444" s="1"/>
  <c r="R15" i="444"/>
  <c r="S15" i="444" s="1"/>
  <c r="G15" i="444"/>
  <c r="T14" i="444"/>
  <c r="U14" i="444" s="1"/>
  <c r="V14" i="444" s="1"/>
  <c r="W14" i="444" s="1"/>
  <c r="S14" i="444"/>
  <c r="R14" i="444"/>
  <c r="G14" i="444"/>
  <c r="R13" i="444"/>
  <c r="G13" i="444"/>
  <c r="R12" i="444"/>
  <c r="T12" i="444" s="1"/>
  <c r="U12" i="444" s="1"/>
  <c r="G12" i="444"/>
  <c r="T11" i="444"/>
  <c r="U11" i="444" s="1"/>
  <c r="R11" i="444"/>
  <c r="S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S8" i="444"/>
  <c r="R8" i="444"/>
  <c r="T8" i="444" s="1"/>
  <c r="U8" i="444" s="1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R3" i="444"/>
  <c r="T3" i="444" s="1"/>
  <c r="U3" i="444" s="1"/>
  <c r="G3" i="444"/>
  <c r="R2" i="444"/>
  <c r="T2" i="444" s="1"/>
  <c r="U2" i="444" s="1"/>
  <c r="G2" i="444"/>
  <c r="B2" i="383"/>
  <c r="B3" i="383" s="1"/>
  <c r="B5" i="383" s="1"/>
  <c r="C42" i="54"/>
  <c r="D42" i="54" s="1"/>
  <c r="C40" i="54"/>
  <c r="I32" i="54"/>
  <c r="I31" i="54"/>
  <c r="D31" i="54"/>
  <c r="C31" i="54"/>
  <c r="I30" i="54"/>
  <c r="C29" i="54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H9" i="54"/>
  <c r="G9" i="54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4" i="415"/>
  <c r="D44" i="415"/>
  <c r="C44" i="415"/>
  <c r="D43" i="415"/>
  <c r="C43" i="415"/>
  <c r="D42" i="415"/>
  <c r="C42" i="415"/>
  <c r="D17" i="415"/>
  <c r="C17" i="415"/>
  <c r="E17" i="415" s="1"/>
  <c r="D16" i="415"/>
  <c r="C16" i="415"/>
  <c r="D15" i="415"/>
  <c r="C15" i="415"/>
  <c r="E15" i="415" s="1"/>
  <c r="D14" i="415"/>
  <c r="C14" i="415"/>
  <c r="D13" i="415"/>
  <c r="C13" i="415"/>
  <c r="E13" i="415" s="1"/>
  <c r="D12" i="415"/>
  <c r="C12" i="415"/>
  <c r="E12" i="415" s="1"/>
  <c r="D11" i="415"/>
  <c r="E11" i="415" s="1"/>
  <c r="C11" i="415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D29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G12" i="385" s="1"/>
  <c r="L2" i="384"/>
  <c r="D38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Q78" i="385"/>
  <c r="P78" i="385"/>
  <c r="R78" i="385" s="1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S77" i="385" s="1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S76" i="385" s="1"/>
  <c r="M76" i="385"/>
  <c r="L76" i="385"/>
  <c r="K76" i="385"/>
  <c r="J76" i="385"/>
  <c r="H76" i="385"/>
  <c r="G76" i="385"/>
  <c r="F76" i="385"/>
  <c r="E76" i="385"/>
  <c r="D76" i="385"/>
  <c r="C76" i="385"/>
  <c r="R75" i="385"/>
  <c r="Q75" i="385"/>
  <c r="P75" i="385"/>
  <c r="S75" i="385" s="1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R74" i="385" s="1"/>
  <c r="M74" i="385"/>
  <c r="L74" i="385"/>
  <c r="K74" i="385"/>
  <c r="J74" i="385"/>
  <c r="H74" i="385"/>
  <c r="G74" i="385"/>
  <c r="F74" i="385"/>
  <c r="E74" i="385"/>
  <c r="D74" i="385"/>
  <c r="C74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C53" i="385"/>
  <c r="Q52" i="385"/>
  <c r="P52" i="385"/>
  <c r="C52" i="385"/>
  <c r="Q51" i="385"/>
  <c r="P51" i="385"/>
  <c r="C51" i="385"/>
  <c r="Q50" i="385"/>
  <c r="P50" i="385"/>
  <c r="C50" i="385"/>
  <c r="Q49" i="385"/>
  <c r="P49" i="385"/>
  <c r="C49" i="385"/>
  <c r="Q48" i="385"/>
  <c r="P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P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4" i="89"/>
  <c r="S70" i="385" l="1"/>
  <c r="S67" i="385"/>
  <c r="S72" i="385"/>
  <c r="S66" i="385"/>
  <c r="R68" i="385"/>
  <c r="S73" i="385"/>
  <c r="S69" i="385"/>
  <c r="S71" i="385"/>
  <c r="S68" i="385"/>
  <c r="S74" i="385"/>
  <c r="R77" i="385"/>
  <c r="R73" i="385"/>
  <c r="R76" i="385"/>
  <c r="R66" i="385"/>
  <c r="R69" i="385"/>
  <c r="R71" i="385"/>
  <c r="R67" i="385"/>
  <c r="R72" i="385"/>
  <c r="R70" i="385"/>
  <c r="G52" i="385"/>
  <c r="G28" i="385"/>
  <c r="S19" i="385"/>
  <c r="S18" i="385"/>
  <c r="F33" i="385"/>
  <c r="I45" i="385"/>
  <c r="I55" i="385"/>
  <c r="F39" i="385"/>
  <c r="P57" i="385"/>
  <c r="S57" i="385" s="1"/>
  <c r="I117" i="385"/>
  <c r="G15" i="385"/>
  <c r="R20" i="385"/>
  <c r="S22" i="385"/>
  <c r="I157" i="385"/>
  <c r="G33" i="385"/>
  <c r="G9" i="385"/>
  <c r="S17" i="385"/>
  <c r="R24" i="385"/>
  <c r="L18" i="385"/>
  <c r="D41" i="415"/>
  <c r="L13" i="385"/>
  <c r="K19" i="385"/>
  <c r="E14" i="415"/>
  <c r="E45" i="415"/>
  <c r="L41" i="385"/>
  <c r="K26" i="385"/>
  <c r="K34" i="385"/>
  <c r="L50" i="385"/>
  <c r="K7" i="385"/>
  <c r="L26" i="385"/>
  <c r="E16" i="415"/>
  <c r="K21" i="385"/>
  <c r="D7" i="415"/>
  <c r="K36" i="385"/>
  <c r="C8" i="415"/>
  <c r="E8" i="415" s="1"/>
  <c r="C29" i="415"/>
  <c r="E29" i="415" s="1"/>
  <c r="K29" i="385"/>
  <c r="K10" i="385"/>
  <c r="E42" i="415"/>
  <c r="K6" i="385"/>
  <c r="L16" i="385"/>
  <c r="C9" i="415"/>
  <c r="E9" i="415" s="1"/>
  <c r="C49" i="415"/>
  <c r="D8" i="415"/>
  <c r="E43" i="415"/>
  <c r="K41" i="385"/>
  <c r="L21" i="385"/>
  <c r="L29" i="385"/>
  <c r="K38" i="385"/>
  <c r="K18" i="385"/>
  <c r="K24" i="385"/>
  <c r="R18" i="385"/>
  <c r="V151" i="444"/>
  <c r="W151" i="444" s="1"/>
  <c r="V69" i="444"/>
  <c r="W69" i="444" s="1"/>
  <c r="S20" i="385"/>
  <c r="V15" i="444"/>
  <c r="W15" i="444" s="1"/>
  <c r="V132" i="444"/>
  <c r="W132" i="444" s="1"/>
  <c r="V58" i="444"/>
  <c r="W58" i="444" s="1"/>
  <c r="V38" i="444"/>
  <c r="W38" i="444" s="1"/>
  <c r="V27" i="444"/>
  <c r="W27" i="444" s="1"/>
  <c r="V107" i="444"/>
  <c r="W107" i="444" s="1"/>
  <c r="V9" i="444"/>
  <c r="W9" i="444" s="1"/>
  <c r="V57" i="444"/>
  <c r="W57" i="444" s="1"/>
  <c r="V129" i="444"/>
  <c r="W129" i="444" s="1"/>
  <c r="V137" i="444"/>
  <c r="W137" i="444" s="1"/>
  <c r="V28" i="444"/>
  <c r="W28" i="444" s="1"/>
  <c r="V150" i="444"/>
  <c r="W150" i="444" s="1"/>
  <c r="S49" i="385"/>
  <c r="V17" i="444"/>
  <c r="W17" i="444" s="1"/>
  <c r="V25" i="444"/>
  <c r="W25" i="444" s="1"/>
  <c r="V31" i="444"/>
  <c r="W31" i="444" s="1"/>
  <c r="V105" i="444"/>
  <c r="W105" i="444" s="1"/>
  <c r="V125" i="444"/>
  <c r="W125" i="444" s="1"/>
  <c r="V131" i="444"/>
  <c r="W131" i="444" s="1"/>
  <c r="R19" i="385"/>
  <c r="V10" i="444"/>
  <c r="W10" i="444" s="1"/>
  <c r="V45" i="444"/>
  <c r="W45" i="444" s="1"/>
  <c r="V51" i="444"/>
  <c r="W51" i="444" s="1"/>
  <c r="V75" i="444"/>
  <c r="W75" i="444" s="1"/>
  <c r="V101" i="444"/>
  <c r="W101" i="444" s="1"/>
  <c r="S51" i="385"/>
  <c r="V70" i="444"/>
  <c r="W70" i="444" s="1"/>
  <c r="V77" i="444"/>
  <c r="W77" i="444" s="1"/>
  <c r="V108" i="444"/>
  <c r="W108" i="444" s="1"/>
  <c r="V65" i="444"/>
  <c r="W65" i="444" s="1"/>
  <c r="V47" i="444"/>
  <c r="W47" i="444" s="1"/>
  <c r="V71" i="444"/>
  <c r="W71" i="444" s="1"/>
  <c r="V147" i="444"/>
  <c r="W147" i="444" s="1"/>
  <c r="V7" i="444"/>
  <c r="W7" i="444" s="1"/>
  <c r="V78" i="444"/>
  <c r="W78" i="444" s="1"/>
  <c r="V91" i="444"/>
  <c r="W91" i="444" s="1"/>
  <c r="V97" i="444"/>
  <c r="W97" i="444" s="1"/>
  <c r="V141" i="444"/>
  <c r="W141" i="444" s="1"/>
  <c r="V8" i="444"/>
  <c r="W8" i="444" s="1"/>
  <c r="V110" i="444"/>
  <c r="W110" i="444" s="1"/>
  <c r="V149" i="444"/>
  <c r="W149" i="444" s="1"/>
  <c r="V49" i="444"/>
  <c r="W49" i="444" s="1"/>
  <c r="V67" i="444"/>
  <c r="W67" i="444" s="1"/>
  <c r="V92" i="444"/>
  <c r="W92" i="444" s="1"/>
  <c r="V111" i="444"/>
  <c r="W111" i="444" s="1"/>
  <c r="V117" i="444"/>
  <c r="W117" i="444" s="1"/>
  <c r="V87" i="444"/>
  <c r="W87" i="444" s="1"/>
  <c r="V37" i="444"/>
  <c r="W37" i="444" s="1"/>
  <c r="R17" i="385"/>
  <c r="S23" i="385"/>
  <c r="S16" i="385"/>
  <c r="R50" i="385"/>
  <c r="S21" i="385"/>
  <c r="V109" i="444"/>
  <c r="W109" i="444" s="1"/>
  <c r="V115" i="444"/>
  <c r="W115" i="444" s="1"/>
  <c r="I36" i="385"/>
  <c r="P43" i="385"/>
  <c r="F28" i="385"/>
  <c r="F21" i="385"/>
  <c r="P27" i="385"/>
  <c r="P37" i="385"/>
  <c r="G41" i="385"/>
  <c r="P44" i="385"/>
  <c r="L53" i="385"/>
  <c r="I63" i="385"/>
  <c r="P64" i="385"/>
  <c r="L10" i="385"/>
  <c r="D12" i="385"/>
  <c r="K13" i="385"/>
  <c r="D15" i="385"/>
  <c r="K16" i="385"/>
  <c r="G21" i="385"/>
  <c r="R22" i="385"/>
  <c r="I24" i="385"/>
  <c r="I29" i="385"/>
  <c r="D31" i="385"/>
  <c r="P32" i="385"/>
  <c r="L34" i="385"/>
  <c r="F36" i="385"/>
  <c r="P39" i="385"/>
  <c r="D43" i="385"/>
  <c r="P46" i="385"/>
  <c r="I48" i="385"/>
  <c r="D50" i="385"/>
  <c r="D52" i="385"/>
  <c r="I56" i="385"/>
  <c r="C6" i="415"/>
  <c r="C27" i="415"/>
  <c r="D23" i="385"/>
  <c r="D40" i="385"/>
  <c r="P41" i="385"/>
  <c r="I7" i="385"/>
  <c r="D9" i="385"/>
  <c r="D18" i="385"/>
  <c r="D26" i="385"/>
  <c r="G36" i="385"/>
  <c r="I41" i="385"/>
  <c r="I50" i="385"/>
  <c r="P53" i="385"/>
  <c r="I66" i="385"/>
  <c r="I70" i="385"/>
  <c r="I74" i="385"/>
  <c r="I78" i="385"/>
  <c r="I82" i="385"/>
  <c r="I86" i="385"/>
  <c r="I90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I190" i="385"/>
  <c r="D27" i="415"/>
  <c r="C54" i="415"/>
  <c r="E54" i="415" s="1"/>
  <c r="V85" i="444"/>
  <c r="W85" i="444" s="1"/>
  <c r="D6" i="385"/>
  <c r="P7" i="385"/>
  <c r="F9" i="385"/>
  <c r="P10" i="385"/>
  <c r="F12" i="385"/>
  <c r="F15" i="385"/>
  <c r="I21" i="385"/>
  <c r="F31" i="385"/>
  <c r="P34" i="385"/>
  <c r="F43" i="385"/>
  <c r="D45" i="385"/>
  <c r="K48" i="385"/>
  <c r="K50" i="385"/>
  <c r="F52" i="385"/>
  <c r="I59" i="385"/>
  <c r="P60" i="385"/>
  <c r="C7" i="415"/>
  <c r="D54" i="415"/>
  <c r="F45" i="385"/>
  <c r="C28" i="415"/>
  <c r="T113" i="444"/>
  <c r="U113" i="444" s="1"/>
  <c r="S113" i="444"/>
  <c r="S118" i="444"/>
  <c r="V118" i="444" s="1"/>
  <c r="W118" i="444" s="1"/>
  <c r="F6" i="385"/>
  <c r="I18" i="385"/>
  <c r="S24" i="385"/>
  <c r="I26" i="385"/>
  <c r="D28" i="385"/>
  <c r="I31" i="385"/>
  <c r="I43" i="385"/>
  <c r="G45" i="385"/>
  <c r="S48" i="385"/>
  <c r="R48" i="385"/>
  <c r="I62" i="385"/>
  <c r="P63" i="385"/>
  <c r="D28" i="415"/>
  <c r="B4" i="383"/>
  <c r="V11" i="444"/>
  <c r="W11" i="444" s="1"/>
  <c r="V48" i="444"/>
  <c r="W48" i="444" s="1"/>
  <c r="T104" i="444"/>
  <c r="U104" i="444" s="1"/>
  <c r="V104" i="444" s="1"/>
  <c r="W104" i="444" s="1"/>
  <c r="V127" i="444"/>
  <c r="W127" i="444" s="1"/>
  <c r="V157" i="444"/>
  <c r="W157" i="444" s="1"/>
  <c r="S161" i="444"/>
  <c r="V161" i="444" s="1"/>
  <c r="W161" i="444" s="1"/>
  <c r="T53" i="444"/>
  <c r="U53" i="444" s="1"/>
  <c r="S53" i="444"/>
  <c r="V95" i="444"/>
  <c r="W95" i="444" s="1"/>
  <c r="F23" i="385"/>
  <c r="T44" i="444"/>
  <c r="U44" i="444" s="1"/>
  <c r="V44" i="444" s="1"/>
  <c r="W44" i="444" s="1"/>
  <c r="S72" i="444"/>
  <c r="V72" i="444" s="1"/>
  <c r="W72" i="444" s="1"/>
  <c r="S81" i="444"/>
  <c r="V81" i="444" s="1"/>
  <c r="W81" i="444" s="1"/>
  <c r="S90" i="444"/>
  <c r="V90" i="444" s="1"/>
  <c r="W90" i="444" s="1"/>
  <c r="S152" i="444"/>
  <c r="V152" i="444" s="1"/>
  <c r="W152" i="444" s="1"/>
  <c r="S35" i="444"/>
  <c r="V35" i="444" s="1"/>
  <c r="W35" i="444" s="1"/>
  <c r="S138" i="444"/>
  <c r="V138" i="444" s="1"/>
  <c r="W138" i="444" s="1"/>
  <c r="D33" i="385"/>
  <c r="I38" i="385"/>
  <c r="I89" i="385"/>
  <c r="I145" i="385"/>
  <c r="D8" i="385"/>
  <c r="K52" i="385"/>
  <c r="D5" i="385"/>
  <c r="P15" i="385"/>
  <c r="P26" i="385"/>
  <c r="K45" i="385"/>
  <c r="F49" i="385"/>
  <c r="S50" i="385"/>
  <c r="D9" i="415"/>
  <c r="S12" i="444"/>
  <c r="V12" i="444" s="1"/>
  <c r="W12" i="444" s="1"/>
  <c r="S21" i="444"/>
  <c r="V21" i="444" s="1"/>
  <c r="W21" i="444" s="1"/>
  <c r="S30" i="444"/>
  <c r="V30" i="444" s="1"/>
  <c r="W30" i="444" s="1"/>
  <c r="V128" i="444"/>
  <c r="W128" i="444" s="1"/>
  <c r="I12" i="385"/>
  <c r="R16" i="385"/>
  <c r="I52" i="385"/>
  <c r="I77" i="385"/>
  <c r="I113" i="385"/>
  <c r="I133" i="385"/>
  <c r="I173" i="385"/>
  <c r="K12" i="385"/>
  <c r="I23" i="385"/>
  <c r="I65" i="385"/>
  <c r="L9" i="385"/>
  <c r="D14" i="385"/>
  <c r="G20" i="385"/>
  <c r="D25" i="385"/>
  <c r="F5" i="385"/>
  <c r="P6" i="385"/>
  <c r="F8" i="385"/>
  <c r="F11" i="385"/>
  <c r="G17" i="385"/>
  <c r="R21" i="385"/>
  <c r="K23" i="385"/>
  <c r="F25" i="385"/>
  <c r="I28" i="385"/>
  <c r="D30" i="385"/>
  <c r="K33" i="385"/>
  <c r="F35" i="385"/>
  <c r="P38" i="385"/>
  <c r="L45" i="385"/>
  <c r="I47" i="385"/>
  <c r="G49" i="385"/>
  <c r="S52" i="385"/>
  <c r="R52" i="385"/>
  <c r="P62" i="385"/>
  <c r="D19" i="415"/>
  <c r="C34" i="415"/>
  <c r="T133" i="444"/>
  <c r="U133" i="444" s="1"/>
  <c r="S133" i="444"/>
  <c r="S158" i="444"/>
  <c r="V158" i="444" s="1"/>
  <c r="W158" i="444" s="1"/>
  <c r="I15" i="385"/>
  <c r="P29" i="385"/>
  <c r="I97" i="385"/>
  <c r="I125" i="385"/>
  <c r="I141" i="385"/>
  <c r="I169" i="385"/>
  <c r="I185" i="385"/>
  <c r="D11" i="385"/>
  <c r="D35" i="385"/>
  <c r="P59" i="385"/>
  <c r="L12" i="385"/>
  <c r="F17" i="385"/>
  <c r="G40" i="385"/>
  <c r="G5" i="385"/>
  <c r="G8" i="385"/>
  <c r="P9" i="385"/>
  <c r="G11" i="385"/>
  <c r="P12" i="385"/>
  <c r="F14" i="385"/>
  <c r="I20" i="385"/>
  <c r="G25" i="385"/>
  <c r="L33" i="385"/>
  <c r="D37" i="385"/>
  <c r="I40" i="385"/>
  <c r="D42" i="385"/>
  <c r="D44" i="385"/>
  <c r="P47" i="385"/>
  <c r="D51" i="385"/>
  <c r="I54" i="385"/>
  <c r="P55" i="385"/>
  <c r="I61" i="385"/>
  <c r="C20" i="415"/>
  <c r="E20" i="415" s="1"/>
  <c r="D34" i="415"/>
  <c r="V68" i="444"/>
  <c r="W68" i="444" s="1"/>
  <c r="T124" i="444"/>
  <c r="U124" i="444" s="1"/>
  <c r="V124" i="444" s="1"/>
  <c r="W124" i="444" s="1"/>
  <c r="P56" i="385"/>
  <c r="I69" i="385"/>
  <c r="D20" i="415"/>
  <c r="C46" i="415"/>
  <c r="V64" i="444"/>
  <c r="W64" i="444" s="1"/>
  <c r="T73" i="444"/>
  <c r="U73" i="444" s="1"/>
  <c r="S73" i="444"/>
  <c r="T153" i="444"/>
  <c r="U153" i="444" s="1"/>
  <c r="S153" i="444"/>
  <c r="I5" i="385"/>
  <c r="I8" i="385"/>
  <c r="I11" i="385"/>
  <c r="K14" i="385"/>
  <c r="K20" i="385"/>
  <c r="R23" i="385"/>
  <c r="I25" i="385"/>
  <c r="K30" i="385"/>
  <c r="P33" i="385"/>
  <c r="G37" i="385"/>
  <c r="K40" i="385"/>
  <c r="K42" i="385"/>
  <c r="F44" i="385"/>
  <c r="F51" i="385"/>
  <c r="D53" i="385"/>
  <c r="P58" i="385"/>
  <c r="P65" i="385"/>
  <c r="C35" i="415"/>
  <c r="C47" i="415"/>
  <c r="P13" i="385"/>
  <c r="I6" i="385"/>
  <c r="I109" i="385"/>
  <c r="K15" i="385"/>
  <c r="L38" i="385"/>
  <c r="I30" i="385"/>
  <c r="I42" i="385"/>
  <c r="I76" i="385"/>
  <c r="I112" i="385"/>
  <c r="D19" i="385"/>
  <c r="F32" i="385"/>
  <c r="P35" i="385"/>
  <c r="L42" i="385"/>
  <c r="G44" i="385"/>
  <c r="K49" i="385"/>
  <c r="F53" i="385"/>
  <c r="I57" i="385"/>
  <c r="C21" i="415"/>
  <c r="D47" i="415"/>
  <c r="T13" i="444"/>
  <c r="U13" i="444" s="1"/>
  <c r="S13" i="444"/>
  <c r="S18" i="444"/>
  <c r="V18" i="444" s="1"/>
  <c r="W18" i="444" s="1"/>
  <c r="S55" i="444"/>
  <c r="V55" i="444" s="1"/>
  <c r="W55" i="444" s="1"/>
  <c r="P31" i="385"/>
  <c r="I105" i="385"/>
  <c r="I161" i="385"/>
  <c r="I189" i="385"/>
  <c r="I58" i="385"/>
  <c r="I17" i="385"/>
  <c r="P45" i="385"/>
  <c r="I132" i="385"/>
  <c r="I152" i="385"/>
  <c r="I180" i="385"/>
  <c r="P28" i="385"/>
  <c r="K5" i="385"/>
  <c r="D7" i="385"/>
  <c r="K8" i="385"/>
  <c r="K11" i="385"/>
  <c r="D13" i="385"/>
  <c r="L17" i="385"/>
  <c r="I22" i="385"/>
  <c r="K25" i="385"/>
  <c r="G32" i="385"/>
  <c r="I37" i="385"/>
  <c r="D39" i="385"/>
  <c r="P40" i="385"/>
  <c r="L49" i="385"/>
  <c r="I51" i="385"/>
  <c r="G53" i="385"/>
  <c r="I64" i="385"/>
  <c r="D21" i="415"/>
  <c r="C36" i="415"/>
  <c r="T4" i="444"/>
  <c r="U4" i="444" s="1"/>
  <c r="V4" i="444" s="1"/>
  <c r="W4" i="444" s="1"/>
  <c r="S32" i="444"/>
  <c r="V32" i="444" s="1"/>
  <c r="W32" i="444" s="1"/>
  <c r="S41" i="444"/>
  <c r="V41" i="444" s="1"/>
  <c r="W41" i="444" s="1"/>
  <c r="S50" i="444"/>
  <c r="V50" i="444" s="1"/>
  <c r="W50" i="444" s="1"/>
  <c r="T144" i="444"/>
  <c r="U144" i="444" s="1"/>
  <c r="V144" i="444" s="1"/>
  <c r="W144" i="444" s="1"/>
  <c r="D47" i="385"/>
  <c r="I85" i="385"/>
  <c r="I121" i="385"/>
  <c r="I149" i="385"/>
  <c r="K9" i="385"/>
  <c r="D49" i="385"/>
  <c r="I35" i="385"/>
  <c r="I68" i="385"/>
  <c r="I104" i="385"/>
  <c r="I172" i="385"/>
  <c r="L14" i="385"/>
  <c r="L5" i="385"/>
  <c r="L8" i="385"/>
  <c r="D10" i="385"/>
  <c r="P11" i="385"/>
  <c r="F13" i="385"/>
  <c r="P14" i="385"/>
  <c r="F16" i="385"/>
  <c r="F19" i="385"/>
  <c r="K22" i="385"/>
  <c r="D24" i="385"/>
  <c r="L25" i="385"/>
  <c r="F27" i="385"/>
  <c r="P30" i="385"/>
  <c r="P42" i="385"/>
  <c r="I44" i="385"/>
  <c r="D46" i="385"/>
  <c r="D48" i="385"/>
  <c r="P54" i="385"/>
  <c r="P61" i="385"/>
  <c r="D39" i="415"/>
  <c r="C48" i="415"/>
  <c r="S135" i="444"/>
  <c r="V135" i="444" s="1"/>
  <c r="W135" i="444" s="1"/>
  <c r="I93" i="385"/>
  <c r="I129" i="385"/>
  <c r="I165" i="385"/>
  <c r="F20" i="385"/>
  <c r="F47" i="385"/>
  <c r="D32" i="385"/>
  <c r="I88" i="385"/>
  <c r="I116" i="385"/>
  <c r="I136" i="385"/>
  <c r="I168" i="385"/>
  <c r="D16" i="385"/>
  <c r="G13" i="385"/>
  <c r="I99" i="385"/>
  <c r="I123" i="385"/>
  <c r="I155" i="385"/>
  <c r="D22" i="415"/>
  <c r="D40" i="415"/>
  <c r="D48" i="415"/>
  <c r="V88" i="444"/>
  <c r="W88" i="444" s="1"/>
  <c r="T164" i="444"/>
  <c r="U164" i="444" s="1"/>
  <c r="V164" i="444" s="1"/>
  <c r="W164" i="444" s="1"/>
  <c r="F18" i="385"/>
  <c r="I9" i="385"/>
  <c r="I73" i="385"/>
  <c r="I101" i="385"/>
  <c r="I137" i="385"/>
  <c r="I153" i="385"/>
  <c r="I177" i="385"/>
  <c r="L6" i="385"/>
  <c r="P36" i="385"/>
  <c r="F40" i="385"/>
  <c r="G30" i="385"/>
  <c r="G14" i="385"/>
  <c r="G50" i="385"/>
  <c r="G46" i="385"/>
  <c r="G42" i="385"/>
  <c r="G38" i="385"/>
  <c r="G34" i="385"/>
  <c r="G26" i="385"/>
  <c r="G22" i="385"/>
  <c r="G18" i="385"/>
  <c r="G10" i="385"/>
  <c r="G6" i="385"/>
  <c r="F50" i="385"/>
  <c r="F46" i="385"/>
  <c r="F42" i="385"/>
  <c r="F38" i="385"/>
  <c r="F34" i="385"/>
  <c r="F30" i="385"/>
  <c r="G51" i="385"/>
  <c r="G47" i="385"/>
  <c r="G43" i="385"/>
  <c r="G39" i="385"/>
  <c r="G35" i="385"/>
  <c r="G31" i="385"/>
  <c r="G27" i="385"/>
  <c r="G23" i="385"/>
  <c r="G19" i="385"/>
  <c r="I14" i="385"/>
  <c r="D22" i="385"/>
  <c r="F37" i="385"/>
  <c r="I72" i="385"/>
  <c r="I84" i="385"/>
  <c r="I92" i="385"/>
  <c r="I100" i="385"/>
  <c r="I108" i="385"/>
  <c r="I120" i="385"/>
  <c r="I128" i="385"/>
  <c r="I140" i="385"/>
  <c r="I144" i="385"/>
  <c r="I156" i="385"/>
  <c r="I160" i="385"/>
  <c r="I176" i="385"/>
  <c r="I184" i="385"/>
  <c r="I188" i="385"/>
  <c r="F22" i="385"/>
  <c r="L30" i="385"/>
  <c r="F7" i="385"/>
  <c r="L22" i="385"/>
  <c r="K37" i="385"/>
  <c r="I46" i="385"/>
  <c r="I53" i="385"/>
  <c r="I67" i="385"/>
  <c r="I75" i="385"/>
  <c r="I87" i="385"/>
  <c r="I95" i="385"/>
  <c r="I103" i="385"/>
  <c r="I107" i="385"/>
  <c r="I115" i="385"/>
  <c r="I127" i="385"/>
  <c r="I131" i="385"/>
  <c r="I135" i="385"/>
  <c r="I147" i="385"/>
  <c r="I159" i="385"/>
  <c r="I167" i="385"/>
  <c r="I175" i="385"/>
  <c r="I187" i="385"/>
  <c r="P5" i="385"/>
  <c r="G7" i="385"/>
  <c r="P8" i="385"/>
  <c r="F10" i="385"/>
  <c r="I19" i="385"/>
  <c r="F24" i="385"/>
  <c r="P25" i="385"/>
  <c r="I27" i="385"/>
  <c r="F29" i="385"/>
  <c r="L37" i="385"/>
  <c r="D41" i="385"/>
  <c r="K44" i="385"/>
  <c r="K46" i="385"/>
  <c r="F48" i="385"/>
  <c r="R51" i="385"/>
  <c r="I60" i="385"/>
  <c r="V5" i="444"/>
  <c r="W5" i="444" s="1"/>
  <c r="V84" i="444"/>
  <c r="W84" i="444" s="1"/>
  <c r="T93" i="444"/>
  <c r="U93" i="444" s="1"/>
  <c r="S93" i="444"/>
  <c r="S98" i="444"/>
  <c r="V98" i="444" s="1"/>
  <c r="W98" i="444" s="1"/>
  <c r="S155" i="444"/>
  <c r="V155" i="444" s="1"/>
  <c r="W155" i="444" s="1"/>
  <c r="F26" i="385"/>
  <c r="D20" i="385"/>
  <c r="I81" i="385"/>
  <c r="I181" i="385"/>
  <c r="D52" i="415"/>
  <c r="C39" i="415"/>
  <c r="D32" i="415"/>
  <c r="C19" i="415"/>
  <c r="C52" i="415"/>
  <c r="C32" i="415"/>
  <c r="E32" i="415" s="1"/>
  <c r="D25" i="415"/>
  <c r="D5" i="415"/>
  <c r="D38" i="415"/>
  <c r="C25" i="415"/>
  <c r="D18" i="415"/>
  <c r="C5" i="415"/>
  <c r="L35" i="385"/>
  <c r="L23" i="385"/>
  <c r="L19" i="385"/>
  <c r="L11" i="385"/>
  <c r="L7" i="385"/>
  <c r="D51" i="415"/>
  <c r="C38" i="415"/>
  <c r="D31" i="415"/>
  <c r="C18" i="415"/>
  <c r="L51" i="385"/>
  <c r="L47" i="385"/>
  <c r="L43" i="385"/>
  <c r="L39" i="385"/>
  <c r="L31" i="385"/>
  <c r="L27" i="385"/>
  <c r="L15" i="385"/>
  <c r="C51" i="415"/>
  <c r="C31" i="415"/>
  <c r="D24" i="415"/>
  <c r="K51" i="385"/>
  <c r="K47" i="385"/>
  <c r="K43" i="385"/>
  <c r="K39" i="385"/>
  <c r="K35" i="385"/>
  <c r="K31" i="385"/>
  <c r="K27" i="385"/>
  <c r="D37" i="415"/>
  <c r="C24" i="415"/>
  <c r="D50" i="415"/>
  <c r="C37" i="415"/>
  <c r="D30" i="415"/>
  <c r="C50" i="415"/>
  <c r="C30" i="415"/>
  <c r="D23" i="415"/>
  <c r="D36" i="415"/>
  <c r="C23" i="415"/>
  <c r="L52" i="385"/>
  <c r="L48" i="385"/>
  <c r="L44" i="385"/>
  <c r="L40" i="385"/>
  <c r="L36" i="385"/>
  <c r="L32" i="385"/>
  <c r="L28" i="385"/>
  <c r="L24" i="385"/>
  <c r="L20" i="385"/>
  <c r="D35" i="415"/>
  <c r="C22" i="415"/>
  <c r="D53" i="415"/>
  <c r="C40" i="415"/>
  <c r="D33" i="415"/>
  <c r="C53" i="415"/>
  <c r="D46" i="415"/>
  <c r="C33" i="415"/>
  <c r="D26" i="415"/>
  <c r="D6" i="415"/>
  <c r="D17" i="385"/>
  <c r="I33" i="385"/>
  <c r="K28" i="385"/>
  <c r="I49" i="385"/>
  <c r="I80" i="385"/>
  <c r="I96" i="385"/>
  <c r="I124" i="385"/>
  <c r="I148" i="385"/>
  <c r="I164" i="385"/>
  <c r="K17" i="385"/>
  <c r="D27" i="385"/>
  <c r="G16" i="385"/>
  <c r="D29" i="385"/>
  <c r="I32" i="385"/>
  <c r="D34" i="385"/>
  <c r="I71" i="385"/>
  <c r="I79" i="385"/>
  <c r="I83" i="385"/>
  <c r="I91" i="385"/>
  <c r="I111" i="385"/>
  <c r="I119" i="385"/>
  <c r="I139" i="385"/>
  <c r="I143" i="385"/>
  <c r="I151" i="385"/>
  <c r="I163" i="385"/>
  <c r="I171" i="385"/>
  <c r="I179" i="385"/>
  <c r="I183" i="385"/>
  <c r="I191" i="385"/>
  <c r="I10" i="385"/>
  <c r="I13" i="385"/>
  <c r="I16" i="385"/>
  <c r="D21" i="385"/>
  <c r="G24" i="385"/>
  <c r="G29" i="385"/>
  <c r="K32" i="385"/>
  <c r="I34" i="385"/>
  <c r="D36" i="385"/>
  <c r="I39" i="385"/>
  <c r="F41" i="385"/>
  <c r="L46" i="385"/>
  <c r="G48" i="385"/>
  <c r="R49" i="385"/>
  <c r="K53" i="385"/>
  <c r="C26" i="415"/>
  <c r="C41" i="415"/>
  <c r="E41" i="415" s="1"/>
  <c r="D49" i="415"/>
  <c r="S121" i="444"/>
  <c r="V121" i="444" s="1"/>
  <c r="W121" i="444" s="1"/>
  <c r="S130" i="444"/>
  <c r="V130" i="444" s="1"/>
  <c r="W130" i="444" s="1"/>
  <c r="V24" i="444"/>
  <c r="W24" i="444" s="1"/>
  <c r="T33" i="444"/>
  <c r="U33" i="444" s="1"/>
  <c r="S33" i="444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2" i="444"/>
  <c r="V2" i="444" s="1"/>
  <c r="W2" i="444" s="1"/>
  <c r="S22" i="444"/>
  <c r="V22" i="444" s="1"/>
  <c r="W22" i="444" s="1"/>
  <c r="S42" i="444"/>
  <c r="V42" i="444" s="1"/>
  <c r="W42" i="444" s="1"/>
  <c r="S62" i="444"/>
  <c r="V62" i="444" s="1"/>
  <c r="W62" i="444" s="1"/>
  <c r="S82" i="444"/>
  <c r="V82" i="444" s="1"/>
  <c r="W82" i="444" s="1"/>
  <c r="S102" i="444"/>
  <c r="V102" i="444" s="1"/>
  <c r="W102" i="444" s="1"/>
  <c r="S122" i="444"/>
  <c r="V122" i="444" s="1"/>
  <c r="W122" i="444" s="1"/>
  <c r="S142" i="444"/>
  <c r="V142" i="444" s="1"/>
  <c r="W142" i="444" s="1"/>
  <c r="S162" i="444"/>
  <c r="V162" i="444" s="1"/>
  <c r="W162" i="444" s="1"/>
  <c r="S145" i="444"/>
  <c r="V145" i="444" s="1"/>
  <c r="W145" i="444" s="1"/>
  <c r="S165" i="444"/>
  <c r="V165" i="444" s="1"/>
  <c r="W165" i="444" s="1"/>
  <c r="S148" i="444"/>
  <c r="V148" i="444" s="1"/>
  <c r="W148" i="444" s="1"/>
  <c r="J33" i="385" l="1"/>
  <c r="H33" i="385"/>
  <c r="R57" i="385"/>
  <c r="E40" i="415"/>
  <c r="E22" i="415"/>
  <c r="E28" i="415"/>
  <c r="E5" i="415"/>
  <c r="M33" i="385"/>
  <c r="E33" i="385" s="1"/>
  <c r="E49" i="415"/>
  <c r="E30" i="415"/>
  <c r="E33" i="415"/>
  <c r="E26" i="415"/>
  <c r="E7" i="415"/>
  <c r="E25" i="415"/>
  <c r="M39" i="385"/>
  <c r="E39" i="385" s="1"/>
  <c r="E31" i="415"/>
  <c r="E51" i="415"/>
  <c r="E23" i="415"/>
  <c r="E47" i="415"/>
  <c r="E52" i="415"/>
  <c r="E19" i="415"/>
  <c r="E50" i="415"/>
  <c r="E39" i="415"/>
  <c r="E34" i="415"/>
  <c r="V133" i="444"/>
  <c r="W133" i="444" s="1"/>
  <c r="V153" i="444"/>
  <c r="W153" i="444" s="1"/>
  <c r="M17" i="385"/>
  <c r="E17" i="385" s="1"/>
  <c r="J17" i="385"/>
  <c r="H17" i="385"/>
  <c r="M31" i="385"/>
  <c r="E31" i="385" s="1"/>
  <c r="J31" i="385"/>
  <c r="H31" i="385"/>
  <c r="S40" i="385"/>
  <c r="R40" i="385"/>
  <c r="S26" i="385"/>
  <c r="R26" i="385"/>
  <c r="V53" i="444"/>
  <c r="W53" i="444" s="1"/>
  <c r="S46" i="385"/>
  <c r="R46" i="385"/>
  <c r="S44" i="385"/>
  <c r="R44" i="385"/>
  <c r="S36" i="385"/>
  <c r="R36" i="385"/>
  <c r="M27" i="385"/>
  <c r="E27" i="385" s="1"/>
  <c r="J27" i="385"/>
  <c r="H27" i="385"/>
  <c r="S47" i="385"/>
  <c r="R47" i="385"/>
  <c r="R38" i="385"/>
  <c r="S38" i="385"/>
  <c r="V113" i="444"/>
  <c r="W113" i="444" s="1"/>
  <c r="M9" i="385"/>
  <c r="E9" i="385" s="1"/>
  <c r="H9" i="385"/>
  <c r="J9" i="385"/>
  <c r="M21" i="385"/>
  <c r="E21" i="385" s="1"/>
  <c r="J21" i="385"/>
  <c r="H21" i="385"/>
  <c r="R7" i="385"/>
  <c r="S7" i="385"/>
  <c r="S32" i="385"/>
  <c r="R32" i="385"/>
  <c r="M28" i="385"/>
  <c r="E28" i="385" s="1"/>
  <c r="J28" i="385"/>
  <c r="H28" i="385"/>
  <c r="V13" i="444"/>
  <c r="W13" i="444" s="1"/>
  <c r="R43" i="385"/>
  <c r="S43" i="385"/>
  <c r="S37" i="385"/>
  <c r="R37" i="385"/>
  <c r="S10" i="385"/>
  <c r="R10" i="385"/>
  <c r="M35" i="385"/>
  <c r="E35" i="385" s="1"/>
  <c r="J35" i="385"/>
  <c r="H35" i="385"/>
  <c r="R13" i="385"/>
  <c r="S13" i="385"/>
  <c r="E53" i="415"/>
  <c r="M29" i="385"/>
  <c r="E29" i="385" s="1"/>
  <c r="J29" i="385"/>
  <c r="H29" i="385"/>
  <c r="J42" i="385"/>
  <c r="H42" i="385"/>
  <c r="M42" i="385"/>
  <c r="E42" i="385" s="1"/>
  <c r="M47" i="385"/>
  <c r="E47" i="385" s="1"/>
  <c r="J47" i="385"/>
  <c r="H47" i="385"/>
  <c r="M19" i="385"/>
  <c r="E19" i="385" s="1"/>
  <c r="J19" i="385"/>
  <c r="H19" i="385"/>
  <c r="J45" i="385"/>
  <c r="H45" i="385"/>
  <c r="M45" i="385"/>
  <c r="E45" i="385" s="1"/>
  <c r="S42" i="385"/>
  <c r="R42" i="385"/>
  <c r="J30" i="385"/>
  <c r="H30" i="385"/>
  <c r="M30" i="385"/>
  <c r="E30" i="385" s="1"/>
  <c r="J38" i="385"/>
  <c r="H38" i="385"/>
  <c r="M38" i="385"/>
  <c r="E38" i="385" s="1"/>
  <c r="E37" i="415"/>
  <c r="J46" i="385"/>
  <c r="H46" i="385"/>
  <c r="M46" i="385"/>
  <c r="E46" i="385" s="1"/>
  <c r="M20" i="385"/>
  <c r="E20" i="385" s="1"/>
  <c r="J20" i="385"/>
  <c r="H20" i="385"/>
  <c r="H16" i="385"/>
  <c r="M16" i="385"/>
  <c r="E16" i="385" s="1"/>
  <c r="J16" i="385"/>
  <c r="E35" i="415"/>
  <c r="V73" i="444"/>
  <c r="W73" i="444" s="1"/>
  <c r="S29" i="385"/>
  <c r="R29" i="385"/>
  <c r="M25" i="385"/>
  <c r="E25" i="385" s="1"/>
  <c r="H25" i="385"/>
  <c r="J25" i="385"/>
  <c r="J39" i="385"/>
  <c r="M36" i="385"/>
  <c r="E36" i="385" s="1"/>
  <c r="J36" i="385"/>
  <c r="H36" i="385"/>
  <c r="S25" i="385"/>
  <c r="R25" i="385"/>
  <c r="J50" i="385"/>
  <c r="H50" i="385"/>
  <c r="M50" i="385"/>
  <c r="E50" i="385" s="1"/>
  <c r="S14" i="385"/>
  <c r="R14" i="385"/>
  <c r="E21" i="415"/>
  <c r="S65" i="385"/>
  <c r="R65" i="385"/>
  <c r="S41" i="385"/>
  <c r="R41" i="385"/>
  <c r="H39" i="385"/>
  <c r="S55" i="385"/>
  <c r="R55" i="385"/>
  <c r="M15" i="385"/>
  <c r="E15" i="385" s="1"/>
  <c r="J15" i="385"/>
  <c r="H15" i="385"/>
  <c r="E24" i="415"/>
  <c r="M24" i="385"/>
  <c r="E24" i="385" s="1"/>
  <c r="J24" i="385"/>
  <c r="H24" i="385"/>
  <c r="H13" i="385"/>
  <c r="M13" i="385"/>
  <c r="E13" i="385" s="1"/>
  <c r="J13" i="385"/>
  <c r="S58" i="385"/>
  <c r="R58" i="385"/>
  <c r="R63" i="385"/>
  <c r="S63" i="385"/>
  <c r="S60" i="385"/>
  <c r="R60" i="385"/>
  <c r="S59" i="385"/>
  <c r="R59" i="385"/>
  <c r="E38" i="415"/>
  <c r="J18" i="385"/>
  <c r="H18" i="385"/>
  <c r="M18" i="385"/>
  <c r="E18" i="385" s="1"/>
  <c r="S11" i="385"/>
  <c r="R11" i="385"/>
  <c r="S28" i="385"/>
  <c r="R28" i="385"/>
  <c r="J53" i="385"/>
  <c r="H53" i="385"/>
  <c r="M53" i="385"/>
  <c r="E53" i="385" s="1"/>
  <c r="E46" i="415"/>
  <c r="J14" i="385"/>
  <c r="H14" i="385"/>
  <c r="M14" i="385"/>
  <c r="E14" i="385" s="1"/>
  <c r="S15" i="385"/>
  <c r="R15" i="385"/>
  <c r="J10" i="385"/>
  <c r="H10" i="385"/>
  <c r="M10" i="385"/>
  <c r="E10" i="385" s="1"/>
  <c r="M37" i="385"/>
  <c r="E37" i="385" s="1"/>
  <c r="J37" i="385"/>
  <c r="H37" i="385"/>
  <c r="E36" i="415"/>
  <c r="M51" i="385"/>
  <c r="E51" i="385" s="1"/>
  <c r="J51" i="385"/>
  <c r="H51" i="385"/>
  <c r="S12" i="385"/>
  <c r="R12" i="385"/>
  <c r="M11" i="385"/>
  <c r="E11" i="385" s="1"/>
  <c r="J11" i="385"/>
  <c r="H11" i="385"/>
  <c r="J52" i="385"/>
  <c r="M52" i="385"/>
  <c r="E52" i="385" s="1"/>
  <c r="H52" i="385"/>
  <c r="S31" i="385"/>
  <c r="R31" i="385"/>
  <c r="M12" i="385"/>
  <c r="E12" i="385" s="1"/>
  <c r="H12" i="385"/>
  <c r="J12" i="385"/>
  <c r="E18" i="415"/>
  <c r="V33" i="444"/>
  <c r="W33" i="444" s="1"/>
  <c r="J26" i="385"/>
  <c r="H26" i="385"/>
  <c r="M26" i="385"/>
  <c r="E26" i="385" s="1"/>
  <c r="S8" i="385"/>
  <c r="R8" i="385"/>
  <c r="M44" i="385"/>
  <c r="E44" i="385" s="1"/>
  <c r="J44" i="385"/>
  <c r="H44" i="385"/>
  <c r="M8" i="385"/>
  <c r="E8" i="385" s="1"/>
  <c r="J8" i="385"/>
  <c r="H8" i="385"/>
  <c r="E27" i="415"/>
  <c r="S56" i="385"/>
  <c r="R56" i="385"/>
  <c r="S9" i="385"/>
  <c r="R9" i="385"/>
  <c r="R6" i="385"/>
  <c r="S6" i="385"/>
  <c r="E6" i="415"/>
  <c r="M48" i="385"/>
  <c r="E48" i="385" s="1"/>
  <c r="J48" i="385"/>
  <c r="H48" i="385"/>
  <c r="S27" i="385"/>
  <c r="R27" i="385"/>
  <c r="J34" i="385"/>
  <c r="H34" i="385"/>
  <c r="M34" i="385"/>
  <c r="E34" i="385" s="1"/>
  <c r="E48" i="415"/>
  <c r="S5" i="385"/>
  <c r="R5" i="385"/>
  <c r="M7" i="385"/>
  <c r="E7" i="385" s="1"/>
  <c r="H7" i="385"/>
  <c r="J7" i="385"/>
  <c r="S45" i="385"/>
  <c r="R45" i="385"/>
  <c r="S35" i="385"/>
  <c r="R35" i="385"/>
  <c r="M5" i="385"/>
  <c r="E5" i="385" s="1"/>
  <c r="H5" i="385"/>
  <c r="J5" i="385"/>
  <c r="S64" i="385"/>
  <c r="R64" i="385"/>
  <c r="J6" i="385"/>
  <c r="H6" i="385"/>
  <c r="M6" i="385"/>
  <c r="E6" i="385" s="1"/>
  <c r="S53" i="385"/>
  <c r="R53" i="385"/>
  <c r="S30" i="385"/>
  <c r="R30" i="385"/>
  <c r="M41" i="385"/>
  <c r="E41" i="385" s="1"/>
  <c r="J41" i="385"/>
  <c r="H41" i="385"/>
  <c r="V93" i="444"/>
  <c r="W93" i="444" s="1"/>
  <c r="S61" i="385"/>
  <c r="R61" i="385"/>
  <c r="J32" i="385"/>
  <c r="H32" i="385"/>
  <c r="M32" i="385"/>
  <c r="E32" i="385" s="1"/>
  <c r="R62" i="385"/>
  <c r="S62" i="385"/>
  <c r="M43" i="385"/>
  <c r="E43" i="385" s="1"/>
  <c r="J43" i="385"/>
  <c r="H43" i="385"/>
  <c r="S39" i="385"/>
  <c r="R39" i="385"/>
  <c r="J40" i="385"/>
  <c r="M40" i="385"/>
  <c r="E40" i="385" s="1"/>
  <c r="H40" i="385"/>
  <c r="J22" i="385"/>
  <c r="H22" i="385"/>
  <c r="M22" i="385"/>
  <c r="E22" i="385" s="1"/>
  <c r="S54" i="385"/>
  <c r="R54" i="385"/>
  <c r="S33" i="385"/>
  <c r="R33" i="385"/>
  <c r="M49" i="385"/>
  <c r="E49" i="385" s="1"/>
  <c r="J49" i="385"/>
  <c r="H49" i="385"/>
  <c r="M23" i="385"/>
  <c r="E23" i="385" s="1"/>
  <c r="J23" i="385"/>
  <c r="H23" i="385"/>
  <c r="S34" i="385"/>
  <c r="R34" i="385"/>
  <c r="S225" i="89" a="1"/>
  <c r="W254" i="89" a="1"/>
  <c r="S63" i="89" a="1"/>
  <c r="S252" i="89" a="1"/>
  <c r="S63" i="89" l="1"/>
  <c r="S252" i="89"/>
  <c r="S225" i="89"/>
  <c r="W254" i="89"/>
  <c r="R63" i="89" a="1"/>
  <c r="R252" i="89" a="1"/>
  <c r="R225" i="89" a="1"/>
  <c r="L254" i="89" a="1"/>
  <c r="R225" i="89" l="1"/>
  <c r="R252" i="89"/>
  <c r="R63" i="89"/>
  <c r="L254" i="89"/>
  <c r="K254" i="89" a="1"/>
  <c r="K254" i="89" l="1"/>
  <c r="AH254" i="89" s="1"/>
  <c r="M254" i="89"/>
  <c r="I254" i="89"/>
  <c r="F254" i="89" a="1"/>
  <c r="F254" i="89" l="1"/>
  <c r="N254" i="89" a="1"/>
  <c r="N254" i="89" l="1"/>
  <c r="P254" i="89" l="1"/>
  <c r="Q254" i="89" s="1"/>
  <c r="AI254" i="89"/>
  <c r="AE253" i="89"/>
  <c r="S254" i="89" a="1"/>
  <c r="S254" i="89" l="1"/>
  <c r="R254" i="89" a="1"/>
  <c r="R254" i="89" l="1"/>
  <c r="AC254" i="89"/>
  <c r="Y254" i="89"/>
  <c r="U254" i="89"/>
  <c r="J254" i="89"/>
  <c r="W253" i="89" a="1"/>
  <c r="W253" i="89" l="1"/>
  <c r="L253" i="89" a="1"/>
  <c r="L253" i="89" l="1"/>
  <c r="K253" i="89" a="1"/>
  <c r="K253" i="89" l="1"/>
  <c r="AH253" i="89" s="1"/>
  <c r="M253" i="89"/>
  <c r="I253" i="89"/>
  <c r="F253" i="89" a="1"/>
  <c r="F253" i="89" l="1"/>
  <c r="N253" i="89" a="1"/>
  <c r="N253" i="89" l="1"/>
  <c r="P253" i="89" l="1"/>
  <c r="Q253" i="89" s="1"/>
  <c r="AI253" i="89"/>
  <c r="AE252" i="89"/>
  <c r="AC253" i="89" l="1"/>
  <c r="Y253" i="89"/>
  <c r="U253" i="89"/>
  <c r="J253" i="89"/>
  <c r="W252" i="89" a="1"/>
  <c r="W252" i="89" l="1"/>
  <c r="L252" i="89" a="1"/>
  <c r="L252" i="89" l="1"/>
  <c r="K252" i="89" a="1"/>
  <c r="K252" i="89" l="1"/>
  <c r="AH252" i="89" s="1"/>
  <c r="M252" i="89"/>
  <c r="I252" i="89"/>
  <c r="F252" i="89" a="1"/>
  <c r="F252" i="89" l="1"/>
  <c r="N252" i="89" a="1"/>
  <c r="N252" i="89" l="1"/>
  <c r="P252" i="89" l="1"/>
  <c r="Q252" i="89" s="1"/>
  <c r="AI252" i="89"/>
  <c r="A252" i="89"/>
  <c r="AE251" i="89"/>
  <c r="AC252" i="89" l="1"/>
  <c r="Y252" i="89"/>
  <c r="U252" i="89"/>
  <c r="J252" i="89"/>
  <c r="W251" i="89" a="1"/>
  <c r="W251" i="89" l="1"/>
  <c r="L251" i="89" a="1"/>
  <c r="L251" i="89" l="1"/>
  <c r="K251" i="89" a="1"/>
  <c r="K251" i="89" l="1"/>
  <c r="AH251" i="89" s="1"/>
  <c r="I251" i="89"/>
  <c r="F251" i="89" a="1"/>
  <c r="M251" i="89" l="1"/>
  <c r="F251" i="89"/>
  <c r="N251" i="89" a="1"/>
  <c r="N251" i="89" l="1"/>
  <c r="P251" i="89" l="1"/>
  <c r="Q251" i="89" s="1"/>
  <c r="AI251" i="89"/>
  <c r="A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M250" i="89"/>
  <c r="I250" i="89"/>
  <c r="F250" i="89" a="1"/>
  <c r="F250" i="89" l="1"/>
  <c r="N250" i="89" a="1"/>
  <c r="N250" i="89" l="1"/>
  <c r="P250" i="89" l="1"/>
  <c r="Q250" i="89" s="1"/>
  <c r="AI250" i="89"/>
  <c r="A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AI249" i="89"/>
  <c r="AI256" i="89" s="1"/>
  <c r="A249" i="89"/>
  <c r="I248" i="89"/>
  <c r="S249" i="89" a="1"/>
  <c r="S249" i="89" l="1"/>
  <c r="P256" i="89"/>
  <c r="Q249" i="89"/>
  <c r="R249" i="89" a="1"/>
  <c r="R249" i="89" l="1"/>
  <c r="AC249" i="89"/>
  <c r="Y249" i="89"/>
  <c r="U249" i="89"/>
  <c r="J249" i="89"/>
  <c r="Y258" i="89" l="1"/>
  <c r="Y259" i="89" s="1"/>
  <c r="W243" i="89" a="1"/>
  <c r="W243" i="89" l="1"/>
  <c r="L243" i="89" a="1"/>
  <c r="L243" i="89" l="1"/>
  <c r="K243" i="89" a="1"/>
  <c r="K243" i="89" l="1"/>
  <c r="M243" i="89" s="1"/>
  <c r="I243" i="89"/>
  <c r="H243" i="89"/>
  <c r="F243" i="89" a="1"/>
  <c r="F243" i="89" l="1"/>
  <c r="AE243" i="89"/>
  <c r="N243" i="89" a="1"/>
  <c r="N243" i="89" l="1"/>
  <c r="D243" i="89"/>
  <c r="P243" i="89" l="1"/>
  <c r="Q243" i="89" s="1"/>
  <c r="AE242" i="89"/>
  <c r="AC243" i="89" l="1"/>
  <c r="Y243" i="89"/>
  <c r="U243" i="89"/>
  <c r="J243" i="89"/>
  <c r="W242" i="89" a="1"/>
  <c r="W242" i="89" l="1"/>
  <c r="L242" i="89" a="1"/>
  <c r="L242" i="89" l="1"/>
  <c r="K242" i="89" a="1"/>
  <c r="K242" i="89" l="1"/>
  <c r="K245" i="89" s="1"/>
  <c r="M242" i="89"/>
  <c r="I242" i="89"/>
  <c r="F242" i="89" a="1"/>
  <c r="F242" i="89" l="1"/>
  <c r="I244" i="89"/>
  <c r="I245" i="89"/>
  <c r="N242" i="89" a="1"/>
  <c r="N242" i="89" l="1"/>
  <c r="D242" i="89"/>
  <c r="P242" i="89" l="1"/>
  <c r="Q242" i="89" s="1"/>
  <c r="AE235" i="89"/>
  <c r="AC242" i="89" l="1"/>
  <c r="Y242" i="89"/>
  <c r="U242" i="89"/>
  <c r="J242" i="89"/>
  <c r="M235" i="89" l="1"/>
  <c r="I235" i="89"/>
  <c r="AA235" i="89" a="1"/>
  <c r="N235" i="89" a="1"/>
  <c r="AA235" i="89" l="1"/>
  <c r="N235" i="89"/>
  <c r="P235" i="89"/>
  <c r="Q235" i="89" s="1"/>
  <c r="AE234" i="89"/>
  <c r="S235" i="89" a="1"/>
  <c r="S235" i="89" l="1"/>
  <c r="R235" i="89" a="1"/>
  <c r="R235" i="89" l="1"/>
  <c r="AC235" i="89"/>
  <c r="Y235" i="89"/>
  <c r="U235" i="89"/>
  <c r="J235" i="89"/>
  <c r="A235" i="89" l="1"/>
  <c r="D235" i="89"/>
  <c r="M234" i="89" l="1"/>
  <c r="I234" i="89"/>
  <c r="AA234" i="89" a="1"/>
  <c r="N234" i="89" a="1"/>
  <c r="AA234" i="89" l="1"/>
  <c r="N234" i="89"/>
  <c r="AE233" i="89"/>
  <c r="P234" i="89" l="1"/>
  <c r="Q234" i="89" s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F233" i="89"/>
  <c r="I239" i="89"/>
  <c r="M233" i="89"/>
  <c r="N233" i="89" a="1"/>
  <c r="N233" i="89" l="1"/>
  <c r="S233" i="89" a="1"/>
  <c r="P233" i="89" l="1"/>
  <c r="Q233" i="89" s="1"/>
  <c r="S233" i="89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Q223" i="89" l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P226" i="89" l="1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 l="1"/>
  <c r="Q213" i="89" s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S212" i="89" a="1"/>
  <c r="P212" i="89" l="1"/>
  <c r="Q212" i="89" s="1"/>
  <c r="S212" i="89"/>
  <c r="R212" i="89" a="1"/>
  <c r="R212" i="89" l="1"/>
  <c r="AC212" i="89"/>
  <c r="Y212" i="89"/>
  <c r="U212" i="89"/>
  <c r="J212" i="89"/>
  <c r="K216" i="89" l="1"/>
  <c r="M211" i="89"/>
  <c r="I211" i="89"/>
  <c r="H211" i="89"/>
  <c r="AA211" i="89" a="1"/>
  <c r="AA211" i="89" l="1"/>
  <c r="K217" i="89"/>
  <c r="I215" i="89"/>
  <c r="M218" i="89" s="1"/>
  <c r="I217" i="89"/>
  <c r="I219" i="89" s="1"/>
  <c r="N211" i="89" a="1"/>
  <c r="N211" i="89" l="1"/>
  <c r="W210" i="89"/>
  <c r="I210" i="89"/>
  <c r="S211" i="89" a="1"/>
  <c r="P211" i="89" l="1"/>
  <c r="P215" i="89" s="1"/>
  <c r="S211" i="89"/>
  <c r="R211" i="89" a="1"/>
  <c r="R211" i="89" l="1"/>
  <c r="Q215" i="89"/>
  <c r="C217" i="89"/>
  <c r="Q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N205" i="89" a="1"/>
  <c r="N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F204" i="89" a="1"/>
  <c r="F204" i="89" l="1"/>
  <c r="N204" i="89" a="1"/>
  <c r="N204" i="89" l="1"/>
  <c r="P204" i="89" l="1"/>
  <c r="Q204" i="89" s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M203" i="89"/>
  <c r="I203" i="89"/>
  <c r="H203" i="89"/>
  <c r="F203" i="89" a="1"/>
  <c r="F203" i="89" l="1"/>
  <c r="AE203" i="89"/>
  <c r="I206" i="89"/>
  <c r="I208" i="89"/>
  <c r="N203" i="89" a="1"/>
  <c r="N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I197" i="89"/>
  <c r="H197" i="89"/>
  <c r="F197" i="89" a="1"/>
  <c r="F197" i="89" l="1"/>
  <c r="AE197" i="89"/>
  <c r="N197" i="89" a="1"/>
  <c r="N197" i="89" l="1"/>
  <c r="P197" i="89" l="1"/>
  <c r="Q197" i="89" s="1"/>
  <c r="AE196" i="89"/>
  <c r="S197" i="89" a="1"/>
  <c r="S197" i="89" l="1"/>
  <c r="R197" i="89" a="1"/>
  <c r="R197" i="89" l="1"/>
  <c r="AC197" i="89"/>
  <c r="Y197" i="89"/>
  <c r="U197" i="89"/>
  <c r="J197" i="89"/>
  <c r="W196" i="89" a="1"/>
  <c r="W196" i="89" l="1"/>
  <c r="L196" i="89" a="1"/>
  <c r="L196" i="89" l="1"/>
  <c r="K196" i="89" a="1"/>
  <c r="K196" i="89" l="1"/>
  <c r="K198" i="89"/>
  <c r="M196" i="89"/>
  <c r="I196" i="89"/>
  <c r="F196" i="89" a="1"/>
  <c r="F196" i="89" l="1"/>
  <c r="N196" i="89" a="1"/>
  <c r="N196" i="89" l="1"/>
  <c r="P196" i="89" l="1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I195" i="89"/>
  <c r="H195" i="89"/>
  <c r="F195" i="89" a="1"/>
  <c r="M195" i="89" l="1"/>
  <c r="F195" i="89"/>
  <c r="I200" i="89"/>
  <c r="I198" i="89"/>
  <c r="AE195" i="89"/>
  <c r="N195" i="89" a="1"/>
  <c r="N195" i="89" l="1"/>
  <c r="P195" i="89" s="1"/>
  <c r="P198" i="89" l="1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P188" i="89" l="1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89" i="89"/>
  <c r="I191" i="89"/>
  <c r="N186" i="89"/>
  <c r="D186" i="89"/>
  <c r="P186" i="89" l="1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P180" i="89" l="1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P179" i="89" l="1"/>
  <c r="S179" i="89" a="1"/>
  <c r="S179" i="89" l="1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AE178" i="89"/>
  <c r="I183" i="89"/>
  <c r="I181" i="89"/>
  <c r="N178" i="89" a="1"/>
  <c r="N178" i="89" l="1"/>
  <c r="D178" i="89"/>
  <c r="P178" i="89" l="1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P171" i="89" l="1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P170" i="89" l="1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M169" i="89" l="1"/>
  <c r="I169" i="89"/>
  <c r="F169" i="89"/>
  <c r="AE169" i="89"/>
  <c r="AA169" i="89" a="1"/>
  <c r="N169" i="89" a="1"/>
  <c r="AA169" i="89" l="1"/>
  <c r="I174" i="89"/>
  <c r="I172" i="89"/>
  <c r="N169" i="89"/>
  <c r="D169" i="89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K162" i="89"/>
  <c r="L164" i="89"/>
  <c r="M160" i="89"/>
  <c r="I160" i="89"/>
  <c r="I162" i="89" l="1"/>
  <c r="I163" i="89" s="1"/>
  <c r="P160" i="89"/>
  <c r="Q160" i="89" s="1"/>
  <c r="Q162" i="89" s="1"/>
  <c r="K164" i="89"/>
  <c r="K163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P154" i="89"/>
  <c r="Q154" i="89" s="1"/>
  <c r="AG153" i="89" l="1"/>
  <c r="S154" i="89" a="1"/>
  <c r="AB154" i="89" a="1"/>
  <c r="AB154" i="89" l="1"/>
  <c r="S154" i="89"/>
  <c r="R154" i="89" a="1"/>
  <c r="R154" i="89" l="1"/>
  <c r="AC154" i="89"/>
  <c r="Y154" i="89"/>
  <c r="U154" i="89"/>
  <c r="J154" i="89"/>
  <c r="T155" i="89" l="1"/>
  <c r="M153" i="89" l="1"/>
  <c r="L157" i="89"/>
  <c r="L166" i="89" s="1"/>
  <c r="K155" i="89"/>
  <c r="I153" i="89"/>
  <c r="AA153" i="89" a="1"/>
  <c r="AA153" i="89" l="1"/>
  <c r="I155" i="89"/>
  <c r="I156" i="89" s="1"/>
  <c r="K157" i="89"/>
  <c r="K166" i="89" s="1"/>
  <c r="K156" i="89"/>
  <c r="N153" i="89" a="1"/>
  <c r="N153" i="89" l="1"/>
  <c r="P153" i="89"/>
  <c r="Q153" i="89" s="1"/>
  <c r="Q155" i="89" s="1"/>
  <c r="Q165" i="89" s="1"/>
  <c r="Z152" i="89" l="1"/>
  <c r="S153" i="89" a="1"/>
  <c r="AB153" i="89" a="1"/>
  <c r="AB153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G102" i="89" l="1"/>
  <c r="P102" i="89"/>
  <c r="Q102" i="89" s="1"/>
  <c r="AG101" i="89" l="1"/>
  <c r="S102" i="89" a="1"/>
  <c r="S102" i="89" l="1"/>
  <c r="R102" i="89" a="1"/>
  <c r="R102" i="89" l="1"/>
  <c r="AC102" i="89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H82" i="89"/>
  <c r="I82" i="89" l="1"/>
  <c r="AE82" i="89"/>
  <c r="AA82" i="89" a="1"/>
  <c r="AA82" i="89" l="1"/>
  <c r="P82" i="89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S81" i="89" a="1"/>
  <c r="N81" i="89" a="1"/>
  <c r="N81" i="89" l="1"/>
  <c r="S81" i="89"/>
  <c r="Z81" i="89" a="1"/>
  <c r="R81" i="89" a="1"/>
  <c r="Z81" i="89" l="1"/>
  <c r="R81" i="89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H76" i="89"/>
  <c r="Z76" i="89" a="1"/>
  <c r="AA76" i="89" a="1"/>
  <c r="Z76" i="89" l="1"/>
  <c r="AA76" i="89"/>
  <c r="AE76" i="89"/>
  <c r="P76" i="89"/>
  <c r="Q76" i="89" s="1"/>
  <c r="AE75" i="89" l="1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S68" i="89" a="1"/>
  <c r="N68" i="89" a="1"/>
  <c r="N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P63" i="89"/>
  <c r="Q63" i="89" s="1"/>
  <c r="Z63" i="89" a="1"/>
  <c r="Z63" i="89" l="1"/>
  <c r="AE62" i="89"/>
  <c r="AC63" i="89" l="1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G57" i="89"/>
  <c r="I60" i="89"/>
  <c r="I58" i="89"/>
  <c r="P55" i="89" l="1"/>
  <c r="Q55" i="89" s="1"/>
  <c r="Q57" i="89" s="1"/>
  <c r="P54" i="89" l="1"/>
  <c r="A51" i="89"/>
  <c r="S55" i="89" a="1"/>
  <c r="S55" i="89" l="1"/>
  <c r="R55" i="89" a="1"/>
  <c r="R55" i="89" l="1"/>
  <c r="AC55" i="89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N50" i="89" a="1"/>
  <c r="AA50" i="89" l="1"/>
  <c r="N50" i="89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P49" i="89"/>
  <c r="Q49" i="89" s="1"/>
  <c r="Q51" i="89" s="1"/>
  <c r="I48" i="89" l="1"/>
  <c r="P47" i="89"/>
  <c r="L46" i="89"/>
  <c r="K46" i="89"/>
  <c r="AE40" i="89"/>
  <c r="S49" i="89" a="1"/>
  <c r="S49" i="89" l="1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/>
  <c r="Q40" i="89" s="1"/>
  <c r="AE39" i="89" l="1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M34" i="89" s="1"/>
  <c r="I34" i="89"/>
  <c r="H34" i="89"/>
  <c r="AA34" i="89" a="1"/>
  <c r="F34" i="89" a="1"/>
  <c r="AA34" i="89" l="1"/>
  <c r="F34" i="89"/>
  <c r="AE34" i="89"/>
  <c r="N34" i="89" a="1"/>
  <c r="N34" i="89" l="1"/>
  <c r="P34" i="89"/>
  <c r="Q34" i="89" s="1"/>
  <c r="AE33" i="89" l="1"/>
  <c r="S34" i="89" a="1"/>
  <c r="S34" i="89" l="1"/>
  <c r="R34" i="89" a="1"/>
  <c r="R34" i="89" l="1"/>
  <c r="AC34" i="89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F33" i="89" a="1"/>
  <c r="I33" i="89" l="1"/>
  <c r="M33" i="89"/>
  <c r="F33" i="89"/>
  <c r="K44" i="89"/>
  <c r="L44" i="89"/>
  <c r="K43" i="89"/>
  <c r="AA33" i="89" a="1"/>
  <c r="N33" i="89" a="1"/>
  <c r="AA33" i="89" l="1"/>
  <c r="I35" i="89"/>
  <c r="I36" i="89" s="1"/>
  <c r="K37" i="89"/>
  <c r="N33" i="89"/>
  <c r="P33" i="89" l="1"/>
  <c r="P36" i="89" l="1"/>
  <c r="Q33" i="89"/>
  <c r="Q35" i="89" s="1"/>
  <c r="S33" i="89"/>
  <c r="R33" i="89" s="1" a="1"/>
  <c r="R33" i="89" l="1"/>
  <c r="AC33" i="89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/>
  <c r="I27" i="89"/>
  <c r="H27" i="89"/>
  <c r="F27" i="89" a="1"/>
  <c r="F27" i="89" l="1"/>
  <c r="AE27" i="89"/>
  <c r="N27" i="89" a="1"/>
  <c r="N27" i="89" l="1"/>
  <c r="P27" i="89" l="1"/>
  <c r="Q27" i="89" s="1"/>
  <c r="A27" i="89" l="1"/>
  <c r="AE26" i="89"/>
  <c r="S27" i="89" a="1"/>
  <c r="AB27" i="89" a="1"/>
  <c r="AB27" i="89" l="1"/>
  <c r="S27" i="89"/>
  <c r="R27" i="89" a="1"/>
  <c r="R27" i="89" l="1"/>
  <c r="AC27" i="89"/>
  <c r="Y27" i="89"/>
  <c r="U27" i="89"/>
  <c r="J27" i="89"/>
  <c r="T28" i="89" l="1"/>
  <c r="L30" i="89" l="1"/>
  <c r="K28" i="89"/>
  <c r="M26" i="89"/>
  <c r="I26" i="89"/>
  <c r="AA26" i="89" a="1"/>
  <c r="AA26" i="89" l="1"/>
  <c r="I28" i="89"/>
  <c r="K31" i="89"/>
  <c r="K30" i="89"/>
  <c r="K29" i="89"/>
  <c r="N26" i="89" a="1"/>
  <c r="N26" i="89" l="1"/>
  <c r="I29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N20" i="89" a="1"/>
  <c r="AA20" i="89" l="1"/>
  <c r="I23" i="89"/>
  <c r="N20" i="89"/>
  <c r="P20" i="89"/>
  <c r="Q20" i="89" s="1"/>
  <c r="AJ19" i="89" l="1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N19" i="89"/>
  <c r="AC19" i="89"/>
  <c r="Y19" i="89"/>
  <c r="U19" i="89"/>
  <c r="J19" i="89"/>
  <c r="P19" i="89" l="1"/>
  <c r="Y21" i="89"/>
  <c r="Y22" i="89" s="1"/>
  <c r="P22" i="89" l="1"/>
  <c r="P23" i="89" s="1"/>
  <c r="Q19" i="89"/>
  <c r="Q21" i="89" s="1"/>
  <c r="W14" i="89" a="1"/>
  <c r="W14" i="89" l="1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 s="1"/>
  <c r="Q14" i="89" s="1"/>
  <c r="AF13" i="89" l="1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N13" i="89" a="1"/>
  <c r="N13" i="89" l="1"/>
  <c r="P13" i="89"/>
  <c r="P16" i="89" l="1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H8" i="89"/>
  <c r="F8" i="89" a="1"/>
  <c r="I8" i="89" l="1"/>
  <c r="F8" i="89"/>
  <c r="AF8" i="89"/>
  <c r="AE8" i="89"/>
  <c r="AA8" i="89" a="1"/>
  <c r="N8" i="89" a="1"/>
  <c r="AA8" i="89" l="1"/>
  <c r="N8" i="89"/>
  <c r="P8" i="89"/>
  <c r="Q8" i="89" s="1"/>
  <c r="AF7" i="89" l="1"/>
  <c r="AE7" i="89"/>
  <c r="AC8" i="89" l="1"/>
  <c r="Y8" i="89"/>
  <c r="U8" i="89"/>
  <c r="J8" i="89"/>
  <c r="W7" i="89" a="1"/>
  <c r="W7" i="89" l="1"/>
  <c r="T9" i="89" l="1"/>
  <c r="L7" i="89" a="1"/>
  <c r="L7" i="89" l="1"/>
  <c r="K7" i="89" a="1"/>
  <c r="K7" i="89" l="1"/>
  <c r="M7" i="89" s="1"/>
  <c r="L11" i="89"/>
  <c r="K9" i="89"/>
  <c r="I7" i="89"/>
  <c r="AA7" i="89" a="1"/>
  <c r="F7" i="89" a="1"/>
  <c r="AA7" i="89" l="1"/>
  <c r="F7" i="89"/>
  <c r="I9" i="89"/>
  <c r="I10" i="89" s="1"/>
  <c r="K11" i="89"/>
  <c r="K10" i="89"/>
  <c r="K18" i="89" s="1"/>
  <c r="N7" i="89" a="1"/>
  <c r="N7" i="89" l="1"/>
  <c r="P7" i="89"/>
  <c r="P10" i="89" l="1"/>
  <c r="Q7" i="89"/>
  <c r="Q9" i="89" s="1"/>
  <c r="Q11" i="89" s="1"/>
  <c r="K5" i="89"/>
  <c r="H51" i="2"/>
  <c r="H50" i="2"/>
  <c r="H49" i="2"/>
  <c r="H48" i="2"/>
  <c r="J46" i="2"/>
  <c r="J45" i="2"/>
  <c r="J44" i="2"/>
  <c r="J43" i="2"/>
  <c r="J42" i="2"/>
  <c r="J41" i="2"/>
  <c r="J40" i="2"/>
  <c r="J39" i="2"/>
  <c r="L35" i="2"/>
  <c r="K35" i="2"/>
  <c r="J35" i="2"/>
  <c r="I35" i="2"/>
  <c r="BA32" i="2"/>
  <c r="S7" i="89" a="1"/>
  <c r="J48" i="2" l="1"/>
  <c r="I48" i="2" s="1"/>
  <c r="J51" i="2"/>
  <c r="I51" i="2" s="1"/>
  <c r="J49" i="2"/>
  <c r="I49" i="2" s="1"/>
  <c r="J50" i="2"/>
  <c r="I50" i="2" s="1"/>
  <c r="S7" i="89"/>
  <c r="Q5" i="89"/>
  <c r="R7" i="89" a="1"/>
  <c r="R7" i="89" l="1"/>
  <c r="AC7" i="89"/>
  <c r="Y7" i="89"/>
  <c r="U7" i="89"/>
  <c r="J7" i="89"/>
  <c r="J11" i="89" s="1"/>
  <c r="Y9" i="89" l="1"/>
  <c r="AN32" i="2" a="1"/>
  <c r="AN32" i="2" l="1"/>
  <c r="Y10" i="89"/>
  <c r="P11" i="89"/>
  <c r="AF32" i="2" a="1"/>
  <c r="AF32" i="2" l="1"/>
  <c r="Q32" i="2" a="1"/>
  <c r="Q32" i="2" l="1"/>
  <c r="P32" i="2" a="1"/>
  <c r="P32" i="2" l="1"/>
  <c r="R32" i="2" s="1"/>
  <c r="L32" i="2" a="1"/>
  <c r="L32" i="2" l="1"/>
  <c r="BB32" i="2"/>
  <c r="BC32" i="2" s="1"/>
  <c r="G32" i="2" a="1"/>
  <c r="G32" i="2" l="1"/>
  <c r="O32" i="2"/>
  <c r="S32" i="2" a="1"/>
  <c r="S32" i="2" l="1"/>
  <c r="AO32" i="2"/>
  <c r="AP32" i="2"/>
  <c r="U32" i="2"/>
  <c r="Z32" i="2"/>
  <c r="AV32" i="2" s="1" a="1"/>
  <c r="AV32" i="2" l="1"/>
  <c r="AE32" i="2"/>
  <c r="AS32" i="2"/>
  <c r="AT32" i="2"/>
  <c r="AL32" i="2"/>
  <c r="AB32" i="2"/>
  <c r="M32" i="2"/>
  <c r="AM32" i="2" l="1"/>
  <c r="X32" i="2"/>
  <c r="Y32" i="2" s="1"/>
  <c r="BA31" i="2" l="1"/>
  <c r="AN31" i="2" a="1"/>
  <c r="AN31" i="2" l="1"/>
  <c r="AF31" i="2" a="1"/>
  <c r="AF31" i="2" l="1"/>
  <c r="Q31" i="2" a="1"/>
  <c r="Q31" i="2" l="1"/>
  <c r="P31" i="2" a="1"/>
  <c r="P31" i="2" l="1"/>
  <c r="R31" i="2" s="1"/>
  <c r="L31" i="2" a="1"/>
  <c r="L31" i="2" l="1"/>
  <c r="BB31" i="2"/>
  <c r="BC31" i="2" s="1"/>
  <c r="G31" i="2" a="1"/>
  <c r="G31" i="2" l="1"/>
  <c r="O31" i="2"/>
  <c r="S31" i="2" a="1"/>
  <c r="S31" i="2" l="1"/>
  <c r="AO31" i="2" s="1"/>
  <c r="AP31" i="2"/>
  <c r="Z31" i="2"/>
  <c r="AV31" i="2" s="1" a="1"/>
  <c r="AV31" i="2" l="1"/>
  <c r="U31" i="2"/>
  <c r="AE31" i="2"/>
  <c r="AT31" i="2"/>
  <c r="AS31" i="2"/>
  <c r="AL31" i="2"/>
  <c r="AB31" i="2"/>
  <c r="M31" i="2"/>
  <c r="BA30" i="2"/>
  <c r="AM31" i="2" l="1"/>
  <c r="X31" i="2"/>
  <c r="Y31" i="2" s="1"/>
  <c r="AN30" i="2" a="1"/>
  <c r="AN30" i="2" l="1"/>
  <c r="AF30" i="2" a="1"/>
  <c r="AF30" i="2" l="1"/>
  <c r="Q30" i="2" a="1"/>
  <c r="Q30" i="2" l="1"/>
  <c r="P30" i="2" a="1"/>
  <c r="P30" i="2" l="1"/>
  <c r="R30" i="2" s="1"/>
  <c r="L30" i="2" a="1"/>
  <c r="L30" i="2" l="1"/>
  <c r="BB30" i="2"/>
  <c r="BC30" i="2" s="1"/>
  <c r="G30" i="2" a="1"/>
  <c r="G30" i="2" l="1"/>
  <c r="O30" i="2"/>
  <c r="S30" i="2" a="1"/>
  <c r="S30" i="2" l="1"/>
  <c r="AO30" i="2" s="1"/>
  <c r="AP30" i="2"/>
  <c r="U30" i="2"/>
  <c r="Z30" i="2"/>
  <c r="AV30" i="2" s="1" a="1"/>
  <c r="AV30" i="2" l="1"/>
  <c r="AE30" i="2"/>
  <c r="AT30" i="2"/>
  <c r="AS30" i="2"/>
  <c r="AL30" i="2"/>
  <c r="AB30" i="2"/>
  <c r="M30" i="2"/>
  <c r="BA24" i="2"/>
  <c r="AM30" i="2" l="1"/>
  <c r="X30" i="2"/>
  <c r="Y30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BB24" i="2"/>
  <c r="BC24" i="2" s="1"/>
  <c r="G24" i="2" a="1"/>
  <c r="G24" i="2" l="1"/>
  <c r="O24" i="2"/>
  <c r="S24" i="2" a="1"/>
  <c r="S24" i="2" l="1"/>
  <c r="AO24" i="2"/>
  <c r="AP24" i="2"/>
  <c r="U24" i="2"/>
  <c r="AC24" i="2" a="1"/>
  <c r="Z24" i="2"/>
  <c r="AV24" i="2" s="1" a="1"/>
  <c r="AQ24" i="2" a="1"/>
  <c r="AV24" i="2" l="1"/>
  <c r="AQ24" i="2"/>
  <c r="AC24" i="2"/>
  <c r="AE24" i="2" s="1"/>
  <c r="AS24" i="2"/>
  <c r="AT24" i="2"/>
  <c r="AM24" i="2"/>
  <c r="AL24" i="2"/>
  <c r="X24" i="2"/>
  <c r="Y24" i="2" s="1"/>
  <c r="AB24" i="2"/>
  <c r="M24" i="2"/>
  <c r="BA23" i="2" l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BB23" i="2"/>
  <c r="BC23" i="2" s="1"/>
  <c r="G23" i="2" a="1"/>
  <c r="G23" i="2" l="1"/>
  <c r="O23" i="2"/>
  <c r="S23" i="2" a="1"/>
  <c r="S23" i="2" l="1"/>
  <c r="AO23" i="2" s="1"/>
  <c r="AP23" i="2"/>
  <c r="Z23" i="2"/>
  <c r="AV23" i="2" s="1" a="1"/>
  <c r="AV23" i="2" l="1"/>
  <c r="U23" i="2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BB22" i="2"/>
  <c r="BC22" i="2" s="1"/>
  <c r="G22" i="2" a="1"/>
  <c r="G22" i="2" l="1"/>
  <c r="O22" i="2"/>
  <c r="S22" i="2" a="1"/>
  <c r="S22" i="2" l="1"/>
  <c r="AO22" i="2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BB21" i="2"/>
  <c r="BC21" i="2" s="1"/>
  <c r="G21" i="2" a="1"/>
  <c r="G21" i="2" l="1"/>
  <c r="O21" i="2"/>
  <c r="S21" i="2" a="1"/>
  <c r="S21" i="2" l="1"/>
  <c r="AO21" i="2" s="1"/>
  <c r="AP21" i="2"/>
  <c r="U21" i="2"/>
  <c r="Z21" i="2"/>
  <c r="AV21" i="2" s="1" a="1"/>
  <c r="AV21" i="2" l="1"/>
  <c r="AE21" i="2"/>
  <c r="AT21" i="2"/>
  <c r="AS21" i="2"/>
  <c r="AL21" i="2"/>
  <c r="AB21" i="2"/>
  <c r="M21" i="2"/>
  <c r="BA19" i="2"/>
  <c r="AM21" i="2" l="1"/>
  <c r="X21" i="2"/>
  <c r="Y21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BB19" i="2"/>
  <c r="BC19" i="2" s="1"/>
  <c r="G19" i="2" a="1"/>
  <c r="G19" i="2" l="1"/>
  <c r="O19" i="2"/>
  <c r="S19" i="2" a="1"/>
  <c r="S19" i="2" l="1"/>
  <c r="AO19" i="2" s="1"/>
  <c r="AP19" i="2"/>
  <c r="U19" i="2"/>
  <c r="AE19" i="2" l="1"/>
  <c r="AT19" i="2"/>
  <c r="AS19" i="2"/>
  <c r="AL19" i="2"/>
  <c r="AB19" i="2"/>
  <c r="M19" i="2"/>
  <c r="BA16" i="2"/>
  <c r="T24" i="1" l="1"/>
  <c r="AM19" i="2"/>
  <c r="X19" i="2"/>
  <c r="Y19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BB16" i="2"/>
  <c r="BC16" i="2" s="1"/>
  <c r="G16" i="2" a="1"/>
  <c r="G16" i="2" l="1"/>
  <c r="O16" i="2"/>
  <c r="S16" i="2" a="1"/>
  <c r="S16" i="2" l="1"/>
  <c r="U16" i="2" s="1"/>
  <c r="AP16" i="2" l="1"/>
  <c r="AO16" i="2"/>
  <c r="AE16" i="2"/>
  <c r="AT16" i="2"/>
  <c r="AS16" i="2"/>
  <c r="AL16" i="2"/>
  <c r="AB16" i="2"/>
  <c r="M16" i="2"/>
  <c r="AM16" i="2" l="1"/>
  <c r="X16" i="2"/>
  <c r="Y16" i="2" s="1"/>
  <c r="BA15" i="2" l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BB15" i="2"/>
  <c r="BC15" i="2" s="1"/>
  <c r="G15" i="2" a="1"/>
  <c r="G15" i="2" l="1"/>
  <c r="O15" i="2"/>
  <c r="S15" i="2" a="1"/>
  <c r="S15" i="2" l="1"/>
  <c r="AO15" i="2" s="1"/>
  <c r="Z15" i="2"/>
  <c r="AV15" i="2" s="1" a="1"/>
  <c r="AV15" i="2" l="1"/>
  <c r="U15" i="2"/>
  <c r="AP15" i="2"/>
  <c r="AE15" i="2"/>
  <c r="AT15" i="2"/>
  <c r="AS15" i="2"/>
  <c r="AL15" i="2"/>
  <c r="AB15" i="2"/>
  <c r="M15" i="2"/>
  <c r="BA14" i="2"/>
  <c r="T38" i="1" l="1"/>
  <c r="AM15" i="2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BB14" i="2"/>
  <c r="BC14" i="2" s="1"/>
  <c r="G14" i="2" a="1"/>
  <c r="G14" i="2" l="1"/>
  <c r="O14" i="2"/>
  <c r="S14" i="2" a="1"/>
  <c r="S14" i="2" l="1"/>
  <c r="AO14" i="2" s="1"/>
  <c r="Z14" i="2"/>
  <c r="AV14" i="2" s="1" a="1"/>
  <c r="AV14" i="2" l="1"/>
  <c r="U14" i="2"/>
  <c r="AP14" i="2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BB13" i="2"/>
  <c r="BC13" i="2" s="1"/>
  <c r="G13" i="2" a="1"/>
  <c r="G13" i="2" l="1"/>
  <c r="O13" i="2"/>
  <c r="S13" i="2" a="1"/>
  <c r="S13" i="2" l="1"/>
  <c r="AO13" i="2"/>
  <c r="AP13" i="2"/>
  <c r="U13" i="2"/>
  <c r="Z13" i="2"/>
  <c r="AV13" i="2" s="1" a="1"/>
  <c r="AV13" i="2" l="1"/>
  <c r="AE13" i="2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BB12" i="2"/>
  <c r="BC12" i="2" s="1"/>
  <c r="G12" i="2" a="1"/>
  <c r="G12" i="2" l="1"/>
  <c r="O12" i="2"/>
  <c r="S12" i="2" a="1"/>
  <c r="S12" i="2" l="1"/>
  <c r="AO12" i="2" s="1"/>
  <c r="AP12" i="2"/>
  <c r="Z12" i="2"/>
  <c r="AV12" i="2" s="1" a="1"/>
  <c r="AV12" i="2" l="1"/>
  <c r="U12" i="2"/>
  <c r="AE12" i="2"/>
  <c r="AT12" i="2"/>
  <c r="AS12" i="2"/>
  <c r="AL12" i="2"/>
  <c r="AB12" i="2"/>
  <c r="M12" i="2"/>
  <c r="BA10" i="2"/>
  <c r="AM12" i="2" l="1"/>
  <c r="X12" i="2"/>
  <c r="Y12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BB10" i="2"/>
  <c r="BC10" i="2" s="1"/>
  <c r="G10" i="2" a="1"/>
  <c r="G10" i="2" l="1"/>
  <c r="O10" i="2"/>
  <c r="S10" i="2" a="1"/>
  <c r="S10" i="2" l="1"/>
  <c r="AO10" i="2" s="1"/>
  <c r="AP10" i="2"/>
  <c r="U10" i="2"/>
  <c r="AE10" i="2" l="1"/>
  <c r="AS10" i="2"/>
  <c r="AT10" i="2"/>
  <c r="AL10" i="2"/>
  <c r="AB10" i="2"/>
  <c r="M10" i="2"/>
  <c r="T30" i="1" l="1"/>
  <c r="AM10" i="2"/>
  <c r="X10" i="2"/>
  <c r="Y10" i="2" s="1"/>
  <c r="BA8" i="2" l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BB8" i="2"/>
  <c r="BC8" i="2" s="1"/>
  <c r="G8" i="2" a="1"/>
  <c r="G8" i="2" l="1"/>
  <c r="O8" i="2"/>
  <c r="S8" i="2" a="1"/>
  <c r="S8" i="2" l="1"/>
  <c r="U8" i="2" s="1"/>
  <c r="AP8" i="2"/>
  <c r="Z8" i="2"/>
  <c r="AV8" i="2" s="1" a="1"/>
  <c r="AO8" i="2" l="1"/>
  <c r="AV8" i="2"/>
  <c r="AE8" i="2"/>
  <c r="AT8" i="2"/>
  <c r="AS8" i="2"/>
  <c r="AL8" i="2"/>
  <c r="AB8" i="2"/>
  <c r="M8" i="2"/>
  <c r="BA6" i="2"/>
  <c r="AM8" i="2" l="1"/>
  <c r="X8" i="2"/>
  <c r="Y8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BB6" i="2"/>
  <c r="BC6" i="2" s="1"/>
  <c r="G6" i="2" a="1"/>
  <c r="G6" i="2" l="1"/>
  <c r="O6" i="2"/>
  <c r="S6" i="2" a="1"/>
  <c r="S6" i="2" l="1"/>
  <c r="AO6" i="2"/>
  <c r="U6" i="2"/>
  <c r="AP6" i="2"/>
  <c r="Z6" i="2"/>
  <c r="AV6" i="2" s="1" a="1"/>
  <c r="AV6" i="2" l="1"/>
  <c r="AE6" i="2"/>
  <c r="AS6" i="2"/>
  <c r="AT6" i="2"/>
  <c r="AL6" i="2"/>
  <c r="AB6" i="2"/>
  <c r="M6" i="2"/>
  <c r="BA4" i="2"/>
  <c r="T32" i="1" l="1"/>
  <c r="AM6" i="2"/>
  <c r="X6" i="2"/>
  <c r="Y6" i="2" s="1"/>
  <c r="AN4" i="2" a="1"/>
  <c r="AN4" i="2" l="1"/>
  <c r="AF4" i="2" a="1"/>
  <c r="AF4" i="2" l="1"/>
  <c r="Q4" i="2" a="1"/>
  <c r="Q4" i="2" l="1"/>
  <c r="P4" i="2" a="1"/>
  <c r="P4" i="2" l="1"/>
  <c r="R4" i="2" s="1"/>
  <c r="J4" i="2" l="1"/>
  <c r="BB4" i="2" s="1"/>
  <c r="BC4" i="2" s="1"/>
  <c r="G4" i="2" a="1"/>
  <c r="G4" i="2" l="1"/>
  <c r="K4" i="2"/>
  <c r="O4" i="2" s="1"/>
  <c r="S4" i="2" a="1"/>
  <c r="S4" i="2" l="1"/>
  <c r="U4" i="2" s="1"/>
  <c r="AO4" i="2"/>
  <c r="AP4" i="2" l="1"/>
  <c r="AE4" i="2"/>
  <c r="AT4" i="2"/>
  <c r="AS4" i="2"/>
  <c r="AL4" i="2"/>
  <c r="AB4" i="2"/>
  <c r="M4" i="2"/>
  <c r="U2" i="2"/>
  <c r="R2" i="2"/>
  <c r="Q2" i="2" a="1"/>
  <c r="Q2" i="2" l="1"/>
  <c r="S2" i="2" s="1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41" i="1" l="1"/>
  <c r="Q41" i="1"/>
  <c r="N41" i="1" l="1"/>
  <c r="J41" i="1"/>
  <c r="T41" i="1" l="1"/>
  <c r="S40" i="1"/>
  <c r="Q40" i="1"/>
  <c r="N40" i="1" l="1"/>
  <c r="J40" i="1"/>
  <c r="T40" i="1" l="1"/>
  <c r="Q37" i="1" l="1"/>
  <c r="N37" i="1" l="1"/>
  <c r="J37" i="1"/>
  <c r="T37" i="1" l="1"/>
  <c r="S36" i="1"/>
  <c r="Q36" i="1"/>
  <c r="N36" i="1" l="1"/>
  <c r="J36" i="1"/>
  <c r="T36" i="1" l="1"/>
  <c r="Q33" i="1" l="1"/>
  <c r="N33" i="1" l="1"/>
  <c r="J33" i="1"/>
  <c r="T33" i="1" l="1"/>
  <c r="Q31" i="1"/>
  <c r="N31" i="1" l="1"/>
  <c r="J31" i="1"/>
  <c r="T31" i="1" l="1"/>
  <c r="Q29" i="1" l="1"/>
  <c r="N29" i="1" l="1"/>
  <c r="J29" i="1"/>
  <c r="T29" i="1" l="1"/>
  <c r="S28" i="1" l="1"/>
  <c r="Q28" i="1"/>
  <c r="N28" i="1" l="1"/>
  <c r="J28" i="1"/>
  <c r="T28" i="1" l="1"/>
  <c r="S25" i="1"/>
  <c r="Q25" i="1"/>
  <c r="N25" i="1" l="1"/>
  <c r="J25" i="1"/>
  <c r="T25" i="1" l="1"/>
  <c r="Q23" i="1"/>
  <c r="N23" i="1" l="1"/>
  <c r="J23" i="1"/>
  <c r="T23" i="1" l="1"/>
  <c r="Q22" i="1" l="1"/>
  <c r="N22" i="1" l="1"/>
  <c r="J22" i="1"/>
  <c r="T22" i="1" l="1"/>
  <c r="Q15" i="1" l="1"/>
  <c r="I15" i="1" a="1"/>
  <c r="I15" i="1" l="1"/>
  <c r="N15" i="1" l="1"/>
  <c r="J15" i="1"/>
  <c r="T15" i="1" l="1"/>
  <c r="Q14" i="1" l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BD20" i="2" l="1"/>
  <c r="V20" i="2"/>
  <c r="AI20" i="2"/>
  <c r="AK20" i="2"/>
  <c r="W20" i="2"/>
  <c r="BD7" i="2"/>
  <c r="V7" i="2"/>
  <c r="AK7" i="2"/>
  <c r="W7" i="2"/>
  <c r="AI7" i="2"/>
  <c r="P18" i="1"/>
  <c r="AD18" i="1" s="1"/>
  <c r="AH18" i="1"/>
  <c r="BD5" i="2"/>
  <c r="AI5" i="2"/>
  <c r="V5" i="2"/>
  <c r="AK5" i="2"/>
  <c r="W5" i="2"/>
  <c r="P27" i="1"/>
  <c r="AD27" i="1" s="1"/>
  <c r="AH27" i="1"/>
  <c r="BD9" i="2"/>
  <c r="AK9" i="2"/>
  <c r="S27" i="1" s="1"/>
  <c r="V9" i="2"/>
  <c r="AI9" i="2"/>
  <c r="W9" i="2"/>
  <c r="P39" i="1"/>
  <c r="AH39" i="1"/>
  <c r="P38" i="1"/>
  <c r="AD38" i="1" s="1"/>
  <c r="AH38" i="1"/>
  <c r="P32" i="1"/>
  <c r="AD32" i="1" s="1"/>
  <c r="AH32" i="1"/>
  <c r="P24" i="1"/>
  <c r="AD24" i="1" s="1"/>
  <c r="AH24" i="1"/>
  <c r="P35" i="1"/>
  <c r="AH35" i="1"/>
  <c r="BD29" i="2"/>
  <c r="BD28" i="2"/>
  <c r="V29" i="2"/>
  <c r="AI29" i="2"/>
  <c r="V28" i="2"/>
  <c r="AK29" i="2"/>
  <c r="AI28" i="2"/>
  <c r="AK28" i="2"/>
  <c r="W28" i="2"/>
  <c r="W29" i="2"/>
  <c r="P42" i="1"/>
  <c r="AH42" i="1"/>
  <c r="P30" i="1"/>
  <c r="AD30" i="1" s="1"/>
  <c r="AH30" i="1"/>
  <c r="P34" i="1"/>
  <c r="AH34" i="1"/>
  <c r="P20" i="1"/>
  <c r="AH20" i="1"/>
  <c r="BD25" i="2"/>
  <c r="AI25" i="2"/>
  <c r="V25" i="2"/>
  <c r="AK25" i="2"/>
  <c r="W25" i="2"/>
  <c r="P26" i="1"/>
  <c r="AH26" i="1"/>
  <c r="P43" i="1"/>
  <c r="AH43" i="1"/>
  <c r="P44" i="1"/>
  <c r="V44" i="1" s="1"/>
  <c r="BD27" i="2"/>
  <c r="BD26" i="2"/>
  <c r="AK26" i="2"/>
  <c r="V26" i="2"/>
  <c r="AI26" i="2"/>
  <c r="AI27" i="2"/>
  <c r="V27" i="2"/>
  <c r="AK27" i="2"/>
  <c r="W27" i="2"/>
  <c r="W26" i="2"/>
  <c r="P21" i="1"/>
  <c r="V21" i="1" s="1"/>
  <c r="P19" i="1"/>
  <c r="V19" i="1" s="1"/>
  <c r="P16" i="1"/>
  <c r="BD32" i="2"/>
  <c r="V32" i="2"/>
  <c r="AI32" i="2"/>
  <c r="AK32" i="2"/>
  <c r="W32" i="2"/>
  <c r="BD31" i="2"/>
  <c r="AK31" i="2"/>
  <c r="V31" i="2"/>
  <c r="AI31" i="2"/>
  <c r="W31" i="2"/>
  <c r="BD30" i="2"/>
  <c r="V30" i="2"/>
  <c r="AK30" i="2"/>
  <c r="AI30" i="2"/>
  <c r="W30" i="2"/>
  <c r="BD24" i="2"/>
  <c r="V24" i="2"/>
  <c r="AK24" i="2"/>
  <c r="AI24" i="2"/>
  <c r="W24" i="2"/>
  <c r="BD23" i="2"/>
  <c r="AK23" i="2"/>
  <c r="V23" i="2"/>
  <c r="AI23" i="2"/>
  <c r="W23" i="2"/>
  <c r="BD22" i="2"/>
  <c r="V22" i="2"/>
  <c r="AK22" i="2"/>
  <c r="AI22" i="2"/>
  <c r="W22" i="2"/>
  <c r="BD21" i="2"/>
  <c r="AK21" i="2"/>
  <c r="V21" i="2"/>
  <c r="AI21" i="2"/>
  <c r="W21" i="2"/>
  <c r="BD19" i="2"/>
  <c r="AK19" i="2"/>
  <c r="V19" i="2"/>
  <c r="AI19" i="2"/>
  <c r="W19" i="2"/>
  <c r="BD16" i="2"/>
  <c r="V16" i="2"/>
  <c r="AK16" i="2"/>
  <c r="AI16" i="2"/>
  <c r="W16" i="2"/>
  <c r="BD15" i="2"/>
  <c r="V15" i="2"/>
  <c r="AK15" i="2"/>
  <c r="AI15" i="2"/>
  <c r="W15" i="2"/>
  <c r="BD14" i="2"/>
  <c r="AK14" i="2"/>
  <c r="V14" i="2"/>
  <c r="AI14" i="2"/>
  <c r="W14" i="2"/>
  <c r="BD13" i="2"/>
  <c r="V13" i="2"/>
  <c r="AI13" i="2"/>
  <c r="AK13" i="2"/>
  <c r="W13" i="2"/>
  <c r="BD12" i="2"/>
  <c r="V12" i="2"/>
  <c r="AK12" i="2"/>
  <c r="AI12" i="2"/>
  <c r="W12" i="2"/>
  <c r="BD10" i="2"/>
  <c r="AK10" i="2"/>
  <c r="V10" i="2"/>
  <c r="AI10" i="2"/>
  <c r="W10" i="2"/>
  <c r="BD8" i="2"/>
  <c r="V8" i="2"/>
  <c r="AK8" i="2"/>
  <c r="AI8" i="2"/>
  <c r="W8" i="2"/>
  <c r="BD6" i="2"/>
  <c r="V6" i="2"/>
  <c r="AI6" i="2"/>
  <c r="AK6" i="2"/>
  <c r="W6" i="2"/>
  <c r="BD4" i="2"/>
  <c r="AK4" i="2"/>
  <c r="AI4" i="2"/>
  <c r="V4" i="2"/>
  <c r="W4" i="2"/>
  <c r="AH44" i="1"/>
  <c r="P41" i="1"/>
  <c r="AH41" i="1"/>
  <c r="P40" i="1"/>
  <c r="AH40" i="1"/>
  <c r="P37" i="1"/>
  <c r="AH37" i="1"/>
  <c r="P36" i="1"/>
  <c r="AH36" i="1"/>
  <c r="P33" i="1"/>
  <c r="AH33" i="1"/>
  <c r="P31" i="1"/>
  <c r="AH31" i="1"/>
  <c r="P29" i="1"/>
  <c r="AH29" i="1"/>
  <c r="P28" i="1"/>
  <c r="AH28" i="1"/>
  <c r="P25" i="1"/>
  <c r="AH25" i="1"/>
  <c r="P23" i="1"/>
  <c r="AH23" i="1"/>
  <c r="P22" i="1"/>
  <c r="AH22" i="1"/>
  <c r="AH21" i="1"/>
  <c r="AH19" i="1"/>
  <c r="AH16" i="1"/>
  <c r="P15" i="1"/>
  <c r="AH15" i="1"/>
  <c r="P14" i="1"/>
  <c r="AH14" i="1"/>
  <c r="P13" i="1"/>
  <c r="AH13" i="1"/>
  <c r="P12" i="1"/>
  <c r="AH12" i="1"/>
  <c r="AH10" i="1" s="1"/>
  <c r="AD8" i="1"/>
  <c r="V17" i="1" l="1"/>
  <c r="S14" i="1"/>
  <c r="V14" i="1" s="1"/>
  <c r="V18" i="1"/>
  <c r="V27" i="1"/>
  <c r="V38" i="1"/>
  <c r="V39" i="1"/>
  <c r="AD39" i="1"/>
  <c r="V32" i="1"/>
  <c r="V24" i="1"/>
  <c r="V35" i="1"/>
  <c r="AD35" i="1"/>
  <c r="AD42" i="1"/>
  <c r="V42" i="1"/>
  <c r="S29" i="1"/>
  <c r="V29" i="1" s="1"/>
  <c r="V30" i="1"/>
  <c r="V34" i="1"/>
  <c r="AD34" i="1"/>
  <c r="V20" i="1"/>
  <c r="AD20" i="1"/>
  <c r="S15" i="1"/>
  <c r="V15" i="1" s="1"/>
  <c r="AD26" i="1"/>
  <c r="V26" i="1"/>
  <c r="AD43" i="1"/>
  <c r="V43" i="1"/>
  <c r="S16" i="1"/>
  <c r="V16" i="1" s="1"/>
  <c r="S22" i="1"/>
  <c r="V22" i="1" s="1"/>
  <c r="W1" i="2"/>
  <c r="S31" i="1"/>
  <c r="V31" i="1" s="1"/>
  <c r="S33" i="1"/>
  <c r="V33" i="1" s="1"/>
  <c r="V1" i="2"/>
  <c r="S23" i="1"/>
  <c r="V23" i="1" s="1"/>
  <c r="S37" i="1"/>
  <c r="J7" i="1"/>
  <c r="AD41" i="1"/>
  <c r="V41" i="1"/>
  <c r="AD36" i="1"/>
  <c r="V36" i="1"/>
  <c r="AD15" i="1"/>
  <c r="AI1" i="2"/>
  <c r="AD25" i="1"/>
  <c r="V25" i="1"/>
  <c r="AD28" i="1"/>
  <c r="V28" i="1"/>
  <c r="AD31" i="1"/>
  <c r="AD21" i="1"/>
  <c r="AD29" i="1"/>
  <c r="AD13" i="1"/>
  <c r="V13" i="1"/>
  <c r="AD16" i="1"/>
  <c r="AD14" i="1"/>
  <c r="AD19" i="1"/>
  <c r="AD22" i="1"/>
  <c r="AD23" i="1"/>
  <c r="AD40" i="1"/>
  <c r="V40" i="1"/>
  <c r="AD33" i="1"/>
  <c r="AD37" i="1"/>
  <c r="AD44" i="1"/>
  <c r="AD12" i="1"/>
  <c r="V12" i="1"/>
  <c r="P10" i="1"/>
  <c r="P7" i="1"/>
  <c r="AJ11" i="2" l="1"/>
  <c r="AJ18" i="2"/>
  <c r="AJ17" i="2"/>
  <c r="V9" i="1"/>
  <c r="AJ7" i="2"/>
  <c r="AJ20" i="2"/>
  <c r="AJ9" i="2"/>
  <c r="AJ5" i="2"/>
  <c r="AJ25" i="2"/>
  <c r="AJ29" i="2"/>
  <c r="AJ28" i="2"/>
  <c r="AJ16" i="2"/>
  <c r="AJ27" i="2"/>
  <c r="AJ26" i="2"/>
  <c r="AJ15" i="2"/>
  <c r="AJ10" i="2"/>
  <c r="AJ6" i="2"/>
  <c r="AJ24" i="2"/>
  <c r="AJ14" i="2"/>
  <c r="AJ31" i="2"/>
  <c r="AJ30" i="2"/>
  <c r="AJ32" i="2"/>
  <c r="AJ21" i="2"/>
  <c r="AJ23" i="2"/>
  <c r="S10" i="1"/>
  <c r="AJ19" i="2"/>
  <c r="AD10" i="1"/>
  <c r="V37" i="1"/>
  <c r="S7" i="1"/>
  <c r="AJ13" i="2"/>
  <c r="AJ12" i="2"/>
  <c r="AJ4" i="2"/>
  <c r="AJ8" i="2"/>
  <c r="AJ22" i="2"/>
  <c r="D7" i="1" l="1"/>
  <c r="AE6" i="1"/>
  <c r="V6" i="1"/>
  <c r="S6" i="1"/>
  <c r="P6" i="1"/>
  <c r="J6" i="1" l="1"/>
  <c r="D6" i="1" l="1"/>
  <c r="AE5" i="1"/>
  <c r="V5" i="1"/>
  <c r="V7" i="1" s="1"/>
  <c r="V10" i="1" s="1"/>
  <c r="S5" i="1"/>
  <c r="P5" i="1"/>
  <c r="X254" i="89" l="1"/>
  <c r="AD254" i="89"/>
  <c r="X253" i="89"/>
  <c r="AD253" i="89"/>
  <c r="X252" i="89"/>
  <c r="AD252" i="89"/>
  <c r="X251" i="89"/>
  <c r="AD251" i="89"/>
  <c r="X250" i="89"/>
  <c r="AD250" i="89"/>
  <c r="AD249" i="89"/>
  <c r="X249" i="89"/>
  <c r="X256" i="89" s="1"/>
  <c r="AD243" i="89"/>
  <c r="X243" i="89"/>
  <c r="X242" i="89"/>
  <c r="AD242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AD160" i="89"/>
  <c r="AD162" i="89" s="1"/>
  <c r="X160" i="89"/>
  <c r="X162" i="89" s="1"/>
  <c r="X154" i="89"/>
  <c r="AD154" i="89"/>
  <c r="X153" i="89"/>
  <c r="AD153" i="89"/>
  <c r="AD155" i="89" s="1"/>
  <c r="X145" i="89"/>
  <c r="AD145" i="89"/>
  <c r="X144" i="89"/>
  <c r="X146" i="89" s="1"/>
  <c r="AD144" i="89"/>
  <c r="AD146" i="89" s="1"/>
  <c r="X138" i="89"/>
  <c r="AD138" i="89"/>
  <c r="X137" i="89"/>
  <c r="AD137" i="89"/>
  <c r="AD139" i="89" s="1"/>
  <c r="X136" i="89"/>
  <c r="AD136" i="89"/>
  <c r="X129" i="89"/>
  <c r="X131" i="89" s="1"/>
  <c r="AD129" i="89"/>
  <c r="AD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AD108" i="89"/>
  <c r="AD110" i="89" s="1"/>
  <c r="X108" i="89"/>
  <c r="X110" i="89" s="1"/>
  <c r="X102" i="89"/>
  <c r="AD102" i="89"/>
  <c r="X101" i="89"/>
  <c r="X103" i="89" s="1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AD26" i="89"/>
  <c r="AD28" i="89" s="1"/>
  <c r="X26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B1" i="2"/>
  <c r="L1" i="2"/>
  <c r="K1" i="2"/>
  <c r="AH20" i="2" l="1"/>
  <c r="AG20" i="2"/>
  <c r="AH7" i="2"/>
  <c r="AG7" i="2"/>
  <c r="O18" i="1"/>
  <c r="U18" i="1"/>
  <c r="AH5" i="2"/>
  <c r="AG5" i="2"/>
  <c r="O27" i="1"/>
  <c r="R27" i="1"/>
  <c r="U27" i="1"/>
  <c r="AH9" i="2"/>
  <c r="AG9" i="2"/>
  <c r="O39" i="1"/>
  <c r="U39" i="1"/>
  <c r="O38" i="1"/>
  <c r="U38" i="1"/>
  <c r="O32" i="1"/>
  <c r="U32" i="1"/>
  <c r="O24" i="1"/>
  <c r="U24" i="1"/>
  <c r="O35" i="1"/>
  <c r="U35" i="1"/>
  <c r="AG28" i="2"/>
  <c r="AH28" i="2"/>
  <c r="AG29" i="2"/>
  <c r="AH29" i="2"/>
  <c r="O42" i="1"/>
  <c r="U42" i="1"/>
  <c r="O30" i="1"/>
  <c r="U30" i="1"/>
  <c r="O34" i="1"/>
  <c r="U34" i="1"/>
  <c r="X70" i="89"/>
  <c r="O20" i="1"/>
  <c r="U20" i="1"/>
  <c r="AH25" i="2"/>
  <c r="AG25" i="2"/>
  <c r="O26" i="1"/>
  <c r="R26" i="1"/>
  <c r="U26" i="1"/>
  <c r="O43" i="1"/>
  <c r="R43" i="1"/>
  <c r="U43" i="1"/>
  <c r="X9" i="89"/>
  <c r="X77" i="89"/>
  <c r="AH26" i="2"/>
  <c r="AG26" i="2"/>
  <c r="AG27" i="2"/>
  <c r="AH27" i="2"/>
  <c r="O21" i="1"/>
  <c r="O16" i="1"/>
  <c r="O19" i="1"/>
  <c r="R21" i="1"/>
  <c r="R16" i="1"/>
  <c r="R19" i="1"/>
  <c r="U21" i="1"/>
  <c r="U19" i="1"/>
  <c r="U16" i="1"/>
  <c r="O44" i="1"/>
  <c r="U44" i="1"/>
  <c r="R44" i="1"/>
  <c r="X41" i="89"/>
  <c r="X35" i="89"/>
  <c r="X124" i="89"/>
  <c r="X91" i="89"/>
  <c r="X51" i="89"/>
  <c r="X97" i="89"/>
  <c r="X64" i="89"/>
  <c r="X206" i="89"/>
  <c r="X208" i="89" s="1"/>
  <c r="X155" i="89"/>
  <c r="X139" i="89"/>
  <c r="X117" i="89"/>
  <c r="X28" i="89"/>
  <c r="X83" i="89"/>
  <c r="X21" i="89"/>
  <c r="X57" i="89"/>
  <c r="X15" i="89"/>
  <c r="J5" i="1"/>
  <c r="AG32" i="2"/>
  <c r="AH32" i="2"/>
  <c r="AG31" i="2"/>
  <c r="AH31" i="2"/>
  <c r="AG30" i="2"/>
  <c r="AH30" i="2"/>
  <c r="AG24" i="2"/>
  <c r="AH24" i="2"/>
  <c r="AG23" i="2"/>
  <c r="AH23" i="2"/>
  <c r="AG22" i="2"/>
  <c r="AH22" i="2"/>
  <c r="AG21" i="2"/>
  <c r="AH21" i="2"/>
  <c r="AG19" i="2"/>
  <c r="AH19" i="2"/>
  <c r="AG16" i="2"/>
  <c r="AH16" i="2"/>
  <c r="AG15" i="2"/>
  <c r="AH15" i="2"/>
  <c r="AG14" i="2"/>
  <c r="AH14" i="2"/>
  <c r="AG13" i="2"/>
  <c r="AH13" i="2"/>
  <c r="AG12" i="2"/>
  <c r="AH12" i="2"/>
  <c r="AG10" i="2"/>
  <c r="AH10" i="2"/>
  <c r="AG8" i="2"/>
  <c r="AH8" i="2"/>
  <c r="AG6" i="2"/>
  <c r="AH6" i="2"/>
  <c r="AG4" i="2"/>
  <c r="AH4" i="2"/>
  <c r="R41" i="1"/>
  <c r="O41" i="1"/>
  <c r="R40" i="1"/>
  <c r="U41" i="1"/>
  <c r="O40" i="1"/>
  <c r="U40" i="1"/>
  <c r="R37" i="1"/>
  <c r="O37" i="1"/>
  <c r="R36" i="1"/>
  <c r="U37" i="1"/>
  <c r="O36" i="1"/>
  <c r="U36" i="1"/>
  <c r="R33" i="1"/>
  <c r="O33" i="1"/>
  <c r="R31" i="1"/>
  <c r="U33" i="1"/>
  <c r="O31" i="1"/>
  <c r="U31" i="1"/>
  <c r="R29" i="1"/>
  <c r="O29" i="1"/>
  <c r="U29" i="1"/>
  <c r="R28" i="1"/>
  <c r="O28" i="1"/>
  <c r="R25" i="1"/>
  <c r="U28" i="1"/>
  <c r="O25" i="1"/>
  <c r="R23" i="1"/>
  <c r="U25" i="1"/>
  <c r="O23" i="1"/>
  <c r="U23" i="1"/>
  <c r="R22" i="1"/>
  <c r="O22" i="1"/>
  <c r="U22" i="1"/>
  <c r="R15" i="1"/>
  <c r="O15" i="1"/>
  <c r="U15" i="1"/>
  <c r="R14" i="1"/>
  <c r="O14" i="1"/>
  <c r="U14" i="1"/>
  <c r="R13" i="1"/>
  <c r="O13" i="1"/>
  <c r="U13" i="1"/>
  <c r="R12" i="1"/>
  <c r="W10" i="1"/>
  <c r="O12" i="1"/>
  <c r="U12" i="1"/>
  <c r="X215" i="89"/>
  <c r="X181" i="89"/>
  <c r="X189" i="89"/>
  <c r="X198" i="89"/>
  <c r="X200" i="89" s="1"/>
  <c r="X172" i="89"/>
  <c r="X12" i="89" s="1"/>
  <c r="X226" i="89"/>
  <c r="U9" i="1" l="1"/>
  <c r="W18" i="1"/>
  <c r="Y18" i="1"/>
  <c r="Z18" i="1"/>
  <c r="AA18" i="1"/>
  <c r="AA27" i="1"/>
  <c r="Y27" i="1"/>
  <c r="Z27" i="1"/>
  <c r="W27" i="1"/>
  <c r="Y38" i="1"/>
  <c r="AA38" i="1"/>
  <c r="Z38" i="1"/>
  <c r="AA39" i="1"/>
  <c r="Y39" i="1"/>
  <c r="Z39" i="1"/>
  <c r="W39" i="1"/>
  <c r="W38" i="1"/>
  <c r="W32" i="1"/>
  <c r="AA32" i="1"/>
  <c r="Z32" i="1"/>
  <c r="Y32" i="1"/>
  <c r="Y24" i="1"/>
  <c r="AA24" i="1"/>
  <c r="Z24" i="1"/>
  <c r="W24" i="1"/>
  <c r="W35" i="1"/>
  <c r="AA35" i="1"/>
  <c r="Z35" i="1"/>
  <c r="Y35" i="1"/>
  <c r="Y42" i="1"/>
  <c r="AA42" i="1"/>
  <c r="Z42" i="1"/>
  <c r="W42" i="1"/>
  <c r="R1" i="1"/>
  <c r="W30" i="1"/>
  <c r="AA30" i="1"/>
  <c r="Z30" i="1"/>
  <c r="Y30" i="1"/>
  <c r="AA34" i="1"/>
  <c r="Z34" i="1"/>
  <c r="Y34" i="1"/>
  <c r="W34" i="1"/>
  <c r="W20" i="1"/>
  <c r="Y20" i="1"/>
  <c r="AA20" i="1"/>
  <c r="Z20" i="1"/>
  <c r="AA26" i="1"/>
  <c r="Y26" i="1"/>
  <c r="Z26" i="1"/>
  <c r="W26" i="1"/>
  <c r="W43" i="1"/>
  <c r="Y43" i="1"/>
  <c r="Z43" i="1"/>
  <c r="AA43" i="1"/>
  <c r="AA25" i="1"/>
  <c r="Z25" i="1"/>
  <c r="Y25" i="1"/>
  <c r="Y31" i="1"/>
  <c r="AA31" i="1"/>
  <c r="Z31" i="1"/>
  <c r="Z40" i="1"/>
  <c r="AA40" i="1"/>
  <c r="Y40" i="1"/>
  <c r="R6" i="1"/>
  <c r="R5" i="1"/>
  <c r="AA12" i="1"/>
  <c r="Y12" i="1"/>
  <c r="Z12" i="1"/>
  <c r="Z36" i="1"/>
  <c r="Y36" i="1"/>
  <c r="AA36" i="1"/>
  <c r="Y23" i="1"/>
  <c r="AA23" i="1"/>
  <c r="Z23" i="1"/>
  <c r="W44" i="1"/>
  <c r="W41" i="1"/>
  <c r="W40" i="1"/>
  <c r="W37" i="1"/>
  <c r="W36" i="1"/>
  <c r="W33" i="1"/>
  <c r="W31" i="1"/>
  <c r="W29" i="1"/>
  <c r="W28" i="1"/>
  <c r="W25" i="1"/>
  <c r="W23" i="1"/>
  <c r="W22" i="1"/>
  <c r="W21" i="1"/>
  <c r="W19" i="1"/>
  <c r="W16" i="1"/>
  <c r="W15" i="1"/>
  <c r="W14" i="1"/>
  <c r="W13" i="1"/>
  <c r="W12" i="1"/>
  <c r="AA13" i="1"/>
  <c r="Z13" i="1"/>
  <c r="Y13" i="1"/>
  <c r="Z41" i="1"/>
  <c r="AA41" i="1"/>
  <c r="Y41" i="1"/>
  <c r="Y21" i="1"/>
  <c r="AA21" i="1"/>
  <c r="Z21" i="1"/>
  <c r="O6" i="1"/>
  <c r="O5" i="1"/>
  <c r="AA16" i="1"/>
  <c r="Z16" i="1"/>
  <c r="Y16" i="1"/>
  <c r="U5" i="1"/>
  <c r="AA14" i="1"/>
  <c r="Y14" i="1"/>
  <c r="Z14" i="1"/>
  <c r="Z15" i="1"/>
  <c r="AA15" i="1"/>
  <c r="Y15" i="1"/>
  <c r="U6" i="1"/>
  <c r="Y22" i="1"/>
  <c r="AA22" i="1"/>
  <c r="Z22" i="1"/>
  <c r="Z33" i="1"/>
  <c r="Y33" i="1"/>
  <c r="AA33" i="1"/>
  <c r="Z28" i="1"/>
  <c r="Y28" i="1"/>
  <c r="AA28" i="1"/>
  <c r="Y19" i="1"/>
  <c r="AA19" i="1"/>
  <c r="Z19" i="1"/>
  <c r="AA44" i="1"/>
  <c r="Z44" i="1"/>
  <c r="Y44" i="1"/>
  <c r="AA37" i="1"/>
  <c r="Z37" i="1"/>
  <c r="Y37" i="1"/>
  <c r="Y29" i="1"/>
  <c r="AA29" i="1"/>
  <c r="Z29" i="1"/>
  <c r="Z10" i="1" l="1"/>
  <c r="AA6" i="1"/>
  <c r="AB6" i="1" s="1"/>
  <c r="AA5" i="1"/>
  <c r="D5" i="1"/>
  <c r="W6" i="1"/>
  <c r="O8" i="1"/>
  <c r="O7" i="1"/>
  <c r="R8" i="1"/>
  <c r="R7" i="1"/>
  <c r="U8" i="1"/>
  <c r="U7" i="1"/>
  <c r="U10" i="1" s="1"/>
  <c r="W5" i="1"/>
  <c r="AA8" i="1" l="1"/>
  <c r="AB5" i="1"/>
  <c r="AA7" i="1"/>
  <c r="AA10" i="1" s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 l="1"/>
  <c r="D3" i="1" l="1"/>
  <c r="W2" i="1" l="1"/>
  <c r="J2" i="1" l="1"/>
  <c r="D2" i="1" l="1"/>
  <c r="T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13" i="446" l="1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X4" i="446"/>
  <c r="X14" i="446" l="1"/>
  <c r="AG4" i="446"/>
  <c r="AG14" i="446" s="1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Z55" i="338"/>
  <c r="AB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N46" i="338" s="1"/>
  <c r="AD46" i="338"/>
  <c r="AB46" i="338"/>
  <c r="Z46" i="338"/>
  <c r="I45" i="338" a="1"/>
  <c r="I45" i="338" l="1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B42" i="338"/>
  <c r="AD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 s="1"/>
  <c r="AD41" i="338"/>
  <c r="Z41" i="338"/>
  <c r="AB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Z37" i="338"/>
  <c r="AB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Z36" i="338"/>
  <c r="AB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Z32" i="338"/>
  <c r="AB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N31" i="338" s="1"/>
  <c r="AD31" i="338"/>
  <c r="AB31" i="338"/>
  <c r="Z31" i="338"/>
  <c r="I30" i="338" a="1"/>
  <c r="I30" i="338" l="1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B29" i="338"/>
  <c r="AD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Z18" i="338"/>
  <c r="AB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Z17" i="338"/>
  <c r="AB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N14" i="338" s="1"/>
  <c r="AD14" i="338"/>
  <c r="AB14" i="338"/>
  <c r="Z14" i="338"/>
  <c r="I13" i="338" a="1"/>
  <c r="I13" i="338" l="1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B13" i="338"/>
  <c r="AD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B12" i="338"/>
  <c r="AD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17" i="338" a="1"/>
  <c r="AP39" i="338" a="1"/>
  <c r="AU51" i="338" a="1"/>
  <c r="AU44" i="338" a="1"/>
  <c r="AU8" i="338" a="1"/>
  <c r="AP46" i="338" a="1"/>
  <c r="AU40" i="338" a="1"/>
  <c r="AU32" i="338" a="1"/>
  <c r="AP52" i="338" a="1"/>
  <c r="AU46" i="338" a="1"/>
  <c r="AP15" i="338" a="1"/>
  <c r="AU33" i="338" a="1"/>
  <c r="AU16" i="338" a="1"/>
  <c r="AP53" i="338" a="1"/>
  <c r="AU11" i="338" a="1"/>
  <c r="AU52" i="338" a="1"/>
  <c r="AU50" i="338" a="1"/>
  <c r="AU38" i="338" a="1"/>
  <c r="AP49" i="338" a="1"/>
  <c r="AU39" i="338" a="1"/>
  <c r="AU31" i="338" a="1"/>
  <c r="AU41" i="338" a="1"/>
  <c r="AU47" i="338" a="1"/>
  <c r="AU30" i="338" a="1"/>
  <c r="AP54" i="338" a="1"/>
  <c r="AU15" i="338" a="1"/>
  <c r="AP45" i="338" a="1"/>
  <c r="AU13" i="338" a="1"/>
  <c r="AU42" i="338" a="1"/>
  <c r="AU35" i="338" a="1"/>
  <c r="AP8" i="338" a="1"/>
  <c r="AU34" i="338" a="1"/>
  <c r="AU45" i="338" a="1"/>
  <c r="AP9" i="338" a="1"/>
  <c r="AP51" i="338" a="1"/>
  <c r="AU36" i="338" a="1"/>
  <c r="AU37" i="338" a="1"/>
  <c r="AU29" i="338" a="1"/>
  <c r="AU12" i="338" a="1"/>
  <c r="AP50" i="338" a="1"/>
  <c r="AP16" i="338" a="1"/>
  <c r="AP38" i="338" a="1"/>
  <c r="AP40" i="338" a="1"/>
  <c r="AU9" i="338" a="1"/>
  <c r="AP33" i="338" a="1"/>
  <c r="AP41" i="338" a="1"/>
  <c r="AU18" i="338" a="1"/>
  <c r="AP42" i="338" a="1"/>
  <c r="AU54" i="338" a="1"/>
  <c r="AU48" i="338" a="1"/>
  <c r="AP10" i="338" a="1"/>
  <c r="AP14" i="338" a="1"/>
  <c r="AU49" i="338" a="1"/>
  <c r="AP35" i="338" a="1"/>
  <c r="AP11" i="338" a="1"/>
  <c r="AU53" i="338" a="1"/>
  <c r="AP44" i="338" a="1"/>
  <c r="AP30" i="338" a="1"/>
  <c r="AP17" i="338" a="1"/>
  <c r="AP29" i="338" a="1"/>
  <c r="AP47" i="338" a="1"/>
  <c r="AP12" i="338" a="1"/>
  <c r="AP36" i="338" a="1"/>
  <c r="AU10" i="338" a="1"/>
  <c r="AP37" i="338" a="1"/>
  <c r="AP18" i="338" a="1"/>
  <c r="AP13" i="338" a="1"/>
  <c r="AP48" i="338" a="1"/>
  <c r="AP31" i="338" a="1"/>
  <c r="AP34" i="338" a="1"/>
  <c r="AP32" i="338" a="1"/>
  <c r="H8" i="338" l="1"/>
  <c r="AP32" i="338"/>
  <c r="AP34" i="338"/>
  <c r="AP31" i="338"/>
  <c r="AP48" i="338"/>
  <c r="AP13" i="338"/>
  <c r="AP18" i="338"/>
  <c r="AP37" i="338"/>
  <c r="AU10" i="338"/>
  <c r="AP36" i="338"/>
  <c r="AP12" i="338"/>
  <c r="AP47" i="338"/>
  <c r="AP29" i="338"/>
  <c r="AP17" i="338"/>
  <c r="AP30" i="338"/>
  <c r="AP44" i="338"/>
  <c r="AU53" i="338"/>
  <c r="AP11" i="338"/>
  <c r="AP35" i="338"/>
  <c r="AU49" i="338"/>
  <c r="AP14" i="338"/>
  <c r="AP10" i="338"/>
  <c r="AU48" i="338"/>
  <c r="AU54" i="338"/>
  <c r="AP42" i="338"/>
  <c r="AU18" i="338"/>
  <c r="AP41" i="338"/>
  <c r="AP33" i="338"/>
  <c r="AU9" i="338"/>
  <c r="AP40" i="338"/>
  <c r="AP38" i="338"/>
  <c r="AP16" i="338"/>
  <c r="AP50" i="338"/>
  <c r="AU12" i="338"/>
  <c r="AU29" i="338"/>
  <c r="AU37" i="338"/>
  <c r="AU36" i="338"/>
  <c r="AP51" i="338"/>
  <c r="AP9" i="338"/>
  <c r="AU45" i="338"/>
  <c r="AU34" i="338"/>
  <c r="AP8" i="338"/>
  <c r="AU35" i="338"/>
  <c r="AU42" i="338"/>
  <c r="AU13" i="338"/>
  <c r="AP45" i="338"/>
  <c r="AU15" i="338"/>
  <c r="AP54" i="338"/>
  <c r="AU30" i="338"/>
  <c r="AU47" i="338"/>
  <c r="AU41" i="338"/>
  <c r="AU31" i="338"/>
  <c r="AU39" i="338"/>
  <c r="AP49" i="338"/>
  <c r="AU38" i="338"/>
  <c r="AU50" i="338"/>
  <c r="AU52" i="338"/>
  <c r="AU11" i="338"/>
  <c r="AP53" i="338"/>
  <c r="AU16" i="338"/>
  <c r="AU33" i="338"/>
  <c r="AP15" i="338"/>
  <c r="AU46" i="338"/>
  <c r="AP52" i="338"/>
  <c r="AU32" i="338"/>
  <c r="AU40" i="338"/>
  <c r="AP46" i="338"/>
  <c r="AU8" i="338"/>
  <c r="AU44" i="338"/>
  <c r="AU51" i="338"/>
  <c r="AP39" i="338"/>
  <c r="AU17" i="338"/>
  <c r="AN3" i="338"/>
  <c r="V20" i="252"/>
  <c r="U20" i="252"/>
  <c r="O8" i="338"/>
  <c r="Q2" i="338"/>
  <c r="Q4" i="338" s="1"/>
  <c r="E4" i="338"/>
  <c r="E1" i="338" s="1"/>
  <c r="AM3" i="338"/>
  <c r="K8" i="338"/>
  <c r="L8" i="338" a="1"/>
  <c r="U8" i="338" a="1"/>
  <c r="V8" i="338" a="1"/>
  <c r="Q50" i="338" a="1"/>
  <c r="Q32" i="338" a="1"/>
  <c r="Q8" i="338" a="1"/>
  <c r="Q46" i="338" a="1"/>
  <c r="Q14" i="338" a="1"/>
  <c r="Q18" i="338" a="1"/>
  <c r="Q11" i="338" a="1"/>
  <c r="Q13" i="338" a="1"/>
  <c r="Q34" i="338" a="1"/>
  <c r="Q36" i="338" a="1"/>
  <c r="Q35" i="338" a="1"/>
  <c r="Q37" i="338" a="1"/>
  <c r="Q38" i="338" a="1"/>
  <c r="Q16" i="338" a="1"/>
  <c r="Q17" i="338" a="1"/>
  <c r="Q44" i="338" a="1"/>
  <c r="Q39" i="338" a="1"/>
  <c r="Q15" i="338" a="1"/>
  <c r="Q52" i="338" a="1"/>
  <c r="Q33" i="338" a="1"/>
  <c r="Q51" i="338" a="1"/>
  <c r="Q47" i="338" a="1"/>
  <c r="Q31" i="338" a="1"/>
  <c r="Q41" i="338" a="1"/>
  <c r="Q53" i="338" a="1"/>
  <c r="Q10" i="338" a="1"/>
  <c r="Q45" i="338" a="1"/>
  <c r="Q42" i="338" a="1"/>
  <c r="Q54" i="338" a="1"/>
  <c r="Q9" i="338" a="1"/>
  <c r="Q48" i="338" a="1"/>
  <c r="Q49" i="338" a="1"/>
  <c r="Q29" i="338" a="1"/>
  <c r="Q40" i="338" a="1"/>
  <c r="Q12" i="338" a="1"/>
  <c r="Q30" i="338" a="1"/>
  <c r="Q55" i="338" a="1"/>
  <c r="V8" i="338" l="1"/>
  <c r="U8" i="338"/>
  <c r="L8" i="338"/>
  <c r="Q30" i="338"/>
  <c r="Q12" i="338"/>
  <c r="Q40" i="338"/>
  <c r="Q29" i="338"/>
  <c r="Q49" i="338"/>
  <c r="Q48" i="338"/>
  <c r="Q9" i="338"/>
  <c r="Q54" i="338"/>
  <c r="Q42" i="338"/>
  <c r="Q45" i="338"/>
  <c r="Q10" i="338"/>
  <c r="Q53" i="338"/>
  <c r="Q41" i="338"/>
  <c r="Q31" i="338"/>
  <c r="Q47" i="338"/>
  <c r="Q51" i="338"/>
  <c r="Q33" i="338"/>
  <c r="Q52" i="338"/>
  <c r="Q15" i="338"/>
  <c r="Q39" i="338"/>
  <c r="Q44" i="338"/>
  <c r="Q17" i="338"/>
  <c r="Q16" i="338"/>
  <c r="Q38" i="338"/>
  <c r="Q37" i="338"/>
  <c r="Q35" i="338"/>
  <c r="Q36" i="338"/>
  <c r="Q34" i="338"/>
  <c r="Q13" i="338"/>
  <c r="Q11" i="338"/>
  <c r="Q18" i="338"/>
  <c r="Q14" i="338"/>
  <c r="Q46" i="338"/>
  <c r="Q8" i="338"/>
  <c r="Q32" i="338"/>
  <c r="Q50" i="338"/>
  <c r="Q55" i="338"/>
  <c r="E2" i="338"/>
  <c r="AT37" i="338"/>
  <c r="AO53" i="338"/>
  <c r="AT48" i="338"/>
  <c r="AT53" i="338"/>
  <c r="AT39" i="338"/>
  <c r="AO49" i="338"/>
  <c r="AO39" i="338"/>
  <c r="AO9" i="338"/>
  <c r="AT9" i="338"/>
  <c r="AT40" i="338"/>
  <c r="AO31" i="338"/>
  <c r="AO52" i="338"/>
  <c r="AT31" i="338"/>
  <c r="AT11" i="338"/>
  <c r="AO12" i="338"/>
  <c r="AT42" i="338"/>
  <c r="AT12" i="338"/>
  <c r="AD8" i="338"/>
  <c r="AB8" i="338"/>
  <c r="Z8" i="338"/>
  <c r="AT34" i="338"/>
  <c r="AT45" i="338"/>
  <c r="AT49" i="338"/>
  <c r="AT29" i="338"/>
  <c r="AO30" i="338"/>
  <c r="AO10" i="338"/>
  <c r="AT41" i="338"/>
  <c r="AO33" i="338"/>
  <c r="AO54" i="338"/>
  <c r="AT33" i="338"/>
  <c r="AT54" i="338"/>
  <c r="AO8" i="338"/>
  <c r="AO15" i="338"/>
  <c r="AO35" i="338"/>
  <c r="AO46" i="338"/>
  <c r="AT17" i="338"/>
  <c r="AO18" i="338"/>
  <c r="AT18" i="338"/>
  <c r="AT38" i="338"/>
  <c r="AO51" i="338"/>
  <c r="AT15" i="338"/>
  <c r="AT35" i="338"/>
  <c r="AT46" i="338"/>
  <c r="AO29" i="338"/>
  <c r="AO50" i="338"/>
  <c r="AO40" i="338"/>
  <c r="AT30" i="338"/>
  <c r="AT10" i="338"/>
  <c r="AO42" i="338"/>
  <c r="AO13" i="338"/>
  <c r="AT44" i="338"/>
  <c r="AT13" i="338"/>
  <c r="AO45" i="338"/>
  <c r="AO14" i="338"/>
  <c r="AO16" i="338"/>
  <c r="AO36" i="338"/>
  <c r="AO47" i="338"/>
  <c r="AT16" i="338"/>
  <c r="AT36" i="338"/>
  <c r="AT47" i="338"/>
  <c r="AO38" i="338"/>
  <c r="AT8" i="338"/>
  <c r="AT50" i="338"/>
  <c r="AT51" i="338"/>
  <c r="AO41" i="338"/>
  <c r="AO11" i="338"/>
  <c r="AT52" i="338"/>
  <c r="AO32" i="338"/>
  <c r="AT32" i="338"/>
  <c r="AO44" i="338"/>
  <c r="AO34" i="338"/>
  <c r="AO17" i="338"/>
  <c r="AO37" i="338"/>
  <c r="AO48" i="338"/>
  <c r="AN50" i="338"/>
  <c r="AN11" i="338"/>
  <c r="AR49" i="338"/>
  <c r="AN33" i="338"/>
  <c r="AS54" i="338"/>
  <c r="AS36" i="338"/>
  <c r="AS13" i="338"/>
  <c r="AM33" i="338"/>
  <c r="AR54" i="338"/>
  <c r="AR13" i="338"/>
  <c r="AN16" i="338"/>
  <c r="AN52" i="338"/>
  <c r="AM47" i="338"/>
  <c r="AN15" i="338"/>
  <c r="AM30" i="338"/>
  <c r="AM50" i="338"/>
  <c r="AM11" i="338"/>
  <c r="AS49" i="338"/>
  <c r="AR36" i="338"/>
  <c r="AM29" i="338"/>
  <c r="AS52" i="338"/>
  <c r="AM53" i="338"/>
  <c r="AN41" i="338"/>
  <c r="AM31" i="338"/>
  <c r="AS42" i="338"/>
  <c r="AR42" i="338"/>
  <c r="AR41" i="338"/>
  <c r="AN47" i="338"/>
  <c r="AM15" i="338"/>
  <c r="AN40" i="338"/>
  <c r="AN30" i="338"/>
  <c r="AM45" i="338"/>
  <c r="AR32" i="338"/>
  <c r="AN29" i="338"/>
  <c r="AR52" i="338"/>
  <c r="AN53" i="338"/>
  <c r="AM41" i="338"/>
  <c r="AN31" i="338"/>
  <c r="AM16" i="338"/>
  <c r="AM52" i="338"/>
  <c r="AM42" i="338"/>
  <c r="AS53" i="338"/>
  <c r="AS9" i="338"/>
  <c r="AR53" i="338"/>
  <c r="AR9" i="338"/>
  <c r="AS35" i="338"/>
  <c r="AN35" i="338"/>
  <c r="AS40" i="338"/>
  <c r="AS41" i="338"/>
  <c r="AM8" i="338"/>
  <c r="AR37" i="338"/>
  <c r="AR50" i="338"/>
  <c r="AM44" i="338"/>
  <c r="AS37" i="338"/>
  <c r="AS50" i="338"/>
  <c r="AN44" i="338"/>
  <c r="AN42" i="338"/>
  <c r="AR38" i="338"/>
  <c r="AR29" i="338"/>
  <c r="AN17" i="338"/>
  <c r="AN48" i="338"/>
  <c r="AN49" i="338"/>
  <c r="AR15" i="338"/>
  <c r="AR46" i="338"/>
  <c r="AM17" i="338"/>
  <c r="AM48" i="338"/>
  <c r="AM49" i="338"/>
  <c r="AS15" i="338"/>
  <c r="AS46" i="338"/>
  <c r="AN18" i="338"/>
  <c r="AM18" i="338"/>
  <c r="AN37" i="338"/>
  <c r="AR48" i="338"/>
  <c r="AS38" i="338"/>
  <c r="AS29" i="338"/>
  <c r="AN39" i="338"/>
  <c r="AM37" i="338"/>
  <c r="AM35" i="338"/>
  <c r="AN45" i="338"/>
  <c r="AM40" i="338"/>
  <c r="AN8" i="338"/>
  <c r="AR17" i="338"/>
  <c r="AS12" i="338"/>
  <c r="AR31" i="338"/>
  <c r="AR33" i="338"/>
  <c r="AR47" i="338"/>
  <c r="AR35" i="338"/>
  <c r="AR40" i="338"/>
  <c r="AS48" i="338"/>
  <c r="AS17" i="338"/>
  <c r="AR12" i="338"/>
  <c r="AS31" i="338"/>
  <c r="AS33" i="338"/>
  <c r="AS47" i="338"/>
  <c r="AM39" i="338"/>
  <c r="AM38" i="338"/>
  <c r="AR51" i="338"/>
  <c r="AN38" i="338"/>
  <c r="AS51" i="338"/>
  <c r="AN12" i="338"/>
  <c r="AS10" i="338"/>
  <c r="AS44" i="338"/>
  <c r="AM36" i="338"/>
  <c r="AN34" i="338"/>
  <c r="AS18" i="338"/>
  <c r="AN10" i="338"/>
  <c r="AR34" i="338"/>
  <c r="AN13" i="338"/>
  <c r="AM12" i="338"/>
  <c r="AR10" i="338"/>
  <c r="AR44" i="338"/>
  <c r="AN36" i="338"/>
  <c r="AM34" i="338"/>
  <c r="AR18" i="338"/>
  <c r="AM10" i="338"/>
  <c r="AR11" i="338"/>
  <c r="AN54" i="338"/>
  <c r="AM14" i="338"/>
  <c r="AR30" i="338"/>
  <c r="AS45" i="338"/>
  <c r="AM32" i="338"/>
  <c r="AN14" i="338"/>
  <c r="AS11" i="338"/>
  <c r="AS34" i="338"/>
  <c r="AS30" i="338"/>
  <c r="AM54" i="338"/>
  <c r="AR45" i="338"/>
  <c r="AM13" i="338"/>
  <c r="AN32" i="338"/>
  <c r="AS39" i="338"/>
  <c r="AM51" i="338"/>
  <c r="AR16" i="338"/>
  <c r="AR8" i="338"/>
  <c r="AN46" i="338"/>
  <c r="AM9" i="338"/>
  <c r="AS32" i="338"/>
  <c r="AS16" i="338"/>
  <c r="AR39" i="338"/>
  <c r="AN51" i="338"/>
  <c r="AS8" i="338"/>
  <c r="AM46" i="338"/>
  <c r="AN9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B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C6" i="252" l="1"/>
  <c r="A6" i="252" s="1"/>
  <c r="I41" i="530"/>
  <c r="I42" i="530"/>
  <c r="G42" i="530"/>
  <c r="G41" i="530"/>
  <c r="K16" i="530"/>
  <c r="L16" i="530"/>
  <c r="F42" i="530"/>
  <c r="F41" i="530"/>
  <c r="H42" i="530"/>
  <c r="H41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<sst xmlns="http://schemas.openxmlformats.org/spreadsheetml/2006/main" count="16822" uniqueCount="2355">
  <si>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</si>
  <si>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</si>
  <si>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</si>
  <si>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</si>
  <si>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</si>
  <si>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</si>
  <si>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</si>
  <si>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</si>
  <si>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</si>
  <si>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</si>
  <si>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</si>
  <si>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</si>
  <si>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</si>
  <si>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</si>
  <si>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</si>
  <si>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</si>
  <si>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</si>
  <si>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</si>
  <si>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</si>
  <si>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</si>
  <si>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</si>
  <si>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</si>
  <si>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</si>
  <si>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</si>
  <si>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</si>
  <si>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</si>
  <si>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</si>
  <si>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</si>
  <si>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</si>
  <si>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</si>
  <si>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</si>
  <si>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</si>
  <si>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</si>
  <si>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</si>
  <si>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</si>
  <si>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</si>
  <si>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</si>
  <si>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</si>
  <si>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</si>
  <si>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</si>
  <si>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</si>
  <si>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</si>
  <si>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</si>
  <si>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</si>
  <si>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</si>
  <si>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</si>
  <si>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</si>
  <si>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</si>
  <si>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</si>
  <si>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</si>
  <si>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</si>
  <si>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</si>
  <si>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</si>
  <si>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</si>
  <si>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</si>
  <si>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</si>
  <si>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</si>
  <si>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</si>
  <si>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</si>
  <si>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</si>
  <si>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</si>
  <si>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</si>
  <si>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</si>
  <si>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</si>
  <si>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</si>
  <si>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</si>
  <si>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</si>
  <si>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</si>
  <si>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</si>
  <si>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</si>
  <si>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</si>
  <si>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</si>
  <si>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</si>
  <si>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</si>
  <si>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</si>
  <si>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</si>
  <si>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</si>
  <si>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</si>
  <si>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</si>
  <si>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</si>
  <si>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</si>
  <si>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</si>
  <si>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</si>
  <si>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</si>
  <si>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</si>
  <si>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</si>
  <si>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</si>
  <si>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</si>
  <si>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</si>
  <si>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</si>
  <si>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</si>
  <si>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</si>
  <si>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</si>
  <si>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</si>
  <si>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</si>
  <si>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</si>
  <si>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</si>
  <si>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</si>
  <si>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</si>
  <si>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</si>
  <si>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</si>
  <si>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</si>
  <si>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</si>
  <si>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</si>
  <si>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</si>
  <si>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</si>
  <si>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</si>
  <si>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</si>
  <si>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</si>
  <si>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</si>
  <si>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</si>
  <si>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</si>
  <si>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</si>
  <si>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</si>
  <si>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</si>
  <si>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</si>
  <si>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</si>
  <si>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</si>
  <si>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</si>
  <si>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</si>
  <si>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</si>
  <si>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</si>
  <si>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</si>
  <si>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</si>
  <si>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</si>
  <si>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</si>
  <si>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</si>
  <si>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</si>
  <si>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</si>
  <si>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</si>
  <si>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</si>
  <si>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</si>
  <si>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</si>
  <si>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</si>
  <si>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</si>
  <si>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</si>
  <si>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</si>
  <si>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</si>
  <si>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</si>
  <si>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</si>
  <si>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</si>
  <si>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</si>
  <si>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</si>
  <si>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</si>
  <si>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</si>
  <si>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</si>
  <si>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</si>
  <si>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</si>
  <si>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</si>
  <si>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</si>
  <si>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</si>
  <si>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</si>
  <si>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</si>
  <si>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</si>
  <si>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</si>
  <si>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</si>
  <si>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</si>
  <si>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</si>
  <si>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</si>
  <si>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</si>
  <si>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</si>
  <si>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</si>
  <si>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</si>
  <si>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</si>
  <si>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</si>
  <si>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</si>
  <si>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</si>
  <si>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</si>
  <si>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</si>
  <si>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</si>
  <si>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</si>
  <si>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</si>
  <si>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</si>
  <si>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</si>
  <si>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</si>
  <si>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</si>
  <si>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</si>
  <si>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</si>
  <si>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</si>
  <si>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</si>
  <si>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</si>
  <si>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</si>
  <si>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</si>
  <si>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</si>
  <si>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</si>
  <si>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</si>
  <si>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</si>
  <si>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</si>
  <si>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</si>
  <si>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</si>
  <si>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</si>
  <si>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</si>
  <si>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</si>
  <si>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</si>
  <si>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</si>
  <si>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</si>
  <si>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</si>
  <si>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</si>
  <si>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</si>
  <si>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</si>
  <si>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</si>
  <si>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</si>
  <si>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</si>
  <si>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</si>
  <si>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</si>
  <si>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</si>
  <si>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</si>
  <si>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</si>
  <si>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</si>
  <si>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</si>
  <si>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</si>
  <si>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</si>
  <si>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</si>
  <si>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</si>
  <si>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</si>
  <si>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</si>
  <si>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</si>
  <si>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</si>
  <si>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</si>
  <si>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</si>
  <si>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</si>
  <si>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</si>
  <si>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</si>
  <si>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</si>
  <si>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</si>
  <si>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</si>
  <si>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</si>
  <si>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</si>
  <si>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</si>
  <si>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</si>
  <si>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</si>
  <si>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</si>
  <si>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</si>
  <si>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</si>
  <si>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</si>
  <si>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</si>
  <si>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</si>
  <si>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</si>
  <si>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</si>
  <si>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</si>
  <si>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</si>
  <si>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</si>
  <si>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</si>
  <si>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</si>
  <si>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</si>
  <si>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</si>
  <si>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</si>
  <si>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</si>
  <si>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</si>
  <si>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</si>
  <si>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</si>
  <si>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</si>
  <si>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</si>
  <si>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</si>
  <si>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</si>
  <si>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</si>
  <si>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</si>
  <si>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</si>
  <si>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</si>
  <si>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</si>
  <si>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</si>
  <si>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</si>
  <si>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</si>
  <si>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</si>
  <si>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</si>
  <si>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</si>
  <si>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</si>
  <si>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</si>
  <si>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</si>
  <si>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</si>
  <si>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</si>
  <si>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</si>
  <si>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</si>
  <si>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</si>
  <si>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</si>
  <si>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</si>
  <si>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</si>
  <si>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</si>
  <si>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</si>
  <si>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</si>
  <si>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</si>
  <si>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</si>
  <si>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</si>
  <si>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</si>
  <si>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</si>
  <si>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</si>
  <si>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</si>
  <si>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</si>
  <si>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</si>
  <si>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</si>
  <si>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</si>
  <si>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</si>
  <si>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</si>
  <si>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</si>
  <si>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</si>
  <si>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</si>
  <si>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</si>
  <si>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</si>
  <si>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</si>
  <si>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</si>
  <si>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</si>
  <si>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</si>
  <si>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</si>
  <si>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</si>
  <si>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</si>
  <si>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</si>
  <si>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</si>
  <si>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</si>
  <si>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</si>
  <si>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</si>
  <si>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</si>
  <si>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</si>
  <si>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</si>
  <si>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</si>
  <si>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</si>
  <si>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</si>
  <si>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</si>
  <si>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</si>
  <si>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</si>
  <si>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</si>
  <si>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</si>
  <si>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</si>
  <si>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</si>
  <si>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</si>
  <si>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</si>
  <si>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</si>
  <si>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</si>
  <si>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</si>
  <si>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</si>
  <si>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</si>
  <si>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</si>
  <si>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</si>
  <si>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</si>
  <si>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</si>
  <si>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</si>
  <si>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</si>
  <si>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</si>
  <si>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</si>
  <si>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</si>
  <si>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</si>
  <si>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</si>
  <si>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</si>
  <si>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</si>
  <si>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</si>
  <si>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</si>
  <si>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</si>
  <si>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</si>
  <si>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</si>
  <si>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</si>
  <si>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</si>
  <si>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</si>
  <si>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</si>
  <si>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</si>
  <si>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</si>
  <si>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</si>
  <si>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</si>
  <si>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</si>
  <si>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</si>
  <si>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</si>
  <si>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</si>
  <si>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</si>
  <si>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</si>
  <si>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</si>
  <si>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</si>
  <si>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</si>
  <si>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</si>
  <si>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</si>
  <si>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</si>
  <si>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</si>
  <si>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</si>
  <si>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</si>
  <si>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</si>
  <si>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</si>
  <si>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</si>
  <si>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</si>
  <si>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</si>
  <si>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</si>
  <si>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</si>
  <si>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</si>
  <si>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</si>
  <si>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</si>
  <si>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</si>
  <si>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</si>
  <si>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</si>
  <si>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</si>
  <si>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</si>
  <si>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</si>
  <si>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</si>
  <si>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</si>
  <si>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</si>
  <si>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</si>
  <si>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</si>
  <si>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</si>
  <si>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</si>
  <si>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</si>
  <si>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</si>
  <si>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</si>
  <si>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</si>
  <si>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</si>
  <si>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</si>
  <si>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</si>
  <si>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</si>
  <si>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</si>
  <si>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</si>
  <si>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</si>
  <si>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</si>
  <si>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</si>
  <si>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</si>
  <si>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</si>
  <si>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</si>
  <si>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</si>
  <si>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</si>
  <si>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</si>
  <si>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</si>
  <si>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</si>
  <si>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</si>
  <si>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</si>
  <si>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</si>
  <si>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</si>
  <si>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</si>
  <si>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</si>
  <si>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</si>
  <si>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</si>
  <si>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</si>
  <si>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</si>
  <si>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</si>
  <si>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</si>
  <si>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</si>
  <si>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</si>
  <si>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</si>
  <si>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</si>
  <si>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</si>
  <si>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</si>
  <si>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</si>
  <si>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</si>
  <si>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</si>
  <si>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</si>
  <si>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</si>
  <si>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</si>
  <si>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</si>
  <si>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</si>
  <si>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</si>
  <si>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</si>
  <si>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</si>
  <si>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</si>
  <si>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</si>
  <si>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</si>
  <si>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</si>
  <si>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</si>
  <si>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</si>
  <si>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</si>
  <si>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</si>
  <si>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</si>
  <si>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</si>
  <si>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</si>
  <si>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</si>
  <si>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</si>
  <si>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</si>
  <si>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</si>
  <si>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</si>
  <si>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</si>
  <si>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</si>
  <si>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</si>
  <si>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</si>
  <si>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</si>
  <si>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</si>
  <si>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</si>
  <si>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</si>
  <si>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</si>
  <si>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</si>
  <si>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</si>
  <si>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</si>
  <si>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</si>
  <si>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</si>
  <si>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</si>
  <si>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</si>
  <si>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</si>
  <si>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</si>
  <si>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</si>
  <si>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</si>
  <si>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</si>
  <si>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</si>
  <si>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</si>
  <si>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</si>
  <si>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</si>
  <si>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</si>
  <si>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</si>
  <si>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</si>
  <si>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</si>
  <si>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</si>
  <si>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</si>
  <si>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</si>
  <si>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</si>
  <si>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</si>
  <si>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</si>
  <si>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</si>
  <si>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</si>
  <si>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</si>
  <si>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</si>
  <si>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</si>
  <si>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</si>
  <si>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</si>
  <si>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</si>
  <si>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</si>
  <si>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</si>
  <si>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</si>
  <si>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</si>
  <si>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</si>
  <si>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</si>
  <si>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</si>
  <si>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</si>
  <si>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</si>
  <si>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</si>
  <si>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</si>
  <si>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</si>
  <si>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</si>
  <si>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</si>
  <si>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</si>
  <si>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</si>
  <si>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</si>
  <si>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</si>
  <si>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</si>
  <si>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</si>
  <si>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</si>
  <si>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</si>
  <si>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</si>
  <si>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</si>
  <si>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</si>
  <si>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</si>
  <si>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</si>
  <si>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</si>
  <si>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</si>
  <si>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</si>
  <si>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</si>
  <si>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</si>
  <si>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</si>
  <si>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</si>
  <si>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</si>
  <si>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</si>
  <si>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</si>
  <si>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</si>
  <si>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</si>
  <si>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</si>
  <si>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</si>
  <si>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</si>
  <si>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</si>
  <si>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</si>
  <si>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</si>
  <si>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</si>
  <si>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</si>
  <si>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</si>
  <si>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</si>
  <si>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</si>
  <si>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</si>
  <si>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</si>
  <si>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</si>
  <si>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</si>
  <si>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</si>
  <si>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</si>
  <si>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</si>
  <si>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</si>
  <si>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</si>
  <si>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</si>
  <si>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</si>
  <si>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</si>
  <si>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</si>
  <si>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</si>
  <si>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</si>
  <si>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</si>
  <si>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</si>
  <si>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</si>
  <si>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</si>
  <si>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</si>
  <si>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</si>
  <si>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</si>
  <si>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</si>
  <si>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</si>
  <si>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</si>
  <si>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</si>
  <si>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</si>
  <si>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</si>
  <si>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</si>
  <si>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</si>
  <si>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</si>
  <si>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</si>
  <si>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</si>
  <si>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</si>
  <si>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</si>
  <si>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</si>
  <si>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</si>
  <si>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</si>
  <si>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</si>
  <si>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</si>
  <si>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</si>
  <si>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</si>
  <si>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</si>
  <si>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</si>
  <si>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</si>
  <si>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</si>
  <si>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</si>
  <si>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</si>
  <si>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</si>
  <si>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</si>
  <si>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</si>
  <si>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</si>
  <si>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</si>
  <si>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</si>
  <si>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</si>
  <si>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</si>
  <si>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</si>
  <si>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</si>
  <si>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</si>
  <si>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</si>
  <si>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</si>
  <si>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</si>
  <si>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</si>
  <si>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</si>
  <si>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</si>
  <si>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</si>
  <si>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</si>
  <si>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</si>
  <si>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</si>
  <si>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</si>
  <si>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</si>
  <si>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</si>
  <si>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</si>
  <si>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</si>
  <si>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</si>
  <si>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</si>
  <si>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</si>
  <si>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</si>
  <si>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</si>
  <si>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</si>
  <si>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</si>
  <si>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</si>
  <si>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</si>
  <si>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</si>
  <si>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</si>
  <si>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</si>
  <si>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</si>
  <si>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</si>
  <si>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</si>
  <si>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</si>
  <si>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</si>
  <si>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</si>
  <si>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</si>
  <si>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</si>
  <si>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</si>
  <si>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</si>
  <si>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</si>
  <si>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</si>
  <si>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</si>
  <si>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</si>
  <si>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</si>
  <si>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</si>
  <si>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</si>
  <si>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</si>
  <si>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</si>
  <si>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</si>
  <si>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</si>
  <si>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</si>
  <si>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</si>
  <si>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</si>
  <si>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</si>
  <si>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</si>
  <si>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</si>
  <si>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</si>
  <si>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</si>
  <si>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</si>
  <si>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</si>
  <si>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</si>
  <si>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</si>
  <si>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</si>
  <si>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</si>
  <si>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</si>
  <si>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</si>
  <si>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</si>
  <si>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</si>
  <si>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</si>
  <si>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</si>
  <si>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</si>
  <si>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</si>
  <si>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</si>
  <si>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</si>
  <si>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</si>
  <si>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</si>
  <si>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</si>
  <si>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</si>
  <si>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</si>
  <si>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</si>
  <si>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</si>
  <si>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</si>
  <si>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</si>
  <si>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</si>
  <si>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</si>
  <si>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</si>
  <si>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</si>
  <si>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</si>
  <si>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</si>
  <si>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</si>
  <si>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</si>
  <si>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</si>
  <si>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</si>
  <si>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</si>
  <si>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</si>
  <si>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</si>
  <si>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</si>
  <si>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</si>
  <si>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</si>
  <si>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</si>
  <si>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</si>
  <si>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</si>
  <si>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</si>
  <si>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</si>
  <si>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</si>
  <si>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</si>
  <si>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</si>
  <si>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</si>
  <si>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</si>
  <si>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</si>
  <si>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</si>
  <si>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</si>
  <si>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</si>
  <si>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</si>
  <si>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</si>
  <si>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</si>
  <si>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</si>
  <si>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</si>
  <si>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</si>
  <si>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</si>
  <si>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</si>
  <si>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</si>
  <si>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</si>
  <si>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</si>
  <si>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</si>
  <si>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</si>
  <si>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</si>
  <si>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</si>
  <si>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</si>
  <si>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</si>
  <si>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</si>
  <si>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</si>
  <si>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</si>
  <si>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</si>
  <si>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</si>
  <si>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</si>
  <si>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</si>
  <si>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</si>
  <si>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</si>
  <si>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</si>
  <si>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</si>
  <si>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</si>
  <si>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</si>
  <si>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</si>
  <si>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</si>
  <si>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</si>
  <si>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</si>
  <si>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</si>
  <si>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</si>
  <si>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</si>
  <si>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</si>
  <si>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</si>
  <si>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</si>
  <si>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</si>
  <si>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</si>
  <si>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</si>
  <si>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</si>
  <si>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</si>
  <si>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</si>
  <si>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</si>
  <si>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</si>
  <si>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</si>
  <si>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</si>
  <si>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</si>
  <si>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</si>
  <si>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</si>
  <si>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</si>
  <si>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</si>
  <si>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</si>
  <si>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</si>
  <si>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</si>
  <si>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</si>
  <si>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</si>
  <si>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</si>
  <si>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</si>
  <si>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</si>
  <si>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</si>
  <si>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</si>
  <si>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</si>
  <si>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</si>
  <si>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</si>
  <si>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</si>
  <si>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</si>
  <si>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</si>
  <si>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</si>
  <si>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</si>
  <si>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</si>
  <si>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</si>
  <si>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</si>
  <si>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</si>
  <si>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</si>
  <si>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</si>
  <si>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</si>
  <si>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</si>
  <si>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</si>
  <si>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</si>
  <si>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</si>
  <si>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</si>
  <si>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</si>
  <si>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</si>
  <si>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</si>
  <si>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</si>
  <si>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</si>
  <si>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</si>
  <si>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</si>
  <si>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</si>
  <si>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</si>
  <si>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</si>
  <si>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</si>
  <si>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</si>
  <si>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</si>
  <si>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</si>
  <si>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</si>
  <si>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</si>
  <si>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</si>
  <si>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</si>
  <si>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</si>
  <si>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</si>
  <si>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</si>
  <si>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</si>
  <si>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</si>
  <si>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</si>
  <si>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</si>
  <si>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</si>
  <si>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</si>
  <si>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</si>
  <si>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</si>
  <si>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</si>
  <si>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</si>
  <si>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</si>
  <si>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</si>
  <si>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</si>
  <si>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</si>
  <si>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</si>
  <si>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</si>
  <si>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</si>
  <si>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</si>
  <si>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</si>
  <si>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</si>
  <si>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</si>
  <si>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</si>
  <si>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</si>
  <si>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</si>
  <si>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</si>
  <si>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</si>
  <si>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</si>
  <si>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</si>
  <si>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</si>
  <si>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</si>
  <si>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</si>
  <si>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</si>
  <si>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</si>
  <si>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</si>
  <si>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</si>
  <si>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</si>
  <si>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</si>
  <si>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</si>
  <si>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</si>
  <si>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</si>
  <si>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</si>
  <si>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</si>
  <si>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</si>
  <si>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</si>
  <si>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</si>
  <si>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</si>
  <si>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</si>
  <si>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</si>
  <si>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</si>
  <si>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</si>
  <si>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</si>
  <si>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</si>
  <si>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</si>
  <si>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</si>
  <si>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</si>
  <si>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</si>
  <si>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</si>
  <si>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</si>
  <si>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</si>
  <si>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</si>
  <si>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</si>
  <si>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</si>
  <si>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</si>
  <si>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</si>
  <si>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</si>
  <si>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</si>
  <si>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</si>
  <si>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</si>
  <si>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</si>
  <si>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</si>
  <si>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</si>
  <si>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</si>
  <si>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</si>
  <si>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</si>
  <si>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</si>
  <si>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</si>
  <si>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</si>
  <si>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</si>
  <si>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</si>
  <si>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</si>
  <si>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</si>
  <si>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</si>
  <si>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</si>
  <si>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</si>
  <si>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</si>
  <si>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</si>
  <si>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</si>
  <si>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</si>
  <si>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</si>
  <si>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</si>
  <si>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</si>
  <si>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</si>
  <si>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</si>
  <si>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</si>
  <si>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</si>
  <si>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</si>
  <si>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</si>
  <si>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</si>
  <si>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</si>
  <si>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</si>
  <si>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</si>
  <si>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</si>
  <si>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</si>
  <si>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</si>
  <si>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</si>
  <si>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</si>
  <si>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</si>
  <si>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</si>
  <si>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</si>
  <si>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</si>
  <si>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</si>
  <si>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</si>
  <si>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</si>
  <si>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</si>
  <si>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</si>
  <si>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</si>
  <si>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</si>
  <si>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</si>
  <si>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</si>
  <si>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</si>
  <si>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</si>
  <si>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</si>
  <si>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</si>
  <si>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</si>
  <si>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</si>
  <si>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</si>
  <si>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</si>
  <si>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</si>
  <si>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</si>
  <si>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</si>
  <si>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</si>
  <si>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</si>
  <si>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</si>
  <si>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</si>
  <si>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</si>
  <si>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</si>
  <si>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</si>
  <si>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</si>
  <si>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</si>
  <si>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</si>
  <si>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</si>
  <si>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</si>
  <si>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</si>
  <si>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</si>
  <si>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</si>
  <si>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</si>
  <si>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</si>
  <si>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</si>
  <si>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</si>
  <si>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</si>
  <si>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</si>
  <si>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</si>
  <si>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</si>
  <si>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</si>
  <si>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</si>
  <si>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</si>
  <si>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</si>
  <si>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</si>
  <si>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</si>
  <si>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</si>
  <si>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</si>
  <si>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</si>
  <si>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</si>
  <si>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</si>
  <si>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</si>
  <si>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</si>
  <si>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</si>
  <si>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</si>
  <si>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</si>
  <si>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</si>
  <si>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</si>
  <si>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</si>
  <si>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</si>
  <si>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</si>
  <si>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</si>
  <si>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</si>
  <si>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</si>
  <si>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</si>
  <si>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</si>
  <si>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</si>
  <si>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</si>
  <si>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</si>
  <si>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</si>
  <si>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</si>
  <si>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</si>
  <si>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</si>
  <si>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</si>
  <si>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</si>
  <si>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</si>
  <si>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</si>
  <si>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</si>
  <si>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</si>
  <si>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</si>
  <si>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</si>
  <si>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</si>
  <si>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</si>
  <si>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</si>
  <si>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</si>
  <si>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</si>
  <si>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</si>
  <si>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</si>
  <si>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</si>
  <si>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</si>
  <si>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</si>
  <si>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</si>
  <si>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</si>
  <si>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</si>
  <si>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</si>
  <si>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</si>
  <si>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</si>
  <si>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</si>
  <si>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</si>
  <si>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</si>
  <si>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</si>
  <si>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</si>
  <si>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</si>
  <si>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</si>
  <si>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</si>
  <si>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</si>
  <si>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</si>
  <si>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</si>
  <si>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</si>
  <si>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</si>
  <si>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</si>
  <si>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</si>
  <si>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</si>
  <si>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</si>
  <si>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</si>
  <si>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</si>
  <si>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</si>
  <si>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</si>
  <si>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</si>
  <si>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</si>
  <si>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</si>
  <si>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</si>
  <si>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</si>
  <si>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</si>
  <si>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</si>
  <si>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</si>
  <si>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</si>
  <si>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</si>
  <si>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</si>
  <si>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</si>
  <si>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</si>
  <si>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</si>
  <si>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</si>
  <si>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</si>
  <si>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</si>
  <si>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</si>
  <si>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</si>
  <si>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</si>
  <si>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</si>
  <si>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</si>
  <si>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</si>
  <si>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</si>
  <si>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</si>
  <si>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</si>
  <si>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</si>
  <si>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</si>
  <si>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</si>
  <si>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</si>
  <si>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</si>
  <si>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</si>
  <si>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</si>
  <si>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</si>
  <si>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</si>
  <si>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</si>
  <si>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</si>
  <si>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</si>
  <si>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</si>
  <si>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</si>
  <si>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</si>
  <si>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</si>
  <si>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</si>
  <si>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</si>
  <si>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</si>
  <si>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</si>
  <si>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</si>
  <si>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</si>
  <si>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</si>
  <si>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</si>
  <si>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</si>
  <si>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</si>
  <si>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</si>
  <si>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</si>
  <si>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</si>
  <si>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</si>
  <si>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</si>
  <si>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</si>
  <si>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</si>
  <si>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</si>
  <si>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</si>
  <si>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</si>
  <si>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</si>
  <si>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</si>
  <si>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</si>
  <si>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</si>
  <si>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</si>
  <si>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</si>
  <si>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</si>
  <si>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</si>
  <si>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</si>
  <si>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</si>
  <si>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</si>
  <si>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</si>
  <si>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</si>
  <si>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</si>
  <si>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</si>
  <si>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</si>
  <si>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</si>
  <si>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</si>
  <si>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</si>
  <si>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</si>
  <si>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</si>
  <si>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</si>
  <si>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</si>
  <si>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</si>
  <si>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</si>
  <si>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</si>
  <si>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</si>
  <si>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</si>
  <si>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</si>
  <si>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</si>
  <si>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</si>
  <si>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</si>
  <si>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</si>
  <si>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</si>
  <si>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</si>
  <si>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</si>
  <si>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</si>
  <si>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</si>
  <si>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</si>
  <si>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</si>
  <si>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</si>
  <si>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</si>
  <si>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</si>
  <si>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</si>
  <si>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</si>
  <si>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</si>
  <si>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</si>
  <si>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</si>
  <si>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</si>
  <si>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</si>
  <si>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</si>
  <si>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</si>
  <si>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</si>
  <si>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</si>
  <si>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</si>
  <si>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</si>
  <si>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</si>
  <si>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</si>
  <si>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</si>
  <si>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</si>
  <si>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</si>
  <si>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</si>
  <si>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</si>
  <si>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</si>
  <si>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</si>
  <si>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</si>
  <si>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</si>
  <si>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</si>
  <si>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</si>
  <si>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</si>
  <si>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</si>
  <si>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</si>
  <si>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</si>
  <si>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</si>
  <si>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</si>
  <si>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</si>
  <si>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</si>
  <si>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</si>
  <si>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</si>
  <si>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</si>
  <si>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</si>
  <si>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</si>
  <si>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</si>
  <si>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</si>
  <si>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</si>
  <si>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</si>
  <si>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</si>
  <si>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</si>
  <si>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</si>
  <si>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</si>
  <si>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</si>
  <si>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</si>
  <si>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</si>
  <si>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</si>
  <si>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</si>
  <si>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</si>
  <si>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</si>
  <si>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</si>
  <si>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</si>
  <si>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</si>
  <si>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</si>
  <si>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</si>
  <si>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</si>
  <si>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</si>
  <si>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</si>
  <si>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</si>
  <si>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</si>
  <si>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</si>
  <si>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</si>
  <si>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</si>
  <si>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</si>
  <si>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</si>
  <si>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</si>
  <si>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</si>
  <si>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</si>
  <si>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</si>
  <si>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</si>
  <si>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</si>
  <si>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</si>
  <si>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</si>
  <si>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</si>
  <si>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</si>
  <si>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</si>
  <si>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</si>
  <si>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</si>
  <si>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</si>
  <si>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</si>
  <si>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</si>
  <si>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</si>
  <si>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</si>
  <si>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</si>
  <si>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</si>
  <si>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</si>
  <si>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</si>
  <si>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</si>
  <si>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</si>
  <si>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</si>
  <si>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</si>
  <si>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</si>
  <si>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</si>
  <si>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</si>
  <si>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</si>
  <si>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</si>
  <si>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</si>
  <si>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</si>
  <si>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</si>
  <si>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</si>
  <si>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</si>
  <si>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</si>
  <si>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</si>
  <si>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</si>
  <si>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</si>
  <si>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</si>
  <si>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</si>
  <si>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</si>
  <si>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</si>
  <si>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</si>
  <si>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</si>
  <si>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</si>
  <si>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</si>
  <si>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</si>
  <si>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</si>
  <si>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</si>
  <si>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</si>
  <si>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</si>
  <si>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</si>
  <si>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</si>
  <si>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</si>
  <si>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</si>
  <si>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</si>
  <si>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</si>
  <si>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</si>
  <si>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</si>
  <si>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</si>
  <si>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</si>
  <si>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</si>
  <si>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</si>
  <si>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</si>
  <si>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</si>
  <si>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</si>
  <si>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</si>
  <si>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</si>
  <si>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</si>
  <si>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</si>
  <si>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</si>
  <si>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</si>
  <si>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</si>
  <si>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</si>
  <si>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</si>
  <si>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</si>
  <si>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</si>
  <si>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</si>
  <si>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</si>
  <si>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</si>
  <si>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</si>
  <si>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</si>
  <si>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</si>
  <si>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</si>
  <si>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</si>
  <si>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</si>
  <si>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</si>
  <si>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</si>
  <si>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</si>
  <si>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</si>
  <si>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</si>
  <si>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</si>
  <si>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</si>
  <si>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</si>
  <si>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</si>
  <si>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</si>
  <si>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</si>
  <si>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</si>
  <si>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</si>
  <si>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</si>
  <si>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</si>
  <si>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</si>
  <si>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</si>
  <si>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</si>
  <si>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</si>
  <si>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</si>
  <si>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</si>
  <si>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</si>
  <si>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</si>
  <si>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</si>
  <si>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</si>
  <si>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</si>
  <si>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</si>
  <si>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</si>
  <si>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</si>
  <si>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</si>
  <si>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</si>
  <si>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</si>
  <si>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</si>
  <si>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</si>
  <si>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</si>
  <si>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</si>
  <si>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</si>
  <si>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</si>
  <si>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</si>
  <si>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</si>
  <si>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</si>
  <si>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</si>
  <si>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</si>
  <si>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</si>
  <si>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</si>
  <si>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</si>
  <si>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</si>
  <si>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</si>
  <si>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</si>
  <si>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</si>
  <si>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</si>
  <si>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</si>
  <si>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</si>
  <si>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</si>
  <si>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</si>
  <si>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</si>
  <si>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</si>
  <si>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</si>
  <si>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</si>
  <si>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</si>
  <si>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</si>
  <si>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</si>
  <si>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</si>
  <si>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</si>
  <si>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</si>
  <si>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</si>
  <si>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</si>
  <si>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</si>
  <si>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</si>
  <si>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</si>
  <si>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</si>
  <si>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</si>
  <si>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</si>
  <si>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</si>
  <si>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</si>
  <si>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</si>
  <si>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</si>
  <si>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</si>
  <si>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</si>
  <si>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</si>
  <si>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</si>
  <si>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</si>
  <si>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</si>
  <si>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</si>
  <si>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</si>
  <si>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</si>
  <si>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</si>
  <si>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</si>
  <si>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</si>
  <si>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</si>
  <si>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</si>
  <si>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</si>
  <si>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</si>
  <si>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</si>
  <si>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</si>
  <si>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</si>
  <si>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</si>
  <si>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</si>
  <si>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</si>
  <si>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</si>
  <si>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</si>
  <si>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</si>
  <si>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</si>
  <si>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</si>
  <si>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</si>
  <si>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</si>
  <si>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</si>
  <si>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</si>
  <si>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</si>
  <si>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</si>
  <si>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</si>
  <si>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</si>
  <si>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</si>
  <si>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</si>
  <si>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</si>
  <si>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</si>
  <si>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</si>
  <si>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</si>
  <si>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</si>
  <si>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</si>
  <si>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</si>
  <si>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</si>
  <si>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</si>
  <si>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</si>
  <si>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</si>
  <si>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</si>
  <si>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</si>
  <si>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</si>
  <si>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</si>
  <si>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</si>
  <si>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</si>
  <si>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</si>
  <si>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</si>
  <si>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</si>
  <si>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</si>
  <si>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</si>
  <si>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</si>
  <si>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</si>
  <si>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</si>
  <si>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</si>
  <si>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</si>
  <si>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</si>
  <si>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</si>
  <si>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</si>
  <si>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</si>
  <si>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</si>
  <si>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</si>
  <si>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</si>
  <si>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</si>
  <si>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</si>
  <si>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</si>
  <si>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</si>
  <si>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</si>
  <si>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</si>
  <si>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</si>
  <si>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</si>
  <si>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</si>
  <si>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</si>
  <si>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</si>
  <si>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</si>
  <si>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</si>
  <si>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</si>
  <si>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</si>
  <si>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</si>
  <si>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</si>
  <si>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</si>
  <si>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</si>
  <si>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</si>
  <si>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</si>
  <si>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</si>
  <si>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</si>
  <si>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</si>
  <si>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</si>
  <si>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</si>
  <si>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</si>
  <si>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</si>
  <si>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</si>
  <si>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</si>
  <si>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</si>
  <si>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</si>
  <si>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</si>
  <si>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</si>
  <si>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</si>
  <si>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</si>
  <si>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</si>
  <si>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</si>
  <si>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</si>
  <si>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</si>
  <si>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</si>
  <si>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</si>
  <si>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</si>
  <si>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</si>
  <si>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</si>
  <si>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</si>
  <si>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</si>
  <si>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</si>
  <si>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</si>
  <si>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</si>
  <si>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</si>
  <si>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</si>
  <si>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</si>
  <si>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</si>
  <si>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</si>
  <si>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</si>
  <si>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</si>
  <si>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</si>
  <si>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</si>
  <si>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</si>
  <si>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</si>
  <si>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</si>
  <si>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</si>
  <si>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</si>
  <si>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</si>
  <si>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</si>
  <si>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</si>
  <si>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</si>
  <si>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</si>
  <si>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</si>
  <si>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</si>
  <si>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</si>
  <si>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</si>
  <si>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</si>
  <si>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</si>
  <si>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</si>
  <si>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</si>
  <si>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</si>
  <si>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</si>
  <si>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</si>
  <si>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</si>
  <si>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</si>
  <si>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</si>
  <si>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</si>
  <si>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</si>
  <si>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</si>
  <si>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</si>
  <si>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</si>
  <si>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</si>
  <si>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</si>
  <si>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</si>
  <si>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</si>
  <si>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</si>
  <si>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</si>
  <si>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</si>
  <si>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</si>
  <si>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</si>
  <si>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</si>
  <si>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</si>
  <si>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</si>
  <si>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</si>
  <si>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</si>
  <si>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</si>
  <si>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</si>
  <si>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</si>
  <si>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</si>
  <si>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</si>
  <si>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</si>
  <si>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</si>
  <si>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</si>
  <si>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</si>
  <si>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</si>
  <si>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</si>
  <si>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</si>
  <si>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</si>
  <si>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</si>
  <si>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</si>
  <si>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</si>
  <si>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</si>
  <si>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</si>
  <si>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</si>
  <si>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</si>
  <si>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</si>
  <si>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</si>
  <si>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</si>
  <si>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</si>
  <si>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</si>
  <si>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</si>
  <si>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</si>
  <si>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</si>
  <si>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</si>
  <si>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</si>
  <si>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</si>
  <si>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</si>
  <si>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</si>
  <si>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</si>
  <si>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</si>
  <si>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</si>
  <si>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</si>
  <si>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</si>
  <si>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</si>
  <si>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</si>
  <si>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</si>
  <si>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</si>
  <si>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</si>
  <si>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</si>
  <si>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</si>
  <si>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</si>
  <si>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</si>
  <si>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</si>
  <si>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</si>
  <si>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</si>
  <si>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</si>
  <si>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</si>
  <si>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</si>
  <si>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</si>
  <si>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</si>
  <si>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</si>
  <si>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</si>
  <si>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</si>
  <si>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</si>
  <si>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</si>
  <si>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</si>
  <si>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</si>
  <si>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</si>
  <si>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</si>
  <si>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</si>
  <si>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</si>
  <si>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</si>
  <si>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</si>
  <si>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</si>
  <si>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</si>
  <si>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</si>
  <si>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</si>
  <si>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</si>
  <si>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</si>
  <si>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</si>
  <si>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</si>
  <si>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</si>
  <si>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</si>
  <si>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</si>
  <si>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</si>
  <si>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</si>
  <si>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</si>
  <si>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</si>
  <si>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</si>
  <si>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</si>
  <si>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</si>
  <si>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</si>
  <si>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</si>
  <si>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</si>
  <si>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</si>
  <si>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</si>
  <si>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</si>
  <si>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</si>
  <si>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</si>
  <si>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</si>
  <si>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</si>
  <si>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</si>
  <si>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</si>
  <si>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</si>
  <si>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</si>
  <si>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</si>
  <si>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</si>
  <si>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</si>
  <si>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</si>
  <si>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</si>
  <si>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</si>
  <si>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</si>
  <si>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</si>
  <si>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</si>
  <si>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</si>
  <si>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</si>
  <si>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</si>
  <si>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</si>
  <si>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</si>
  <si>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</si>
  <si>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</si>
  <si>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</si>
  <si>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</si>
  <si>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</si>
  <si>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</si>
  <si>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</si>
  <si>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</si>
  <si>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</si>
  <si>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</si>
  <si>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</si>
  <si>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</si>
  <si>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</si>
  <si>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</si>
  <si>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</si>
  <si>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</si>
  <si>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</si>
  <si>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</si>
  <si>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</si>
  <si>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</si>
  <si>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</si>
  <si>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</si>
  <si>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</si>
  <si>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</si>
  <si>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</si>
  <si>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</si>
  <si>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</si>
  <si>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</si>
  <si>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</si>
  <si>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</si>
  <si>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</si>
  <si>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</si>
  <si>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</si>
  <si>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</si>
  <si>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</si>
  <si>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</si>
  <si>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</si>
  <si>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</si>
  <si>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</si>
  <si>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</si>
  <si>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</si>
  <si>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</si>
  <si>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</si>
  <si>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</si>
  <si>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</si>
  <si>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</si>
  <si>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</si>
  <si>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</si>
  <si>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</si>
  <si>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</si>
  <si>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</si>
  <si>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</si>
  <si>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</si>
  <si>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</si>
  <si>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</si>
  <si>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</si>
  <si>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</si>
  <si>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</si>
  <si>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</si>
  <si>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</si>
  <si>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</si>
  <si>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</si>
  <si>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</si>
  <si>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</si>
  <si>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</si>
  <si>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</si>
  <si>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</si>
  <si>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</si>
  <si>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</si>
  <si>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</si>
  <si>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</si>
  <si>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</si>
  <si>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</si>
  <si>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</si>
  <si>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</si>
  <si>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</si>
  <si>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</si>
  <si>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</si>
  <si>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</si>
  <si>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</si>
  <si>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</si>
  <si>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</si>
  <si>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</si>
  <si>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</si>
  <si>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</si>
  <si>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</si>
  <si>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</si>
  <si>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</si>
  <si>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</si>
  <si>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</si>
  <si>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</si>
  <si>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</si>
  <si>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</si>
  <si>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</si>
  <si>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</si>
  <si>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</si>
  <si>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</si>
  <si>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</si>
  <si>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</si>
  <si>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</si>
  <si>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</si>
  <si>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</si>
  <si>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</si>
  <si>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</si>
  <si>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</si>
  <si>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</si>
  <si>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</si>
  <si>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</si>
  <si>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</si>
  <si>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</si>
  <si>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</si>
  <si>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</si>
  <si>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</si>
  <si>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</si>
  <si>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</si>
  <si>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</si>
  <si>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</si>
  <si>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</si>
  <si>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</si>
  <si>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</si>
  <si>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</si>
  <si>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</si>
  <si>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</si>
  <si>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</si>
  <si>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</si>
  <si>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</si>
  <si>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</si>
  <si>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</si>
  <si>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</si>
  <si>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</si>
  <si>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</si>
  <si>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</si>
  <si>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</si>
  <si>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</si>
  <si>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</si>
  <si>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</si>
  <si>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</si>
  <si>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</si>
  <si>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</si>
  <si>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</si>
  <si>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</si>
  <si>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</si>
  <si>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</si>
  <si>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</si>
  <si>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</si>
  <si>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</si>
  <si>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</si>
  <si>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</si>
  <si>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</si>
  <si>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</si>
  <si>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</si>
  <si>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</si>
  <si>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</si>
  <si>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</si>
  <si>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</si>
  <si>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</si>
  <si>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</si>
  <si>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</si>
  <si>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</si>
  <si>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</si>
  <si>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</si>
  <si>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</si>
  <si>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</si>
  <si>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</si>
  <si>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</si>
  <si>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</si>
  <si>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</si>
  <si>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</si>
  <si>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</si>
  <si>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</si>
  <si>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</si>
  <si>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</si>
  <si>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</si>
  <si>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</si>
  <si>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</si>
  <si>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</si>
  <si>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</si>
  <si>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</si>
  <si>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</si>
  <si>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</si>
  <si>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</si>
  <si>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</si>
  <si>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</si>
  <si>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</si>
  <si>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</si>
  <si>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</si>
  <si>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</si>
  <si>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</si>
  <si>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</si>
  <si>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</si>
  <si>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</si>
  <si>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</si>
  <si>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</si>
  <si>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</si>
  <si>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</si>
  <si>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</si>
  <si>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</si>
  <si>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</si>
  <si>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</si>
  <si>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</si>
  <si>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</si>
  <si>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</si>
  <si>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</si>
  <si>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</si>
  <si>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</si>
  <si>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</si>
  <si>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</si>
  <si>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</si>
  <si>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</si>
  <si>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</si>
  <si>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</si>
  <si>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</si>
  <si>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</si>
  <si>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</si>
  <si>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</si>
  <si>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</si>
  <si>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</si>
  <si>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</si>
  <si>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</si>
  <si>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</si>
  <si>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</si>
  <si>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</si>
  <si>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</si>
  <si>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</si>
  <si>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</si>
  <si>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</si>
  <si>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</si>
  <si>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</si>
  <si>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</si>
  <si>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</si>
  <si>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</si>
  <si>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</si>
  <si>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</si>
  <si>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</si>
  <si>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</si>
  <si>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</si>
  <si>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</si>
  <si>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</si>
  <si>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</si>
  <si>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</si>
  <si>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</si>
  <si>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</si>
  <si>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</si>
  <si>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</si>
  <si>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</si>
  <si>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</si>
  <si>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</si>
  <si>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</si>
  <si>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</si>
  <si>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</si>
  <si>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</si>
  <si>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</si>
  <si>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</si>
  <si>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</si>
  <si>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</si>
  <si>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</si>
  <si>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</si>
  <si>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</si>
  <si>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</si>
  <si>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</si>
  <si>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</si>
  <si>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</si>
  <si>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</si>
  <si>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</si>
  <si>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</si>
  <si>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</si>
  <si>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</si>
  <si>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</si>
  <si>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</si>
  <si>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</si>
  <si>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</si>
  <si>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</si>
  <si>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</si>
  <si>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</si>
  <si>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</si>
  <si>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</si>
  <si>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</si>
  <si>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</si>
  <si>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</si>
  <si>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</si>
  <si>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</si>
  <si>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</si>
  <si>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</si>
  <si>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</si>
  <si>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</si>
  <si>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</si>
  <si>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</si>
  <si>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</si>
  <si>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</si>
  <si>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</si>
  <si>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</si>
  <si>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</si>
  <si>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</si>
  <si>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</si>
  <si>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</si>
  <si>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</si>
  <si>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</si>
  <si>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</si>
  <si>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</si>
  <si>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</si>
  <si>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</si>
  <si>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</si>
  <si>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</si>
  <si>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</si>
  <si>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</si>
  <si>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</si>
  <si>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</si>
  <si>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</si>
  <si>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</si>
  <si>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</si>
  <si>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</si>
  <si>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</si>
  <si>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</si>
  <si>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</si>
  <si>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</si>
  <si>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</si>
  <si>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</si>
  <si>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</si>
  <si>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</si>
  <si>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</si>
  <si>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</si>
  <si>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</si>
  <si>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</si>
  <si>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</si>
  <si>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</si>
  <si>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</si>
  <si>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</si>
  <si>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</si>
  <si>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</si>
  <si>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</si>
  <si>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</si>
  <si>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</si>
  <si>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</si>
  <si>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</si>
  <si>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</si>
  <si>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</si>
  <si>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</si>
  <si>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</si>
  <si>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</si>
  <si>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</si>
  <si>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</si>
  <si>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</si>
  <si>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</si>
  <si>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</si>
  <si>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</si>
  <si>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</si>
  <si>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</si>
  <si>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</si>
  <si>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</si>
  <si>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</si>
  <si>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</si>
  <si>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</si>
  <si>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</si>
  <si>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</si>
  <si>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</si>
  <si>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</si>
  <si>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</si>
  <si>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</si>
  <si>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</si>
  <si>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</si>
  <si>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</si>
  <si>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</si>
  <si>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</si>
  <si>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</si>
  <si>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</si>
  <si>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</si>
  <si>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</si>
  <si>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</si>
  <si>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</si>
  <si>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</si>
  <si>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</si>
  <si>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</si>
  <si>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</si>
  <si>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</si>
  <si>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</si>
  <si>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</si>
  <si>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</si>
  <si>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</si>
  <si>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</si>
  <si>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</si>
  <si>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</si>
  <si>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</si>
  <si>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</si>
  <si>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</si>
  <si>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</si>
  <si>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</si>
  <si>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</si>
  <si>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</si>
  <si>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NFLX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</si>
  <si>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</si>
  <si>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</si>
  <si>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</si>
  <si>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</si>
  <si>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</si>
  <si>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</si>
  <si>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</si>
  <si>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</si>
  <si>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</si>
  <si>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</si>
  <si>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</si>
  <si>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</si>
  <si>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</si>
  <si>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</si>
  <si>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</si>
  <si>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</si>
  <si>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</si>
  <si>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</si>
  <si>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</si>
  <si>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</si>
  <si>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</si>
  <si>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</si>
  <si>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</si>
  <si>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</si>
  <si>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</si>
  <si>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</si>
  <si>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</si>
  <si>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</si>
  <si>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</si>
  <si>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</si>
  <si>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</si>
  <si>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</si>
  <si>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</si>
  <si>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</si>
  <si>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</si>
  <si>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</si>
  <si>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</si>
  <si>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</si>
  <si>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</si>
  <si>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</si>
  <si>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</si>
  <si>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</si>
  <si>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</si>
  <si>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</si>
  <si>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</si>
  <si>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</si>
  <si>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</si>
  <si>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</si>
  <si>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</si>
  <si>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</si>
  <si>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</si>
  <si>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</si>
  <si>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</si>
  <si>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</si>
  <si>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</si>
  <si>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</si>
  <si>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</si>
  <si>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</si>
  <si>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</si>
  <si>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</si>
  <si>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</si>
  <si>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</si>
  <si>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</si>
  <si>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</si>
  <si>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</si>
  <si>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</si>
  <si>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</si>
  <si>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</si>
  <si>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</si>
  <si>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</si>
  <si>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</si>
  <si>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</si>
  <si>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</si>
  <si>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</si>
  <si>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</si>
  <si>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</si>
  <si>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</si>
  <si>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</si>
  <si>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</si>
  <si>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</si>
  <si>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</si>
  <si>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</si>
  <si>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</si>
  <si>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</si>
  <si>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Metals</t>
  </si>
  <si>
    <t xml:space="preserve">GDX </t>
  </si>
  <si>
    <t>B3SA3 16/01/26 C14.77 OTC</t>
  </si>
  <si>
    <t>B3SA3 16/01/26 P13.02 OTC</t>
  </si>
  <si>
    <t>B3SA3 16/01/26 P13.77 OTC</t>
  </si>
  <si>
    <t>PETR4 16/01/26 C31.87 OTC</t>
  </si>
  <si>
    <t>PETR4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</si>
  <si>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</si>
  <si>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</si>
  <si>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</si>
  <si>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</si>
  <si>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</si>
  <si>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</si>
  <si>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</si>
  <si>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</si>
  <si>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</si>
  <si>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</si>
  <si>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</si>
  <si>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</si>
  <si>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</si>
  <si>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</si>
  <si>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</si>
  <si>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</si>
  <si>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</si>
  <si>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</si>
  <si>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</si>
  <si>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</si>
  <si>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</si>
  <si>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</si>
  <si>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</si>
  <si>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</si>
  <si>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</si>
  <si>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</si>
  <si>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</si>
  <si>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</si>
  <si>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</si>
  <si>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</si>
  <si>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</si>
  <si>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</si>
  <si>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</si>
  <si>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</si>
  <si>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</si>
  <si>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</si>
  <si>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</si>
  <si>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</si>
  <si>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</si>
  <si>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</si>
  <si>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</si>
  <si>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</si>
  <si>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</si>
  <si>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</si>
  <si>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</si>
  <si>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</si>
  <si>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</si>
  <si>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</si>
  <si>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</si>
  <si>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</si>
  <si>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</si>
  <si>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</si>
  <si>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</si>
  <si>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</si>
  <si>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</si>
  <si>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</si>
  <si>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</si>
  <si>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</si>
  <si>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</si>
  <si>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</si>
  <si>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</si>
  <si>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</si>
  <si>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</si>
  <si>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</si>
  <si>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</si>
  <si>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</si>
  <si>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</si>
  <si>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</si>
  <si>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</si>
  <si>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</si>
  <si>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</si>
  <si>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</si>
  <si>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</si>
  <si>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</si>
  <si>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</si>
  <si>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</si>
  <si>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</si>
  <si>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</si>
  <si>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</si>
  <si>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</si>
  <si>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</si>
  <si>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</si>
  <si>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</si>
  <si>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</si>
  <si>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</si>
  <si>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</si>
  <si>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</si>
  <si>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</si>
  <si>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</si>
  <si>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</si>
  <si>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</si>
  <si>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</si>
  <si>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</si>
  <si>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</si>
  <si>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</si>
  <si>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</si>
  <si>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</si>
  <si>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</si>
  <si>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</si>
  <si>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</si>
  <si>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</si>
  <si>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</si>
  <si>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</si>
  <si>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</si>
  <si>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</si>
  <si>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</si>
  <si>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</si>
  <si>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</si>
  <si>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</si>
  <si>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</si>
  <si>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</si>
  <si>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</si>
  <si>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</si>
  <si>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</si>
  <si>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</si>
  <si>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</si>
  <si>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</si>
  <si>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</si>
  <si>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</si>
  <si>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</si>
  <si>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</si>
  <si>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</si>
  <si>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</si>
  <si>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P325</t>
  </si>
  <si>
    <t>TSM US 01/16/26 C335</t>
  </si>
  <si>
    <t>TSM US 01/16/26 P315</t>
  </si>
  <si>
    <t>ASML US 01/23/26 P1200</t>
  </si>
  <si>
    <t>ASML US 01/23/26 P1100</t>
  </si>
  <si>
    <t>AMAT US 01/23/26 P280</t>
  </si>
  <si>
    <t>AMAT US 01/23/26 P290</t>
  </si>
  <si>
    <t>AMAT</t>
  </si>
  <si>
    <t>Internet/SW</t>
  </si>
  <si>
    <t>AMAT US 01/23/26 P290 Equity</t>
  </si>
  <si>
    <t>AMAT US Equity</t>
  </si>
  <si>
    <t>290</t>
  </si>
  <si>
    <t>AMAT US 01/23/26 P280 Equity</t>
  </si>
  <si>
    <t>280</t>
  </si>
  <si>
    <t>Pairs</t>
  </si>
  <si>
    <t>QQQ US 01/16/26 C635</t>
  </si>
  <si>
    <t>QQQ US 01/16/26 C633</t>
  </si>
  <si>
    <t>QQQ US 01/16/26 P622</t>
  </si>
  <si>
    <t>EWT US 01/16/26 C66.2</t>
  </si>
  <si>
    <t>QQQ US 01/15/26 P623</t>
  </si>
  <si>
    <t>QQQ US 01/15/26 P622</t>
  </si>
  <si>
    <t>AMAT US 02/06/26 C340</t>
  </si>
  <si>
    <t>AMAT US 02/20/26 C340</t>
  </si>
  <si>
    <t>KLAC US 02/06/26 C1600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</si>
  <si>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</si>
  <si>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</si>
  <si>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</si>
  <si>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</si>
  <si>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</si>
  <si>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</si>
  <si>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</si>
  <si>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</si>
  <si>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</si>
  <si>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</si>
  <si>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ASML NA</t>
  </si>
  <si>
    <t>1OH6</t>
  </si>
  <si>
    <t>SWAP KMH6 21JAN2026 16MAR2026 0.483389265383573</t>
  </si>
  <si>
    <t>META US 07/17/26 C620</t>
  </si>
  <si>
    <t>GDX US 09/18/26 C105</t>
  </si>
  <si>
    <t>GDX US 09/18/26 C115</t>
  </si>
  <si>
    <t>1OG6P 24700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</si>
  <si>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</si>
  <si>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</si>
  <si>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</si>
  <si>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</si>
  <si>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</si>
  <si>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</si>
  <si>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</si>
  <si>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NASDAQ-100 E-mini Options - CME</t>
  </si>
  <si>
    <t>DELL DIVIDEND_</t>
  </si>
  <si>
    <t>Provision EUR Equity EUR_</t>
  </si>
  <si>
    <t>Provision Total Return Swap USD_</t>
  </si>
  <si>
    <t>000660 KP</t>
  </si>
  <si>
    <t>SNDK US 02/20/26 C500</t>
  </si>
  <si>
    <t>QQQ US 01/23/26 C627</t>
  </si>
  <si>
    <t>AMZN US 07/17/26 C230</t>
  </si>
  <si>
    <t>MSFT US 07/17/26 C450</t>
  </si>
  <si>
    <t>MRVL US 03/20/26 P70</t>
  </si>
  <si>
    <t>QQQ US 01/23/26 C630</t>
  </si>
  <si>
    <t>SNDK</t>
  </si>
  <si>
    <t>QQQ US 01/23/26 P620</t>
  </si>
  <si>
    <t>QQQ US 01/21/26 P616</t>
  </si>
  <si>
    <t>QQQ US 01/23/26 P615</t>
  </si>
  <si>
    <t>QQQ US 01/21/26 P614</t>
  </si>
  <si>
    <t>Net ex Metals</t>
  </si>
  <si>
    <t>Net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</si>
</sst>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72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quotePrefix="1" applyFont="1"/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86" fillId="0" borderId="0" xfId="0" applyFont="1" applyAlignment="1">
      <alignment horizontal="center"/>
    </xf>
    <xf numFmtId="196" fontId="0" fillId="0" borderId="0" xfId="0" applyNumberFormat="1"/>
    <xf numFmtId="166" fontId="0" fillId="6" borderId="0" xfId="190" applyNumberFormat="1" applyFont="1" applyFill="1"/>
    <xf numFmtId="4" fontId="86" fillId="6" borderId="0" xfId="190" applyFont="1" applyFill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66" fontId="0" fillId="14" borderId="0" xfId="0" applyNumberFormat="1" applyFill="1"/>
    <xf numFmtId="3" fontId="0" fillId="14" borderId="0" xfId="190" applyNumberFormat="1" applyFont="1" applyFill="1" applyAlignment="1">
      <alignment horizontal="center"/>
    </xf>
    <xf numFmtId="196" fontId="0" fillId="14" borderId="0" xfId="0" applyNumberFormat="1" applyFill="1"/>
    <xf numFmtId="10" fontId="0" fillId="14" borderId="0" xfId="1" applyNumberFormat="1" applyFont="1" applyFill="1" applyBorder="1"/>
    <xf numFmtId="170" fontId="0" fillId="14" borderId="0" xfId="190" applyNumberFormat="1" applyFont="1" applyFill="1" applyBorder="1"/>
    <xf numFmtId="4" fontId="0" fillId="14" borderId="0" xfId="190" applyFont="1" applyFill="1"/>
    <xf numFmtId="170" fontId="0" fillId="14" borderId="0" xfId="1" applyNumberFormat="1" applyFont="1" applyFill="1"/>
    <xf numFmtId="173" fontId="0" fillId="14" borderId="0" xfId="1" applyNumberFormat="1" applyFont="1" applyFill="1"/>
    <xf numFmtId="10" fontId="0" fillId="14" borderId="0" xfId="1" applyNumberFormat="1" applyFont="1" applyFill="1"/>
    <xf numFmtId="169" fontId="0" fillId="97" borderId="0" xfId="190" applyNumberFormat="1" applyFont="1" applyFill="1"/>
    <xf numFmtId="4" fontId="0" fillId="97" borderId="0" xfId="190" applyFont="1" applyFill="1"/>
    <xf numFmtId="170" fontId="0" fillId="97" borderId="0" xfId="190" applyNumberFormat="1" applyFont="1" applyFill="1"/>
    <xf numFmtId="195" fontId="0" fillId="97" borderId="0" xfId="190" applyNumberFormat="1" applyFont="1" applyFill="1"/>
    <xf numFmtId="167" fontId="0" fillId="97" borderId="0" xfId="190" applyNumberFormat="1" applyFont="1" applyFill="1"/>
    <xf numFmtId="4" fontId="1" fillId="97" borderId="0" xfId="190" applyFont="1" applyFill="1" applyAlignment="1">
      <alignment horizontal="right"/>
    </xf>
    <xf numFmtId="43" fontId="0" fillId="97" borderId="0" xfId="190" quotePrefix="1" applyNumberFormat="1" applyFont="1" applyFill="1"/>
    <xf numFmtId="170" fontId="1" fillId="97" borderId="0" xfId="190" applyNumberFormat="1" applyFont="1" applyFill="1"/>
    <xf numFmtId="172" fontId="0" fillId="97" borderId="0" xfId="1" applyNumberFormat="1" applyFont="1" applyFill="1"/>
    <xf numFmtId="9" fontId="0" fillId="97" borderId="0" xfId="1" applyFont="1" applyFill="1"/>
    <xf numFmtId="10" fontId="0" fillId="97" borderId="0" xfId="1" applyNumberFormat="1" applyFont="1" applyFill="1"/>
    <xf numFmtId="43" fontId="0" fillId="97" borderId="0" xfId="190" applyNumberFormat="1" applyFont="1" applyFill="1"/>
    <xf numFmtId="4" fontId="86" fillId="97" borderId="0" xfId="190" applyFont="1" applyFill="1"/>
    <xf numFmtId="166" fontId="0" fillId="97" borderId="0" xfId="190" applyNumberFormat="1" applyFont="1" applyFill="1"/>
    <xf numFmtId="0" fontId="0" fillId="97" borderId="0" xfId="0" applyFill="1"/>
    <xf numFmtId="4" fontId="28" fillId="97" borderId="0" xfId="190" applyFont="1" applyFill="1"/>
    <xf numFmtId="172" fontId="0" fillId="97" borderId="0" xfId="0" applyNumberFormat="1" applyFill="1"/>
    <xf numFmtId="171" fontId="0" fillId="97" borderId="0" xfId="190" applyNumberFormat="1" applyFont="1" applyFill="1"/>
    <xf numFmtId="170" fontId="0" fillId="14" borderId="1" xfId="190" applyNumberFormat="1" applyFont="1" applyFill="1" applyBorder="1"/>
    <xf numFmtId="198" fontId="0" fillId="14" borderId="0" xfId="1" applyNumberFormat="1" applyFont="1" applyFill="1"/>
    <xf numFmtId="166" fontId="0" fillId="14" borderId="1" xfId="190" applyNumberFormat="1" applyFont="1" applyFill="1" applyBorder="1"/>
    <xf numFmtId="10" fontId="0" fillId="14" borderId="1" xfId="1" applyNumberFormat="1" applyFont="1" applyFill="1" applyBorder="1"/>
    <xf numFmtId="43" fontId="0" fillId="14" borderId="0" xfId="190" applyNumberFormat="1" applyFont="1" applyFill="1"/>
    <xf numFmtId="168" fontId="0" fillId="14" borderId="0" xfId="190" applyNumberFormat="1" applyFont="1" applyFill="1"/>
    <xf numFmtId="166" fontId="0" fillId="14" borderId="0" xfId="0" applyNumberFormat="1" applyFill="1" applyAlignment="1">
      <alignment horizontal="right"/>
    </xf>
    <xf numFmtId="166" fontId="0" fillId="14" borderId="0" xfId="190" applyNumberFormat="1" applyFont="1" applyFill="1"/>
    <xf numFmtId="0" fontId="0" fillId="14" borderId="0" xfId="0" applyFill="1"/>
    <xf numFmtId="3" fontId="0" fillId="14" borderId="0" xfId="190" applyNumberFormat="1" applyFont="1" applyFill="1"/>
    <xf numFmtId="0" fontId="0" fillId="14" borderId="0" xfId="0" applyFill="1" applyAlignment="1">
      <alignment horizontal="center"/>
    </xf>
    <xf numFmtId="172" fontId="0" fillId="14" borderId="0" xfId="1" applyNumberFormat="1" applyFont="1" applyFill="1"/>
    <xf numFmtId="43" fontId="0" fillId="14" borderId="19" xfId="190" applyNumberFormat="1" applyFont="1" applyFill="1" applyBorder="1" applyAlignment="1">
      <alignment horizontal="right"/>
    </xf>
    <xf numFmtId="2" fontId="0" fillId="97" borderId="0" xfId="0" applyNumberFormat="1" applyFill="1"/>
    <xf numFmtId="172" fontId="0" fillId="2" borderId="0" xfId="1" quotePrefix="1" applyNumberFormat="1" applyFont="1" applyFill="1"/>
    <xf numFmtId="0" fontId="3" fillId="95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3" fillId="93" borderId="49" xfId="0" applyFont="1" applyFill="1" applyBorder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applyFont="1"/>
    <xf numFmtId="0" fontId="86" fillId="0" borderId="18" xfId="0" applyFont="1" applyBorder="1"/>
    <xf numFmtId="0" fontId="86" fillId="0" borderId="1" xfId="0" applyFont="1" applyBorder="1"/>
    <xf numFmtId="4" fontId="28" fillId="92" borderId="0" xfId="190" applyFont="1" applyFill="1"/>
    <xf numFmtId="0" fontId="0" fillId="92" borderId="0" xfId="0" applyFill="1"/>
    <xf numFmtId="166" fontId="0" fillId="92" borderId="0" xfId="190" applyNumberFormat="1" applyFont="1" applyFill="1"/>
    <xf numFmtId="4" fontId="86" fillId="92" borderId="0" xfId="190" applyFont="1" applyFill="1"/>
    <xf numFmtId="43" fontId="0" fillId="92" borderId="0" xfId="190" applyNumberFormat="1" applyFont="1" applyFill="1"/>
    <xf numFmtId="10" fontId="0" fillId="92" borderId="0" xfId="1" applyNumberFormat="1" applyFont="1" applyFill="1"/>
    <xf numFmtId="9" fontId="0" fillId="92" borderId="0" xfId="1" applyFont="1" applyFill="1"/>
    <xf numFmtId="172" fontId="0" fillId="92" borderId="0" xfId="1" applyNumberFormat="1" applyFont="1" applyFill="1"/>
    <xf numFmtId="170" fontId="1" fillId="92" borderId="0" xfId="190" applyNumberFormat="1" applyFont="1" applyFill="1"/>
    <xf numFmtId="43" fontId="0" fillId="92" borderId="0" xfId="190" quotePrefix="1" applyNumberFormat="1" applyFont="1" applyFill="1"/>
    <xf numFmtId="4" fontId="1" fillId="92" borderId="0" xfId="190" applyFont="1" applyFill="1" applyAlignment="1">
      <alignment horizontal="right"/>
    </xf>
    <xf numFmtId="167" fontId="0" fillId="92" borderId="0" xfId="190" applyNumberFormat="1" applyFont="1" applyFill="1"/>
    <xf numFmtId="195" fontId="0" fillId="92" borderId="0" xfId="190" applyNumberFormat="1" applyFont="1" applyFill="1"/>
    <xf numFmtId="170" fontId="0" fillId="92" borderId="0" xfId="190" applyNumberFormat="1" applyFont="1" applyFill="1"/>
    <xf numFmtId="171" fontId="0" fillId="92" borderId="0" xfId="190" applyNumberFormat="1" applyFont="1" applyFill="1"/>
    <xf numFmtId="172" fontId="0" fillId="92" borderId="0" xfId="0" applyNumberFormat="1" applyFill="1"/>
    <xf numFmtId="4" fontId="0" fillId="92" borderId="0" xfId="190" applyFont="1" applyFill="1"/>
    <xf numFmtId="169" fontId="0" fillId="92" borderId="0" xfId="190" applyNumberFormat="1" applyFont="1" applyFill="1"/>
    <xf numFmtId="2" fontId="0" fillId="92" borderId="0" xfId="0" applyNumberFormat="1" applyFill="1"/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  <xf numFmtId="9" fontId="28" fillId="0" borderId="0" xfId="1" applyFont="1" applyFill="1"/>
    <xf numFmtId="0" fontId="0" fillId="84" borderId="2" xfId="0" applyFont="1" applyFill="1" applyBorder="1"/>
    <xf numFmtId="9" fontId="28" fillId="2" borderId="0" xfId="1" applyFont="1" applyFill="1"/>
  </cellXfs>
  <cellStyles count="5463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-0.1320112943649292</v>
        <stp/>
        <stp>BDP|7089862060470095058|22</stp>
        <stp>TSM US 03/20/26 C300 Equity</stp>
        <stp>theta_mid_rt</stp>
        <tr r="AN32" s="2"/>
      </tp>
      <tp>
        <v>26585.06</v>
        <stp/>
        <stp>BDP|17098946093906753306|22</stp>
        <stp>HSI Index</stp>
        <stp>LAST_PRICE</stp>
        <tr r="H18" s="252"/>
        <tr r="H18" s="252"/>
      </tp>
      <tp t="s">
        <v>USD</v>
        <stp/>
        <stp>BDP|795827357083289767|22</stp>
        <stp>EWT US 01/16/26 C66.2 Equity</stp>
        <stp>QUOTED_CURRENCY_REALTIME</stp>
        <tr r="F178" s="89"/>
      </tp>
      <tp>
        <v>32.6</v>
        <stp/>
        <stp>BDP|3309468697196509506|22</stp>
        <stp>META US 04/17/26 P600 Equity</stp>
        <stp>ask</stp>
        <tr r="Q13" s="2"/>
        <tr r="L180" s="89"/>
      </tp>
      <tp>
        <v>401.93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F63" s="89"/>
        <tr r="G18" s="2"/>
      </tp>
      <tp>
        <v>0.19</v>
        <stp/>
        <stp>BDP|6734297528663565888|22</stp>
        <stp>AMAT US 01/23/26 P290 Equity</stp>
        <stp>mid</stp>
        <tr r="L22" s="2"/>
      </tp>
      <tp t="s">
        <v>#N/A Real Time</v>
        <stp/>
        <stp>BDP|9106857053131827566|22</stp>
        <stp>SPXW US 12/31/25 C6950 Index</stp>
        <stp>DELTA_MID_RT</stp>
        <tr r="W160" s="89"/>
      </tp>
      <tp>
        <v>0.28266367316246033</v>
        <stp/>
        <stp>BDP|16080044180315030458|22</stp>
        <stp>META US 04/17/26 C690 Equity</stp>
        <stp>DELTA_MID_RT</stp>
        <tr r="AF12" s="2"/>
        <tr r="W170" s="89"/>
        <tr r="W179" s="89"/>
      </tp>
      <tp>
        <v>0.14000000000000001</v>
        <stp/>
        <stp>BDP|9946810605715956638|22</stp>
        <stp>AMAT US 01/23/26 P280 Equity</stp>
        <stp>ask</stp>
        <tr r="Q23" s="2"/>
        <tr r="L56" s="89"/>
      </tp>
      <tp t="s">
        <v>#N/A Real Time</v>
        <stp/>
        <stp>BDP|16888886214969650580|22</stp>
        <stp>AMZN US 10/03/25 P220 Equity</stp>
        <stp>DELTA_MID_RT</stp>
        <tr r="W251" s="89"/>
      </tp>
      <tp t="s">
        <v>#N/A Real Time</v>
        <stp/>
        <stp>BDP|17004938457418083954|22</stp>
        <stp>META US 10/03/25 P730 Equity</stp>
        <stp>DELTA_MID_RT</stp>
        <tr r="W252" s="89"/>
      </tp>
      <tp t="s">
        <v>#N/A Real Time</v>
        <stp/>
        <stp>BDP|4173700437419483715|22</stp>
        <stp>IMBWK5C4 5880 Index</stp>
        <stp>bid</stp>
        <tr r="K90" s="89"/>
      </tp>
      <tp>
        <v>0.06</v>
        <stp/>
        <stp>BDP|1660304564695201690|22</stp>
        <stp>AMAT US 01/23/26 P290 Equity</stp>
        <stp>bid</stp>
        <tr r="P22" s="2"/>
        <tr r="K55" s="89"/>
      </tp>
      <tp>
        <v>21.15</v>
        <stp/>
        <stp>BDP|2905463583307910060|22</stp>
        <stp>META US 04/17/26 P570 Equity</stp>
        <stp>ask</stp>
        <tr r="Q14" s="2"/>
      </tp>
      <tp>
        <v>-0.29032048583030701</v>
        <stp/>
        <stp>BDP|16178066503720423746|22</stp>
        <stp>META US 04/17/26 P570 Equity</stp>
        <stp>DELTA_MID_RT</stp>
        <tr r="AF14" s="2"/>
      </tp>
      <tp t="s">
        <v>USD</v>
        <stp/>
        <stp>BDP|6836574577411751820|22</stp>
        <stp>MRVL US 03/20/26 P75 Equity</stp>
        <stp>QUOTED_CURRENCY_REALTIME</stp>
        <tr r="G16" s="2"/>
      </tp>
      <tp>
        <v>11.45</v>
        <stp/>
        <stp>BDP|6325338273908007494|22</stp>
        <stp>W US 05/15/26 C125 Equity</stp>
        <stp>bid</stp>
        <tr r="K40" s="89"/>
      </tp>
      <tp t="s">
        <v>#N/A Real Time</v>
        <stp/>
        <stp>BDP|3954062195024173589|22</stp>
        <stp>RTYWU5C3 2425 Index</stp>
        <stp>ask</stp>
        <tr r="L144" s="89"/>
      </tp>
      <tp t="s">
        <v>USD</v>
        <stp/>
        <stp>BDP|18302061383042043751|22</stp>
        <stp>1OG6P 24700 Index</stp>
        <stp>QUOTED_CURRENCY_REALTIME</stp>
        <tr r="F153" s="89"/>
      </tp>
      <tp>
        <v>-9.8210424184799194E-2</v>
        <stp/>
        <stp>BDP|2162853239863021436|22</stp>
        <stp>TSM US 06/18/26 C380 Equity</stp>
        <stp>theta_mid_rt</stp>
        <tr r="AN31" s="2"/>
        <tr r="AN29" s="2"/>
      </tp>
      <tp>
        <v>35.020000000000003</v>
        <stp/>
        <stp>BDP|4238048935133024019|22</stp>
        <stp>AVGO US 06/18/26 C350 Equity</stp>
        <stp>mid</stp>
        <tr r="L8" s="2"/>
      </tp>
      <tp>
        <v>0.03</v>
        <stp/>
        <stp>BDP|7439765758104486583|22</stp>
        <stp>AMAT US 01/23/26 P280 Equity</stp>
        <stp>bid</stp>
        <tr r="P23" s="2"/>
        <tr r="K56" s="89"/>
      </tp>
      <tp>
        <v>28.15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42" s="89"/>
      </tp>
      <tp>
        <v>0.5853235125541687</v>
        <stp/>
        <stp>BDP|11241200936261057653|22</stp>
        <stp>AMZN US 07/17/26 C230 Equity</stp>
        <stp>DELTA_MID_RT</stp>
        <tr r="W234" s="89"/>
      </tp>
      <tp>
        <v>11.9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53.46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0.27449968457221985</v>
        <stp/>
        <stp>BDP|14091170888152008254|22</stp>
        <stp>ASHR US 02/20/26 C35 Equity</stp>
        <stp>DELTA_MID_RT</stp>
        <tr r="AF4" s="2"/>
        <tr r="AF5" s="2"/>
      </tp>
      <tp t="s">
        <v>#N/A Real Time</v>
        <stp/>
        <stp>BDP|3206462138727522096|22</stp>
        <stp>META US 10/03/25 P730 Equity</stp>
        <stp>bid</stp>
        <tr r="K252" s="89"/>
      </tp>
      <tp t="s">
        <v>#N/A Real Time</v>
        <stp/>
        <stp>BDP|3350828662352011280|22</stp>
        <stp>RFSWZ4C3 2360 Index</stp>
        <stp>ask</stp>
        <tr r="L122" s="89"/>
      </tp>
      <tp>
        <v>5.75</v>
        <stp/>
        <stp>BDP|5417705247970728008|22</stp>
        <stp>MSFT US 03/20/26 C490 Equity</stp>
        <stp>bid</stp>
        <tr r="P19" s="2"/>
        <tr r="P20" s="2"/>
      </tp>
      <tp>
        <v>444.11</v>
        <stp/>
        <stp>BDP|274803756834169207|22</stp>
        <stp>MSFT EQUITY</stp>
        <stp>LAST_PRICE</stp>
        <tr r="C7" s="1"/>
      </tp>
      <tp>
        <v>-0.32586556673049927</v>
        <stp/>
        <stp>BDP|864859914045185424|22</stp>
        <stp>1OG6P 25000 Index</stp>
        <stp>DELTA_MID_RT</stp>
        <tr r="AF24" s="2"/>
        <tr r="W154" s="89"/>
        <tr r="AF25" s="2"/>
      </tp>
      <tp t="s">
        <v>#N/A Real Time</v>
        <stp/>
        <stp>BDP|7101798468442525731|22</stp>
        <stp>MP US 09/19/25 C50 Equity</stp>
        <stp>DELTA_MID_RT</stp>
        <tr r="W242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42" s="89"/>
      </tp>
      <tp>
        <v>21.22</v>
        <stp/>
        <stp>BDP|9846539138093835445|22</stp>
        <stp>RKT US Equity</stp>
        <stp>LAST_PRICE</stp>
        <tr r="S39" s="89"/>
      </tp>
      <tp t="s">
        <v>USD</v>
        <stp/>
        <stp>BDP|7525271008399615963|22</stp>
        <stp>MRVL US 03/20/26 P80 Equity</stp>
        <stp>QUOTED_CURRENCY_REALTIME</stp>
        <tr r="F62" s="89"/>
        <tr r="G17" s="2"/>
      </tp>
      <tp>
        <v>-0.62632769346237183</v>
        <stp/>
        <stp>BDP|14063713080232141765|22</stp>
        <stp>NFLX US 03/20/26 P90 Equity</stp>
        <stp>DELTA_MID_RT</stp>
        <tr r="W187" s="89"/>
      </tp>
      <tp>
        <v>70.09</v>
        <stp/>
        <stp>BDP|3505174117914270567|22</stp>
        <stp>KRE Equity</stp>
        <stp>LAST PRICE</stp>
        <tr r="I54" s="338"/>
      </tp>
      <tp>
        <v>0.45134934782981873</v>
        <stp/>
        <stp>BDP|18353628177462926305|22</stp>
        <stp>LITE US 02/20/26 C400 Equity</stp>
        <stp>DELTA_MID_RT</stp>
        <tr r="AF10" s="2"/>
        <tr r="AF11" s="2"/>
      </tp>
      <tp>
        <v>267.77</v>
        <stp/>
        <stp>BDP|9630309169962502325|22</stp>
        <stp>IWM Equity</stp>
        <stp>LAST PRICE</stp>
        <tr r="I48" s="338"/>
        <tr r="I49" s="338"/>
      </tp>
      <tp>
        <v>0.54394108057022095</v>
        <stp/>
        <stp>BDP|16680723697996742177|22</stp>
        <stp>MSFT US 07/17/26 C450 Equity</stp>
        <stp>DELTA_MID_RT</stp>
        <tr r="W235" s="89"/>
      </tp>
      <tp t="s">
        <v>#N/A Requesting Data...4283989987</v>
        <stp/>
        <stp>BDP|15582332073698885344</stp>
        <tr r="G19" s="446"/>
      </tp>
      <tp t="s">
        <v>#N/A N/A</v>
        <stp/>
        <stp>BDP|18146375769712507536</stp>
        <tr r="E2" s="1"/>
        <tr r="K36" s="1"/>
      </tp>
      <tp t="s">
        <v>#N/A Requesting Data...4008932997</v>
        <stp/>
        <stp>BDP|13135230879275111937</stp>
        <tr r="AJ12" s="338"/>
      </tp>
      <tp t="s">
        <v>#N/A Requesting Data...3252834694</v>
        <stp/>
        <stp>BDP|17278629169738623577</stp>
        <tr r="N19" s="252"/>
        <tr r="N19" s="252"/>
      </tp>
      <tp t="s">
        <v>#N/A N/A</v>
        <stp/>
        <stp>BDP|13861516293945551079</stp>
        <tr r="AI27" s="1"/>
      </tp>
      <tp t="s">
        <v>#N/A Requesting Data...3568091364</v>
        <stp/>
        <stp>BDP|15581562198526337530</stp>
        <tr r="AK12" s="338"/>
      </tp>
      <tp t="s">
        <v>#N/A Requesting Data...3566503587</v>
        <stp/>
        <stp>BDP|13286384604342093849</stp>
        <tr r="X45" s="338"/>
      </tp>
      <tp t="s">
        <v>#N/A Requesting Data...2891310332</v>
        <stp/>
        <stp>BDP|15717048336038730484</stp>
        <tr r="AD21" s="2"/>
      </tp>
      <tp t="s">
        <v>#N/A Requesting Data...3021698868</v>
        <stp/>
        <stp>BDP|16845320119919973779</stp>
        <tr r="D76" s="89"/>
      </tp>
      <tp t="s">
        <v>#N/A Requesting Data...3465571933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Data...3444691219</v>
        <stp/>
        <stp>BDP|18304888293894101754</stp>
        <tr r="S9" s="338"/>
      </tp>
      <tp t="s">
        <v>#N/A Requesting Data...2770090805</v>
        <stp/>
        <stp>BDP|10639276692284852548</stp>
        <tr r="F28" s="446"/>
      </tp>
      <tp t="s">
        <v>#N/A Requesting Data...3120417051</v>
        <stp/>
        <stp>BDP|10749518787913680498</stp>
        <tr r="G41" s="446"/>
      </tp>
      <tp t="s">
        <v>#N/A Requesting Data...4256314156</v>
        <stp/>
        <stp>BDP|15491877244086779510</stp>
        <tr r="C90" s="89"/>
      </tp>
      <tp t="s">
        <v>#N/A N/A</v>
        <stp/>
        <stp>BDP|15119105356728105374</stp>
        <tr r="AQ22" s="2"/>
        <tr r="AQ23" s="2"/>
        <tr r="AB33" s="89"/>
        <tr r="AB34" s="89"/>
        <tr r="AB55" s="89"/>
        <tr r="AB56" s="89"/>
      </tp>
      <tp t="s">
        <v>#N/A Requesting Data...3236866799</v>
        <stp/>
        <stp>BDP|14781319439677828976</stp>
        <tr r="T254" s="89"/>
      </tp>
      <tp t="s">
        <v>#N/A Requesting Data...4098272383</v>
        <stp/>
        <stp>BDP|12497145892616892699</stp>
        <tr r="D102" s="89"/>
      </tp>
      <tp t="s">
        <v>#N/A Requesting Data...3649505110</v>
        <stp/>
        <stp>BDP|11965805839973703340</stp>
        <tr r="E19" s="2"/>
        <tr r="E20" s="2"/>
      </tp>
      <tp t="s">
        <v>#N/A Requesting Data...3178851275</v>
        <stp/>
        <stp>BDP|14492417491683249054</stp>
        <tr r="AJ41" s="338"/>
        <tr r="AJ42" s="338"/>
      </tp>
      <tp t="s">
        <v>#N/A Requesting Data...3918062643</v>
        <stp/>
        <stp>BDP|12919611498512522569</stp>
        <tr r="T233" s="89"/>
      </tp>
      <tp t="s">
        <v>#N/A Requesting Data...3615675791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Requesting Data...3457927139</v>
        <stp/>
        <stp>BDP|18321659656264152538</stp>
        <tr r="AA211" s="89"/>
        <tr r="Z211" s="89"/>
      </tp>
      <tp t="s">
        <v>#N/A N/A</v>
        <stp/>
        <stp>BDP|14891875496009468680</stp>
        <tr r="R108" s="89"/>
      </tp>
      <tp t="s">
        <v>#N/A Requesting Data...4163517925</v>
        <stp/>
        <stp>BDP|10020321410941159965</stp>
        <tr r="S42" s="338"/>
      </tp>
      <tp t="s">
        <v>#N/A Requesting Data...3048570747</v>
        <stp/>
        <stp>BDP|11794748141588350041</stp>
        <tr r="AJ8" s="338"/>
        <tr r="AJ9" s="338"/>
      </tp>
      <tp t="s">
        <v>#N/A Requesting Data...3592887532</v>
        <stp/>
        <stp>BDP|17629987897674831958</stp>
        <tr r="AH16" s="338"/>
        <tr r="AH38" s="338"/>
        <tr r="AH40" s="338"/>
        <tr r="AJ16" s="338"/>
        <tr r="AJ38" s="338"/>
        <tr r="AJ40" s="338"/>
      </tp>
      <tp t="s">
        <v>#N/A N/A</v>
        <stp/>
        <stp>BDP|16757205954548058378</stp>
        <tr r="AI25" s="1"/>
        <tr r="AI26" s="1"/>
      </tp>
      <tp t="s">
        <v>#N/A Requesting Data...3792367635</v>
        <stp/>
        <stp>BDP|16761382649589718257</stp>
        <tr r="F27" s="446"/>
      </tp>
      <tp t="s">
        <v>#N/A Requesting Data...4091149389</v>
        <stp/>
        <stp>BDP|11629287799981255124</stp>
        <tr r="C68" s="89"/>
      </tp>
      <tp t="s">
        <v>#N/A N/A</v>
        <stp/>
        <stp>BDP|10560430593062313514</stp>
        <tr r="AG39" s="1"/>
        <tr r="AG40" s="1"/>
      </tp>
      <tp t="s">
        <v>#N/A N/A</v>
        <stp/>
        <stp>BDP|13546818454494181070</stp>
        <tr r="AC39" s="1"/>
        <tr r="AC40" s="1"/>
      </tp>
      <tp t="e">
        <v>#N/A</v>
        <stp/>
        <stp>BDH|10097910716274795641</stp>
        <tr r="T18" s="252"/>
        <tr r="W18" s="252"/>
      </tp>
      <tp t="e">
        <v>#N/A</v>
        <stp/>
        <stp>BDH|16226056064798259279</stp>
        <tr r="AR29" s="338"/>
      </tp>
      <tp>
        <v>0.94442898035049438</v>
        <stp/>
        <stp>BDP|4710820818482539208|22</stp>
        <stp>EWT US 01/16/26 C66.2 Equity</stp>
        <stp>DELTA_MID_RT</stp>
        <tr r="W178" s="89"/>
      </tp>
      <tp t="s">
        <v>#N/A Real Time</v>
        <stp/>
        <stp>BDP|14244088115833890454|22</stp>
        <stp>SCH5C   6250 Index</stp>
        <stp>DELTA_MID_RT</stp>
        <tr r="W96" s="89"/>
      </tp>
      <tp>
        <v>0.30779892206192017</v>
        <stp/>
        <stp>BDP|15091267836171787049|22</stp>
        <stp>AVGO US 06/18/26 C410 Equity</stp>
        <stp>DELTA_MID_RT</stp>
        <tr r="AF6" s="2"/>
        <tr r="AF7" s="2"/>
        <tr r="W222" s="89"/>
      </tp>
      <tp>
        <v>25.9</v>
        <stp/>
        <stp>BDP|9892279240398643988|22</stp>
        <stp>AVGO US 06/18/26 P300 Equity</stp>
        <stp>bid</stp>
        <tr r="K224" s="89"/>
      </tp>
      <tp>
        <v>8.4099128842353821E-2</v>
        <stp/>
        <stp>BDP|15345195851714362356|22</stp>
        <stp>NFLX US 03/20/26 C105 Equity</stp>
        <stp>DELTA_MID_RT</stp>
        <tr r="W186" s="89"/>
      </tp>
      <tp t="s">
        <v>#N/A Requesting Data...3870887140</v>
        <stp/>
        <stp>BDP|14708527546846978837</stp>
        <tr r="F22" s="446"/>
      </tp>
      <tp t="s">
        <v>#N/A Requesting Data...3535267246</v>
        <stp/>
        <stp>BDP|17382508591454336498</stp>
        <tr r="F10" s="446"/>
      </tp>
      <tp t="s">
        <v>#N/A Requesting Data...3324485647</v>
        <stp/>
        <stp>BDP|15393992280169008616</stp>
        <tr r="F24" s="446"/>
      </tp>
      <tp t="s">
        <v>#N/A Requesting Data...3920346826</v>
        <stp/>
        <stp>BDP|17538921220052801541</stp>
        <tr r="AA187" s="89"/>
        <tr r="Z187" s="89"/>
      </tp>
      <tp t="s">
        <v>#N/A Requesting Data...3869350737</v>
        <stp/>
        <stp>BDP|10256865635189905931</stp>
        <tr r="AC22" s="1"/>
        <tr r="D26" s="446"/>
      </tp>
      <tp t="s">
        <v>#N/A Requesting Data...3546543435</v>
        <stp/>
        <stp>BDP|16326536432018842310</stp>
        <tr r="E102" s="89"/>
      </tp>
      <tp t="s">
        <v>#N/A Requesting Data...3084213129</v>
        <stp/>
        <stp>BDP|11291613004685235986</stp>
        <tr r="T40" s="89"/>
      </tp>
      <tp t="s">
        <v>#N/A Requesting Data...4160946871</v>
        <stp/>
        <stp>BDP|14305045698741171731</stp>
        <tr r="AD16" s="2"/>
      </tp>
      <tp t="s">
        <v>#N/A Requesting Data...3501676212</v>
        <stp/>
        <stp>BDP|10846290148809317467</stp>
        <tr r="T47" s="338"/>
      </tp>
      <tp t="s">
        <v>#N/A Requesting Data...3628687886</v>
        <stp/>
        <stp>BDP|17908300451053627923</stp>
        <tr r="C16" s="2"/>
      </tp>
      <tp t="s">
        <v>#N/A Requesting Data...3689033390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BDP|11569977534954801402</stp>
        <tr r="D63" s="89"/>
      </tp>
      <tp t="s">
        <v>#N/A Requesting Data...2999928723</v>
        <stp/>
        <stp>BDP|14945010294650760658</stp>
        <tr r="L37" s="338"/>
        <tr r="H37" s="338"/>
      </tp>
      <tp t="s">
        <v>#N/A Requesting Data...2858819176</v>
        <stp/>
        <stp>BDP|14401677888193175241</stp>
        <tr r="C249" s="89"/>
      </tp>
      <tp t="s">
        <v>#N/A Requesting Data...3601018509</v>
        <stp/>
        <stp>BDP|12625403616855824991</stp>
        <tr r="F15" s="446"/>
      </tp>
      <tp t="s">
        <v>#N/A Requesting Data...3559550510</v>
        <stp/>
        <stp>BDP|14416377574372571935</stp>
        <tr r="D101" s="89"/>
      </tp>
      <tp t="s">
        <v>#N/A Requesting Data...3003288472</v>
        <stp/>
        <stp>BDP|14211913292458117708</stp>
        <tr r="E27" s="89"/>
      </tp>
      <tp t="s">
        <v>#N/A N/A</v>
        <stp/>
        <stp>BDP|11745089010498747381</stp>
        <tr r="T75" s="89"/>
      </tp>
      <tp t="s">
        <v>#N/A Requesting Data...4248732562</v>
        <stp/>
        <stp>BDP|10942621120688011798</stp>
        <tr r="V55" s="338"/>
      </tp>
      <tp t="s">
        <v>#N/A Requesting Data...3071479443</v>
        <stp/>
        <stp>BDP|14853590894083718008</stp>
        <tr r="V12" s="338"/>
      </tp>
      <tp t="s">
        <v>#N/A Requesting Data...4168980450</v>
        <stp/>
        <stp>BDP|17077564961768568704</stp>
        <tr r="T10" s="2"/>
        <tr r="T11" s="2"/>
      </tp>
      <tp t="s">
        <v>#N/A Requesting Data...2823722597</v>
        <stp/>
        <stp>BDP|18215029187872028927</stp>
        <tr r="F10" s="2"/>
        <tr r="F11" s="2"/>
      </tp>
      <tp t="s">
        <v>#N/A Requesting Data...3876264666</v>
        <stp/>
        <stp>BDP|13154673264950579831</stp>
        <tr r="P8" s="338"/>
      </tp>
      <tp t="s">
        <v>#N/A Requesting Data...3986618758</v>
        <stp/>
        <stp>BDP|18352383299971018866</stp>
        <tr r="V96" s="89"/>
      </tp>
      <tp t="s">
        <v>#N/A Requesting Data...4140301875</v>
        <stp/>
        <stp>BDP|18149202901248495937</stp>
        <tr r="AH8" s="338"/>
        <tr r="AH9" s="338"/>
      </tp>
      <tp t="s">
        <v>#N/A Requesting Data...3121228921</v>
        <stp/>
        <stp>BDP|17812279814258546797</stp>
        <tr r="U12" s="338"/>
      </tp>
      <tp t="s">
        <v>#N/A Requesting Data...4197873902</v>
        <stp/>
        <stp>BDP|16354487536428919237</stp>
        <tr r="P36" s="338"/>
      </tp>
      <tp t="s">
        <v>#N/A Requesting Data...3768779042</v>
        <stp/>
        <stp>BDP|12938986196201541855</stp>
        <tr r="T9" s="338"/>
      </tp>
      <tp t="s">
        <v>#N/A Requesting Data...3647790801</v>
        <stp/>
        <stp>BDP|17486908537523033556</stp>
        <tr r="E180" s="89"/>
      </tp>
      <tp t="e">
        <v>#N/A</v>
        <stp/>
        <stp>BDH|16853378684607391195</stp>
        <tr r="AU29" s="338"/>
      </tp>
      <tp>
        <v>257.25</v>
        <stp/>
        <stp>BDP|13617156827013839169|22</stp>
        <stp>1OG6P 25000 Index</stp>
        <stp>ask</stp>
        <tr r="Q24" s="2"/>
        <tr r="L154" s="89"/>
        <tr r="Q25" s="2"/>
      </tp>
      <tp t="e">
        <v>#N/A</v>
        <stp/>
        <stp>BDH|11724867290948276331</stp>
        <tr r="AS12" s="338"/>
      </tp>
      <tp t="e">
        <v>#N/A</v>
        <stp/>
        <stp>BDH|13560594585940938574</stp>
        <tr r="AU12" s="338"/>
      </tp>
      <tp t="e">
        <v>#N/A</v>
        <stp/>
        <stp>BDH|14945923814475813210</stp>
        <tr r="AP50" s="338"/>
        <tr r="AU37" s="338"/>
        <tr r="AU36" s="338"/>
        <tr r="AP51" s="338"/>
        <tr r="AU34" s="338"/>
        <tr r="AU35" s="338"/>
      </tp>
      <tp t="e">
        <v>#N/A</v>
        <stp/>
        <stp>BDH|15595515510543849930</stp>
        <tr r="AU42" s="338"/>
      </tp>
      <tp t="s">
        <v>#N/A Requesting Data...4112531983</v>
        <stp/>
        <stp>BDP|16382697175628205742</stp>
        <tr r="K2" s="2"/>
        <tr r="J1" s="24"/>
      </tp>
      <tp t="s">
        <v>#N/A Requesting Data...2999228304</v>
        <stp/>
        <stp>BDP|14534507482414865574</stp>
        <tr r="AF41" s="1"/>
        <tr r="AF42" s="1"/>
        <tr r="AF17" s="338"/>
        <tr r="AF18" s="338"/>
      </tp>
      <tp t="s">
        <v>#N/A Requesting Data...3020759356</v>
        <stp/>
        <stp>BDP|18104805924642791891</stp>
        <tr r="AK9" s="338"/>
      </tp>
      <tp t="s">
        <v>#N/A Requesting Data...4073456841</v>
        <stp/>
        <stp>BDP|11488799325524705843</stp>
        <tr r="D9" s="2"/>
        <tr r="C26" s="89"/>
      </tp>
      <tp t="s">
        <v>#N/A Requesting Data...3275085733</v>
        <stp/>
        <stp>BDP|17083865708016747138</stp>
        <tr r="Q53" s="338"/>
      </tp>
      <tp t="s">
        <v>#N/A Requesting Data...3675843086</v>
        <stp/>
        <stp>BDP|10396685625528096440</stp>
        <tr r="AA19" s="2"/>
        <tr r="AA20" s="2"/>
      </tp>
      <tp t="s">
        <v>#N/A Requesting Data...3469529076</v>
        <stp/>
        <stp>BDP|18319033186521864931</stp>
        <tr r="T224" s="89"/>
      </tp>
      <tp t="s">
        <v>#N/A Requesting Data...3623139632</v>
        <stp/>
        <stp>BDP|11421352885480139296</stp>
        <tr r="AK18" s="338"/>
      </tp>
      <tp t="s">
        <v>#N/A Requesting Data...4127242803</v>
        <stp/>
        <stp>BDP|15481098301135139812</stp>
        <tr r="E211" s="89"/>
      </tp>
      <tp t="s">
        <v>#N/A N/A</v>
        <stp/>
        <stp>BDP|14385972258221788175</stp>
        <tr r="K43" s="1"/>
      </tp>
      <tp t="s">
        <v>#N/A Requesting Data...4065839449</v>
        <stp/>
        <stp>BDP|13508990373623238626</stp>
        <tr r="C235" s="89"/>
      </tp>
      <tp t="s">
        <v>#N/A Requesting Data...3476670723</v>
        <stp/>
        <stp>BDP|11715737354462899964</stp>
        <tr r="AA243" s="89"/>
        <tr r="Z243" s="89"/>
      </tp>
      <tp t="s">
        <v>#N/A Requesting Data...3259554174</v>
        <stp/>
        <stp>BDP|12946933432033614306</stp>
        <tr r="V33" s="89"/>
      </tp>
      <tp t="s">
        <v>#N/A Requesting Data...3243041065</v>
        <stp/>
        <stp>BDP|14368247967240567849</stp>
        <tr r="AK48" s="338"/>
        <tr r="AK49" s="338"/>
      </tp>
      <tp t="s">
        <v>#N/A Requesting Data...3586604606</v>
        <stp/>
        <stp>BDP|14316343546182952997</stp>
        <tr r="O252" s="89"/>
      </tp>
      <tp t="s">
        <v>#N/A N/A</v>
        <stp/>
        <stp>BDP|18355353104331140221</stp>
        <tr r="E6" s="1"/>
      </tp>
      <tp t="s">
        <v>#N/A Requesting Data...3491790637</v>
        <stp/>
        <stp>BDP|14339764599746958441</stp>
        <tr r="L14" s="252"/>
        <tr r="L14" s="252"/>
      </tp>
      <tp t="s">
        <v>#N/A Requesting Data...2892633375</v>
        <stp/>
        <stp>BDP|15036556953368458526</stp>
        <tr r="AD19" s="2"/>
        <tr r="AD20" s="2"/>
      </tp>
      <tp t="s">
        <v>#N/A Requesting Data...3595694416</v>
        <stp/>
        <stp>BDP|13273727322169541747</stp>
        <tr r="S31" s="338"/>
      </tp>
      <tp t="s">
        <v>#N/A Requesting Data...3924791351</v>
        <stp/>
        <stp>BDP|18059086409648276807</stp>
        <tr r="X13" s="338"/>
      </tp>
      <tp t="s">
        <v>#N/A Requesting Data...3230788430</v>
        <stp/>
        <stp>BDP|14077436120512876887</stp>
        <tr r="AH14" s="338"/>
        <tr r="AH35" s="338"/>
      </tp>
      <tp t="s">
        <v>#N/A Requesting Data...3056239379</v>
        <stp/>
        <stp>BDP|15744958059654008590</stp>
        <tr r="M11" s="252"/>
      </tp>
      <tp t="s">
        <v>#N/A Requesting Data...3728199095</v>
        <stp/>
        <stp>BDP|13690707356499397067</stp>
        <tr r="AG42" s="338"/>
      </tp>
      <tp t="s">
        <v>#N/A N/A</v>
        <stp/>
        <stp>BDP|12538321051928445466</stp>
        <tr r="AR17" s="2"/>
      </tp>
      <tp t="s">
        <v>#N/A Requesting Data...3702104936</v>
        <stp/>
        <stp>BDP|13052160308013823928</stp>
        <tr r="L16" s="252"/>
        <tr r="L16" s="252"/>
      </tp>
      <tp t="s">
        <v>#N/A Requesting Data...4188217491</v>
        <stp/>
        <stp>BDP|10630112845779481422</stp>
        <tr r="T8" s="338"/>
      </tp>
      <tp t="s">
        <v>#N/A Requesting Data...3467051710</v>
        <stp/>
        <stp>BDP|15174714974255030800</stp>
        <tr r="O39" s="89"/>
      </tp>
      <tp t="s">
        <v>#N/A N/A</v>
        <stp/>
        <stp>BDP|11209184266078842639</stp>
        <tr r="AC19" s="1"/>
        <tr r="AC20" s="1"/>
      </tp>
      <tp t="s">
        <v>#N/A Requesting Data...3310609246</v>
        <stp/>
        <stp>BDP|17224895325351893413</stp>
        <tr r="V252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Data...3448780849</v>
        <stp/>
        <stp>BDP|18091505366056640561</stp>
        <tr r="D69" s="89"/>
      </tp>
      <tp t="e">
        <v>#N/A</v>
        <stp/>
        <stp>BDH|12132541106727528870</stp>
        <tr r="AN54" s="338"/>
        <tr r="AN53" s="338"/>
        <tr r="AN52" s="338"/>
      </tp>
      <tp t="e">
        <v>#N/A</v>
        <stp/>
        <stp>BDH|13015131571089610456</stp>
        <tr r="AP48" s="338"/>
        <tr r="AU10" s="338"/>
        <tr r="AP47" s="338"/>
        <tr r="AP44" s="338"/>
        <tr r="AU53" s="338"/>
      </tp>
      <tp t="e">
        <v>#N/A</v>
        <stp/>
        <stp>BDH|17181242094277583365</stp>
        <tr r="AP9" s="338"/>
        <tr r="AP8" s="338"/>
      </tp>
      <tp t="e">
        <v>#N/A</v>
        <stp/>
        <stp>BDH|12249480796374133383</stp>
        <tr r="AP37" s="338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Real Time</v>
        <stp/>
        <stp>BDP|3928061582338749570|22</stp>
        <stp>MRYWZ4C4 2390 Index</stp>
        <stp>bid</stp>
        <tr r="K129" s="89"/>
      </tp>
      <tp>
        <v>12.3</v>
        <stp/>
        <stp>BDP|3814154968731114523|22</stp>
        <stp>AMAT US 02/20/26 C340 Equity</stp>
        <stp>bid</stp>
        <tr r="K34" s="89"/>
      </tp>
      <tp t="s">
        <v>#N/A N/A</v>
        <stp/>
        <stp>BDP|14228839741476914704</stp>
        <tr r="AF43" s="1"/>
      </tp>
      <tp t="s">
        <v>#N/A Requesting Data...3295945429</v>
        <stp/>
        <stp>BDP|13108014284305863746</stp>
        <tr r="AH29" s="338"/>
        <tr r="AH30" s="338"/>
        <tr r="AJ29" s="338"/>
        <tr r="AJ30" s="338"/>
      </tp>
      <tp t="s">
        <v>#N/A Requesting Data...3444202396</v>
        <stp/>
        <stp>BDP|16161490436721422919</stp>
        <tr r="D19" s="89"/>
      </tp>
      <tp t="s">
        <v>#N/A Requesting Data...3258776357</v>
        <stp/>
        <stp>BDP|18084144309549296940</stp>
        <tr r="X46" s="338"/>
      </tp>
      <tp t="s">
        <v>#N/A N/A</v>
        <stp/>
        <stp>BDP|11645940326313791089</stp>
        <tr r="AQ9" s="2"/>
        <tr r="AB26" s="89"/>
      </tp>
      <tp t="s">
        <v>#N/A Requesting Data...3467571152</v>
        <stp/>
        <stp>BDP|14080496093764135415</stp>
        <tr r="P8" s="252"/>
      </tp>
      <tp t="s">
        <v>#N/A Requesting Data...3757542236</v>
        <stp/>
        <stp>BDP|10379287684220430311</stp>
        <tr r="F4" s="2"/>
        <tr r="F5" s="2"/>
      </tp>
      <tp t="s">
        <v>#N/A Requesting Data...4212937263</v>
        <stp/>
        <stp>BDP|12113970899503508804</stp>
        <tr r="F22" s="2"/>
      </tp>
      <tp t="s">
        <v>#N/A Requesting Data...3799622650</v>
        <stp/>
        <stp>BDP|17947011696560427707</stp>
        <tr r="T235" s="89"/>
      </tp>
      <tp t="s">
        <v>#N/A Requesting Data...3024542473</v>
        <stp/>
        <stp>BDP|13667922398723991985</stp>
        <tr r="O8" s="252"/>
      </tp>
      <tp t="s">
        <v>#N/A Requesting Data...3982178018</v>
        <stp/>
        <stp>BDP|17139807369698542805</stp>
        <tr r="Q30" s="338"/>
      </tp>
      <tp t="s">
        <v>#N/A N/A</v>
        <stp/>
        <stp>BDP|16276991072151645027</stp>
        <tr r="AC27" s="1"/>
      </tp>
      <tp t="s">
        <v>#N/A Requesting Data...2973107647</v>
        <stp/>
        <stp>BDP|11569233714862664985</stp>
        <tr r="E15" s="2"/>
      </tp>
      <tp t="s">
        <v>#N/A Requesting Data...3534681068</v>
        <stp/>
        <stp>BDP|14084731383605893774</stp>
        <tr r="T30" s="338"/>
      </tp>
      <tp t="s">
        <v>#N/A Requesting Data...3844284894</v>
        <stp/>
        <stp>BDP|17920955902274781369</stp>
        <tr r="AK13" s="338"/>
      </tp>
      <tp t="s">
        <v>#N/A Requesting Data...3888416140</v>
        <stp/>
        <stp>BDP|15814817125237185133</stp>
        <tr r="AK11" s="338"/>
      </tp>
      <tp t="s">
        <v>#N/A Requesting Data...3614471184</v>
        <stp/>
        <stp>BDP|14045555493188155997</stp>
        <tr r="AA235" s="89"/>
        <tr r="Z235" s="89"/>
      </tp>
      <tp t="s">
        <v>#N/A Requesting Data...3711890469</v>
        <stp/>
        <stp>BDP|10683822754613362720</stp>
        <tr r="C89" s="89"/>
      </tp>
      <tp t="s">
        <v>#N/A Requesting Data...3734227174</v>
        <stp/>
        <stp>BDP|14905890171093180111</stp>
        <tr r="U18" s="338"/>
      </tp>
      <tp t="s">
        <v>#N/A N/A</v>
        <stp/>
        <stp>BDP|15676788515242812821</stp>
        <tr r="AV24" s="2"/>
        <tr r="R153" s="89"/>
        <tr r="R154" s="89"/>
        <tr r="AV25" s="2"/>
      </tp>
      <tp t="s">
        <v>#N/A Requesting Data...4041004081</v>
        <stp/>
        <stp>BDP|12314311989030851024</stp>
        <tr r="AA13" s="2"/>
        <tr r="T180" s="89"/>
      </tp>
      <tp t="s">
        <v>#N/A Requesting Data...3467314868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Data...3596208366</v>
        <stp/>
        <stp>BDP|12571041380342291138</stp>
        <tr r="F34" s="446"/>
      </tp>
      <tp t="s">
        <v>#N/A Requesting Data...3154120299</v>
        <stp/>
        <stp>BDP|17654964972910872093</stp>
        <tr r="V204" s="89"/>
      </tp>
      <tp t="s">
        <v>#N/A Requesting Data...3366691591</v>
        <stp/>
        <stp>BDP|13659806942011456735</stp>
        <tr r="P7" s="252"/>
      </tp>
      <tp t="s">
        <v>#N/A Requesting Data...3575004650</v>
        <stp/>
        <stp>BDP|18096821285957052647</stp>
        <tr r="F18" s="446"/>
      </tp>
      <tp t="s">
        <v>#N/A Requesting Data...3688187147</v>
        <stp/>
        <stp>BDP|12951171716612986933</stp>
        <tr r="V195" s="89"/>
      </tp>
      <tp t="s">
        <v>#N/A Requesting Data...3353605513</v>
        <stp/>
        <stp>BDP|17046967805152979583</stp>
        <tr r="V89" s="89"/>
      </tp>
      <tp t="s">
        <v>#N/A N/A</v>
        <stp/>
        <stp>BDP|12912684483811638411</stp>
        <tr r="L25" s="1"/>
        <tr r="L26" s="1"/>
      </tp>
      <tp t="s">
        <v>#N/A Requesting Data...3832238666</v>
        <stp/>
        <stp>BDP|17800905748963418018</stp>
        <tr r="V52" s="338"/>
      </tp>
      <tp t="s">
        <v>#N/A Requesting Data...3344461732</v>
        <stp/>
        <stp>BDP|16080473360335288805</stp>
        <tr r="AF22" s="1"/>
        <tr r="AF10" s="338"/>
        <tr r="AF11" s="338"/>
        <tr r="AF33" s="338"/>
      </tp>
      <tp t="s">
        <v>#N/A Requesting Data...3263564350</v>
        <stp/>
        <stp>BDP|18082660766744672526</stp>
        <tr r="X34" s="338"/>
      </tp>
      <tp t="s">
        <v>#N/A N/A</v>
        <stp/>
        <stp>BDP|17620015100226350806</stp>
        <tr r="AG23" s="1"/>
        <tr r="AG24" s="1"/>
      </tp>
      <tp t="s">
        <v>#N/A Requesting Data...3740614337</v>
        <stp/>
        <stp>BDP|18094164205149537914</stp>
        <tr r="V49" s="89"/>
      </tp>
      <tp t="s">
        <v>#N/A Requesting Data...3245078839</v>
        <stp/>
        <stp>BDP|17113464131298207134</stp>
        <tr r="O6" s="252"/>
      </tp>
      <tp t="s">
        <v>#N/A Requesting Data...3718459708</v>
        <stp/>
        <stp>BDP|16852781535332351915</stp>
        <tr r="E50" s="89"/>
      </tp>
      <tp t="s">
        <v>#N/A Requesting Data...3318609519</v>
        <stp/>
        <stp>BDP|15960037050958482197</stp>
        <tr r="F14" s="2"/>
      </tp>
      <tp t="s">
        <v>#N/A Requesting Data...3076119294</v>
        <stp/>
        <stp>BDP|16284628867238126714</stp>
        <tr r="AD15" s="2"/>
      </tp>
      <tp t="s">
        <v>#N/A Requesting Data...3306579105</v>
        <stp/>
        <stp>BDP|13465906218584984636</stp>
        <tr r="U48" s="338"/>
      </tp>
      <tp t="e">
        <v>#N/A</v>
        <stp/>
        <stp>BDH|15363752867218630543</stp>
        <tr r="AM10" s="338"/>
        <tr r="AM11" s="338"/>
        <tr r="AM33" s="338"/>
      </tp>
      <tp t="e">
        <v>#N/A</v>
        <stp/>
        <stp>BDH|17110868752707381406</stp>
        <tr r="AU45" s="338"/>
      </tp>
      <tp t="s">
        <v>USD</v>
        <stp/>
        <stp>BDP|6513932945318794459|22</stp>
        <stp>ASML US 01/23/26 P1200 Equity</stp>
        <stp>QUOTED_CURRENCY_REALTIME</stp>
        <tr r="F49" s="89"/>
      </tp>
      <tp t="e">
        <v>#N/A</v>
        <stp/>
        <stp>BDH|17358228938306379953</stp>
        <tr r="AM46" s="338"/>
        <tr r="AR51" s="338"/>
        <tr r="AR47" s="338"/>
        <tr r="AR33" s="338"/>
        <tr r="AR31" s="338"/>
        <tr r="AM49" s="338"/>
        <tr r="AM45" s="338"/>
        <tr r="AR41" s="338"/>
      </tp>
      <tp t="e">
        <v>#N/A</v>
        <stp/>
        <stp>BDH|18333809570918970641</stp>
        <tr r="AR8" s="338"/>
        <tr r="AR46" s="338"/>
        <tr r="AR50" s="338"/>
        <tr r="AR32" s="338"/>
      </tp>
      <tp t="s">
        <v>#N/A Real Time</v>
        <stp/>
        <stp>BDP|17008128991791661420|22</stp>
        <stp>MSFT US 10/03/25 P485 Equity</stp>
        <stp>DELTA_MID_RT</stp>
        <tr r="W249" s="89"/>
      </tp>
      <tp t="s">
        <v>#N/A Requesting Data...4160145167</v>
        <stp/>
        <stp>BDP|13370676866274995925</stp>
        <tr r="V29" s="338"/>
      </tp>
      <tp t="s">
        <v>#N/A Requesting Data...3133277740</v>
        <stp/>
        <stp>BDP|16549461050648260185</stp>
        <tr r="V48" s="338"/>
      </tp>
      <tp t="s">
        <v>#N/A Requesting Data...3183332922</v>
        <stp/>
        <stp>BDP|12600721729889000049</stp>
        <tr r="F27" s="2"/>
      </tp>
      <tp t="s">
        <v>#N/A Requesting Data...4091340888</v>
        <stp/>
        <stp>BDP|11883811462826271727</stp>
        <tr r="AI13" s="338"/>
        <tr r="AK13" s="338"/>
      </tp>
      <tp t="s">
        <v>#N/A Requesting Data...3453055198</v>
        <stp/>
        <stp>BDP|15816931278674113197</stp>
        <tr r="C4" s="2"/>
        <tr r="C5" s="2"/>
      </tp>
      <tp t="s">
        <v>#N/A Requesting Data...4174311733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Data...3167491293</v>
        <stp/>
        <stp>BDP|13773404769917079849</stp>
        <tr r="X41" s="338"/>
      </tp>
      <tp t="s">
        <v>#N/A Requesting Data...3065619747</v>
        <stp/>
        <stp>BDP|17094237872549842544</stp>
        <tr r="P11" s="338"/>
      </tp>
      <tp t="s">
        <v>#N/A Requesting Data...4043007681</v>
        <stp/>
        <stp>BDP|17894084826469233293</stp>
        <tr r="D15" s="2"/>
      </tp>
      <tp t="s">
        <v>#N/A Requesting Data...3043182993</v>
        <stp/>
        <stp>BDP|10903940119976188082</stp>
        <tr r="T21" s="2"/>
      </tp>
      <tp t="s">
        <v>#N/A Requesting Data...3162814392</v>
        <stp/>
        <stp>BDP|16326348528261420875</stp>
        <tr r="AH37" s="338"/>
      </tp>
      <tp t="s">
        <v>#N/A Requesting Data...3291323410</v>
        <stp/>
        <stp>BDP|17705908535480976375</stp>
        <tr r="Z205" s="89"/>
        <tr r="AA205" s="89"/>
      </tp>
      <tp t="s">
        <v>#N/A N/A</v>
        <stp/>
        <stp>BDP|14902852357240652727</stp>
        <tr r="K27" s="1"/>
      </tp>
      <tp t="s">
        <v>#N/A Requesting Data...3969288972</v>
        <stp/>
        <stp>BDP|17404395287666660429</stp>
        <tr r="T204" s="89"/>
      </tp>
      <tp t="s">
        <v>#N/A Requesting Data...3178865271</v>
        <stp/>
        <stp>BDP|12942600097452969197</stp>
        <tr r="AI30" s="338"/>
      </tp>
      <tp t="s">
        <v>#N/A Requesting Data...3150859024</v>
        <stp/>
        <stp>BDP|11004855748816491574</stp>
        <tr r="AA145" s="89"/>
        <tr r="Z145" s="89"/>
      </tp>
      <tp t="s">
        <v>#N/A Requesting Data...3994906452</v>
        <stp/>
        <stp>BDP|13321932753372613352</stp>
        <tr r="S50" s="338"/>
      </tp>
      <tp t="s">
        <v>#N/A N/A</v>
        <stp/>
        <stp>BDP|14026845325197194708</stp>
        <tr r="AB28" s="1"/>
      </tp>
      <tp t="s">
        <v>#N/A Requesting Data...3508055585</v>
        <stp/>
        <stp>BDP|18139099943730098283</stp>
        <tr r="X42" s="338"/>
      </tp>
      <tp t="s">
        <v>#N/A Requesting Data...4270737600</v>
        <stp/>
        <stp>BDP|14818954946994919376</stp>
        <tr r="T55" s="338"/>
      </tp>
      <tp t="s">
        <v>#N/A Requesting Data...3522682093</v>
        <stp/>
        <stp>BDP|16547593626468626792</stp>
        <tr r="V90" s="89"/>
      </tp>
      <tp t="s">
        <v>#N/A Requesting Data...3146575388</v>
        <stp/>
        <stp>BDP|12254931781748441511</stp>
        <tr r="AA4" s="2"/>
        <tr r="AA5" s="2"/>
      </tp>
      <tp t="s">
        <v>#N/A N/A</v>
        <stp/>
        <stp>BDP|16747972762296741126</stp>
        <tr r="AF28" s="1"/>
      </tp>
      <tp t="s">
        <v>#N/A Requesting Data...4072937039</v>
        <stp/>
        <stp>BDP|10277773846639500409</stp>
        <tr r="E225" s="89"/>
      </tp>
      <tp t="s">
        <v>#N/A Requesting Data...4196212055</v>
        <stp/>
        <stp>BDP|15391597190645842246</stp>
        <tr r="U41" s="338"/>
      </tp>
      <tp t="s">
        <v>#N/A Requesting Data...4101758187</v>
        <stp/>
        <stp>BDP|11743873404217661042</stp>
        <tr r="D14" s="89"/>
      </tp>
      <tp t="e">
        <v>#N/A</v>
        <stp/>
        <stp>BDH|11803919833681958411</stp>
        <tr r="AS29" s="338"/>
      </tp>
      <tp t="e">
        <v>#N/A</v>
        <stp/>
        <stp>BDH|12414587133019942343</stp>
        <tr r="AP34" s="338"/>
        <tr r="AP13" s="338"/>
      </tp>
      <tp>
        <v>-0.49648788571357727</v>
        <stp/>
        <stp>BDP|12363987419731278955|22</stp>
        <stp>MRVL US 03/20/26 P85 Equity</stp>
        <stp>DELTA_MID_RT</stp>
        <tr r="AF15" s="2"/>
      </tp>
      <tp>
        <v>0.50302809476852417</v>
        <stp/>
        <stp>BDP|18110796337974702583|22</stp>
        <stp>AVGO US 06/18/26 C350 Equity</stp>
        <stp>DELTA_MID_RT</stp>
        <tr r="AF8" s="2"/>
        <tr r="W223" s="89"/>
      </tp>
      <tp t="s">
        <v>#N/A N/A</v>
        <stp/>
        <stp>BDP|14736502366221001988</stp>
        <tr r="AG21" s="1"/>
      </tp>
      <tp t="s">
        <v>#N/A Requesting Data...3687933217</v>
        <stp/>
        <stp>BDP|14590387959435843851</stp>
        <tr r="P18" s="252"/>
      </tp>
      <tp t="s">
        <v>#N/A Requesting Data...4080515943</v>
        <stp/>
        <stp>BDP|11352003716709830654</stp>
        <tr r="Q9" s="338"/>
      </tp>
      <tp t="s">
        <v>#N/A Requesting Data...3434038054</v>
        <stp/>
        <stp>BDP|13791594013149475126</stp>
        <tr r="M13" s="252"/>
      </tp>
      <tp t="s">
        <v>#N/A Requesting Data...3805299137</v>
        <stp/>
        <stp>BDP|17874986578052725446</stp>
        <tr r="P50" s="338"/>
      </tp>
      <tp t="s">
        <v>#N/A N/A</v>
        <stp/>
        <stp>BDP|12067346968488625077</stp>
        <tr r="K9" s="1"/>
      </tp>
      <tp t="s">
        <v>#N/A Requesting Data...3513471582</v>
        <stp/>
        <stp>BDP|12930748263249803590</stp>
        <tr r="V47" s="338"/>
      </tp>
      <tp t="s">
        <v>#N/A Requesting Data...3712949121</v>
        <stp/>
        <stp>BDP|10458872348380612322</stp>
        <tr r="D32" s="446"/>
      </tp>
      <tp t="s">
        <v>#N/A Requesting Data...3126981593</v>
        <stp/>
        <stp>BDP|12114087887616661368</stp>
        <tr r="O205" s="89"/>
      </tp>
      <tp t="s">
        <v>#N/A N/A</v>
        <stp/>
        <stp>BDP|17242536611318950476</stp>
        <tr r="E82" s="89"/>
      </tp>
      <tp t="s">
        <v>#N/A N/A</v>
        <stp/>
        <stp>BDP|12446616610012704839</stp>
        <tr r="AF14" s="1"/>
      </tp>
      <tp t="s">
        <v>#N/A Requesting Data...3930788744</v>
        <stp/>
        <stp>BDP|16111091406080680995</stp>
        <tr r="S20" s="252"/>
      </tp>
      <tp t="s">
        <v>#N/A N/A</v>
        <stp/>
        <stp>BDP|12917284443828342304</stp>
        <tr r="AC41" s="1"/>
        <tr r="AC42" s="1"/>
      </tp>
      <tp t="s">
        <v>#N/A Requesting Data...4189404397</v>
        <stp/>
        <stp>BDP|12565777765454100870</stp>
        <tr r="AK45" s="338"/>
      </tp>
      <tp t="s">
        <v>#N/A Requesting Data...3961049765</v>
        <stp/>
        <stp>BDP|14757904724106470662</stp>
        <tr r="C115" s="89"/>
      </tp>
      <tp t="s">
        <v>#N/A Requesting Data...3381694388</v>
        <stp/>
        <stp>BDP|15520885965692162698</stp>
        <tr r="P35" s="338"/>
      </tp>
      <tp t="s">
        <v>#N/A Requesting Data...3583310041</v>
        <stp/>
        <stp>BDP|15477739397991893583</stp>
        <tr r="F21" s="2"/>
      </tp>
      <tp t="s">
        <v>#N/A N/A</v>
        <stp/>
        <stp>BDP|18411820983824502305</stp>
        <tr r="E9" s="1"/>
        <tr r="K22" s="1"/>
      </tp>
      <tp t="s">
        <v>#N/A Requesting Data...3450750633</v>
        <stp/>
        <stp>BDP|18187575182553363942</stp>
        <tr r="S29" s="338"/>
      </tp>
      <tp t="s">
        <v>#N/A N/A</v>
        <stp/>
        <stp>BDP|15088949515073653147</stp>
        <tr r="AI28" s="1"/>
      </tp>
      <tp t="s">
        <v>#N/A Requesting Data...3973194955</v>
        <stp/>
        <stp>BDP|12559765690110808384</stp>
        <tr r="L6" s="252"/>
        <tr r="L6" s="252"/>
      </tp>
      <tp t="s">
        <v>#N/A Requesting Data...3298314956</v>
        <stp/>
        <stp>BDP|10141273456439406166</stp>
        <tr r="U40" s="338"/>
      </tp>
      <tp t="s">
        <v>#N/A Requesting Data...3717469085</v>
        <stp/>
        <stp>BDP|15650822721567670765</stp>
        <tr r="AF15" s="338"/>
        <tr r="AF39" s="338"/>
        <tr r="AG40" s="338"/>
      </tp>
      <tp t="s">
        <v>#N/A Requesting Data...3990752651</v>
        <stp/>
        <stp>BDP|10661203894173514722</stp>
        <tr r="P40" s="338"/>
      </tp>
      <tp t="s">
        <v>#N/A N/A</v>
        <stp/>
        <stp>BDP|13400157600295352875</stp>
        <tr r="AQ4" s="2"/>
        <tr r="AQ5" s="2"/>
      </tp>
      <tp t="s">
        <v>#N/A Requesting Data...3956066160</v>
        <stp/>
        <stp>BDP|14021064487742370172</stp>
        <tr r="Q48" s="338"/>
      </tp>
      <tp t="s">
        <v>#N/A Requesting Data...3298054589</v>
        <stp/>
        <stp>BDP|16644071595826516655</stp>
        <tr r="M17" s="252"/>
      </tp>
      <tp t="s">
        <v>#N/A Requesting Data...3981137997</v>
        <stp/>
        <stp>BDP|10282731194108712961</stp>
        <tr r="X32" s="338"/>
      </tp>
      <tp t="s">
        <v>#N/A Requesting Data...3145467537</v>
        <stp/>
        <stp>BDP|11825565969849644458</stp>
        <tr r="G26" s="446"/>
      </tp>
      <tp t="s">
        <v>#N/A Requesting Data...3420306914</v>
        <stp/>
        <stp>BDP|11254841161091158123</stp>
        <tr r="T32" s="2"/>
      </tp>
      <tp t="s">
        <v>#N/A Requesting Data...3895661622</v>
        <stp/>
        <stp>BDP|15751277936028198339</stp>
        <tr r="E212" s="89"/>
      </tp>
      <tp t="s">
        <v>#N/A Requesting Data...3926329900</v>
        <stp/>
        <stp>BDP|10108308591442278756</stp>
        <tr r="AD24" s="2"/>
        <tr r="AD25" s="2"/>
        <tr r="V154" s="89"/>
      </tp>
      <tp t="s">
        <v>#N/A Requesting Data...4263736342</v>
        <stp/>
        <stp>BDP|16846520419325782828</stp>
        <tr r="E233" s="89"/>
      </tp>
      <tp t="s">
        <v>#N/A Requesting Data...3315180605</v>
        <stp/>
        <stp>BDP|13743925468151835237</stp>
        <tr r="AF52" s="338"/>
        <tr r="AF53" s="338"/>
        <tr r="AF54" s="338"/>
      </tp>
      <tp t="e">
        <v>#N/A</v>
        <stp/>
        <stp>BDH|12178451994884099457</stp>
        <tr r="AP32" s="338"/>
        <tr r="AP31" s="338"/>
      </tp>
      <tp t="e">
        <v>#N/A</v>
        <stp/>
        <stp>BDH|15301870027157436707</stp>
        <tr r="T7" s="252"/>
        <tr r="W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15.25</v>
        <stp/>
        <stp>BDP|2092788545576573167|22</stp>
        <stp>AMAT US 02/20/26 C340 Equity</stp>
        <stp>ask</stp>
        <tr r="L34" s="89"/>
      </tp>
      <tp t="s">
        <v>#N/A Real Time</v>
        <stp/>
        <stp>BDP|1762043398025110113|22</stp>
        <stp>AVGO US 10/03/25 P330 Equity</stp>
        <stp>ask</stp>
        <tr r="L254" s="89"/>
      </tp>
      <tp t="s">
        <v>#N/A Requesting Data...3311754190</v>
        <stp/>
        <stp>BDP|15731501378408096376</stp>
        <tr r="V253" s="89"/>
      </tp>
      <tp t="s">
        <v>#N/A Requesting Data...3227320276</v>
        <stp/>
        <stp>BDP|10552070608995420954</stp>
        <tr r="O9" s="252"/>
      </tp>
      <tp t="s">
        <v>#N/A N/A</v>
        <stp/>
        <stp>BDP|15489180332173336860</stp>
        <tr r="T17" s="2"/>
        <tr r="O62" s="89"/>
      </tp>
      <tp t="s">
        <v>#N/A Requesting Data...4057788111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Data...4074983282</v>
        <stp/>
        <stp>BDP|16048814305041128389</stp>
        <tr r="AH12" s="338"/>
        <tr r="AJ12" s="338"/>
      </tp>
      <tp t="s">
        <v>#N/A Requesting Data...3359290183</v>
        <stp/>
        <stp>BDP|17315018787765860602</stp>
        <tr r="U29" s="338"/>
      </tp>
      <tp t="s">
        <v>#N/A Requesting Data...3385187011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Data...3524855884</v>
        <stp/>
        <stp>BDP|15549933334837718499</stp>
        <tr r="AJ36" s="338"/>
      </tp>
      <tp t="s">
        <v>#N/A N/A</v>
        <stp/>
        <stp>BDP|12869550454746275841</stp>
        <tr r="K1" s="2"/>
      </tp>
      <tp t="s">
        <v>#N/A Requesting Data...3197399022</v>
        <stp/>
        <stp>BDP|13138132963221825966</stp>
        <tr r="AA154" s="89"/>
        <tr r="Z154" s="89"/>
      </tp>
      <tp t="s">
        <v>#N/A Requesting Data...4127097434</v>
        <stp/>
        <stp>BDP|13021422978704305879</stp>
        <tr r="F33" s="446"/>
      </tp>
      <tp t="s">
        <v>#N/A N/A</v>
        <stp/>
        <stp>BDP|16521478898015424206</stp>
        <tr r="AV12" s="2"/>
        <tr r="AV13" s="2"/>
        <tr r="AV14" s="2"/>
        <tr r="R169" s="89"/>
        <tr r="R170" s="89"/>
        <tr r="R171" s="89"/>
        <tr r="R179" s="89"/>
        <tr r="R233" s="89"/>
        <tr r="R252" s="89"/>
        <tr r="R180" s="89"/>
      </tp>
      <tp t="s">
        <v>#N/A Requesting Data...3286535705</v>
        <stp/>
        <stp>BDP|16877024025140252836</stp>
        <tr r="F37" s="446"/>
      </tp>
      <tp t="s">
        <v>#N/A Requesting Data...3491609282</v>
        <stp/>
        <stp>BDP|11873488141545455841</stp>
        <tr r="AK12" s="338"/>
      </tp>
      <tp t="s">
        <v>#N/A Requesting Data...4086407073</v>
        <stp/>
        <stp>BDP|10918059229437544914</stp>
        <tr r="S14" s="252"/>
      </tp>
      <tp t="s">
        <v>#N/A Requesting Data...3941614840</v>
        <stp/>
        <stp>BDP|17459985945086122091</stp>
        <tr r="F19" s="252"/>
      </tp>
      <tp t="s">
        <v>#N/A Requesting Data...3306412475</v>
        <stp/>
        <stp>BDP|16146881818116826586</stp>
        <tr r="P41" s="338"/>
      </tp>
      <tp t="s">
        <v>#N/A Requesting Data...4038093716</v>
        <stp/>
        <stp>BDP|15485843473026578068</stp>
        <tr r="U54" s="338"/>
      </tp>
      <tp t="s">
        <v>#N/A Requesting Data...3401069040</v>
        <stp/>
        <stp>BDP|14702322456147385934</stp>
        <tr r="U47" s="338"/>
      </tp>
      <tp t="s">
        <v>#N/A Requesting Data...3983461132</v>
        <stp/>
        <stp>BDP|13405037176711243908</stp>
        <tr r="E137" s="89"/>
      </tp>
      <tp t="s">
        <v>#N/A Requesting Data...3217391096</v>
        <stp/>
        <stp>BDP|12945955828165458035</stp>
        <tr r="AA96" s="89"/>
        <tr r="Z96" s="89"/>
      </tp>
      <tp t="s">
        <v>#N/A N/A</v>
        <stp/>
        <stp>BDP|14217961267851904682</stp>
        <tr r="AD17" s="2"/>
        <tr r="V62" s="89"/>
      </tp>
      <tp t="s">
        <v>#N/A Requesting Data...3784737351</v>
        <stp/>
        <stp>BDP|16199643097561563420</stp>
        <tr r="C129" s="89"/>
      </tp>
      <tp t="s">
        <v>#N/A Requesting Data...3195045710</v>
        <stp/>
        <stp>BDP|17683052430211326954</stp>
        <tr r="Q54" s="338"/>
      </tp>
      <tp t="s">
        <v>#N/A Requesting Data...4022116142</v>
        <stp/>
        <stp>BDP|10529046944871483947</stp>
        <tr r="AR10" s="2"/>
        <tr r="AR11" s="2"/>
      </tp>
      <tp t="s">
        <v>#N/A Requesting Data...3926296755</v>
        <stp/>
        <stp>BDP|14226611576428444145</stp>
        <tr r="E234" s="89"/>
      </tp>
      <tp t="s">
        <v>#N/A Requesting Data...3820947311</v>
        <stp/>
        <stp>BDP|11334909590419348448</stp>
        <tr r="Q13" s="338"/>
      </tp>
      <tp t="s">
        <v>#N/A Requesting Data...3638267831</v>
        <stp/>
        <stp>BDP|12025675637399291269</stp>
        <tr r="O15" s="252"/>
      </tp>
      <tp t="s">
        <v>#N/A Requesting Data...4038497875</v>
        <stp/>
        <stp>BDP|11664873615115482148</stp>
        <tr r="V69" s="89"/>
      </tp>
      <tp t="s">
        <v>#N/A Requesting Data...3938421903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Data...3241258944</v>
        <stp/>
        <stp>BDP|12603143287034451379</stp>
        <tr r="D27" s="446"/>
      </tp>
      <tp t="s">
        <v>#N/A Requesting Data...3216112489</v>
        <stp/>
        <stp>BDP|10004210412887167840</stp>
        <tr r="D40" s="446"/>
      </tp>
      <tp t="e">
        <v>#N/A</v>
        <stp/>
        <stp>BDH|17615929365140137415</stp>
        <tr r="AS30" s="338"/>
      </tp>
      <tp t="e">
        <v>#N/A</v>
        <stp/>
        <stp>BDH|13392831222951112430</stp>
        <tr r="J11" s="252"/>
      </tp>
      <tp t="e">
        <v>#N/A</v>
        <stp/>
        <stp>BDH|11531048683984104118</stp>
        <tr r="AS10" s="338"/>
        <tr r="AN48" s="338"/>
        <tr r="AN44" s="338"/>
        <tr r="AS53" s="338"/>
        <tr r="AN47" s="338"/>
      </tp>
      <tp t="s">
        <v>#N/A Invalid Security</v>
        <stp/>
        <stp>BDP|11076688730849429560|22</stp>
        <stp xml:space="preserve"> Equity</stp>
        <stp>bid</stp>
        <tr r="P2" s="2"/>
      </tp>
      <tp t="e">
        <v>#N/A</v>
        <stp/>
        <stp>BDH|15483481785677431206</stp>
        <tr r="AR30" s="338"/>
      </tp>
      <tp t="e">
        <v>#N/A</v>
        <stp/>
        <stp>BDH|16393485477681663852</stp>
        <tr r="AR39" s="338"/>
        <tr r="AR16" s="338"/>
        <tr r="AR44" s="338"/>
        <tr r="AR17" s="338"/>
        <tr r="AR15" s="338"/>
        <tr r="AR38" s="338"/>
        <tr r="AR52" s="338"/>
      </tp>
      <tp>
        <v>-0.31507167220115662</v>
        <stp/>
        <stp>BDP|15300860136715577647|22</stp>
        <stp>AVGO US 06/18/26 P300 Equity</stp>
        <stp>DELTA_MID_RT</stp>
        <tr r="W224" s="89"/>
      </tp>
      <tp>
        <v>362.44</v>
        <stp/>
        <stp>BDP|336164456245703188|22</stp>
        <stp>LITE US Equity</stp>
        <stp>LAST_PRICE</stp>
        <tr r="Z10" s="2"/>
        <tr r="Z11" s="2"/>
      </tp>
      <tp t="s">
        <v>#N/A Real Time</v>
        <stp/>
        <stp>BDP|4430211455615003459|22</stp>
        <stp>4OX4C    20500 Index</stp>
        <stp>bid</stp>
        <tr r="K108" s="89"/>
      </tp>
      <tp>
        <v>7.9</v>
        <stp/>
        <stp>BDP|1280424677835543337|22</stp>
        <stp>AMAT US 02/06/26 C340 Equity</stp>
        <stp>bid</stp>
        <tr r="K33" s="89"/>
      </tp>
      <tp>
        <v>0.42043545842170715</v>
        <stp/>
        <stp>BDP|17408824880674630848|22</stp>
        <stp>AMAT US 02/20/26 C340 Equity</stp>
        <stp>DELTA_MID_RT</stp>
        <tr r="W34" s="89"/>
      </tp>
      <tp>
        <v>32.1</v>
        <stp/>
        <stp>BDP|4716754069265805089|22</stp>
        <stp>LITE US 02/20/26 C400 Equity</stp>
        <stp>bid</stp>
        <tr r="P10" s="2"/>
        <tr r="P11" s="2"/>
      </tp>
      <tp>
        <v>67.45</v>
        <stp/>
        <stp>BDP|7364987876284921219|22</stp>
        <stp>EWT US Equity</stp>
        <stp>LAST_PRICE</stp>
        <tr r="S178" s="89"/>
      </tp>
      <tp t="s">
        <v>#N/A Requesting Data...3499795767</v>
        <stp/>
        <stp>BDP|14785192227628712274</stp>
        <tr r="T251" s="89"/>
      </tp>
      <tp t="s">
        <v>#N/A Requesting Data...4133126224</v>
        <stp/>
        <stp>BDP|10830436782351213025</stp>
        <tr r="AG13" s="338"/>
      </tp>
      <tp t="s">
        <v>#N/A Requesting Data...3947683672</v>
        <stp/>
        <stp>BDP|16101110071044873900</stp>
        <tr r="S19" s="252"/>
      </tp>
      <tp t="s">
        <v>#N/A Requesting Data...3554541815</v>
        <stp/>
        <stp>BDP|17375751787424053193</stp>
        <tr r="T90" s="89"/>
      </tp>
      <tp t="s">
        <v>#N/A Requesting Data...3533513478</v>
        <stp/>
        <stp>BDP|15805166451638287462</stp>
        <tr r="S18" s="338"/>
      </tp>
      <tp t="s">
        <v>#N/A Requesting Data...3462591606</v>
        <stp/>
        <stp>BDP|18288576254733893628</stp>
        <tr r="C50" s="89"/>
      </tp>
      <tp t="s">
        <v>#N/A Requesting Data...4209758582</v>
        <stp/>
        <stp>BDP|18156489044980035568</stp>
        <tr r="Q33" s="338"/>
      </tp>
      <tp t="s">
        <v>#N/A Requesting Data...4054008644</v>
        <stp/>
        <stp>BDP|18446461901708890906</stp>
        <tr r="S45" s="338"/>
      </tp>
      <tp t="s">
        <v>#N/A Requesting Data...4284023884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Data...3739618968</v>
        <stp/>
        <stp>BDP|18053748462790891444</stp>
        <tr r="V169" s="89"/>
      </tp>
      <tp t="s">
        <v>#N/A Requesting Data...3247181125</v>
        <stp/>
        <stp>BDP|10028687100653384862</stp>
        <tr r="T8" s="2"/>
        <tr r="O223" s="89"/>
      </tp>
      <tp t="s">
        <v>#N/A Requesting Data...3461417421</v>
        <stp/>
        <stp>BDP|10239932873407848470</stp>
        <tr r="Q18" s="338"/>
      </tp>
      <tp t="s">
        <v>#N/A Requesting Data...3632197902</v>
        <stp/>
        <stp>BDP|15843140282036113720</stp>
        <tr r="G22" s="446"/>
      </tp>
      <tp t="s">
        <v>#N/A Requesting Data...3521291766</v>
        <stp/>
        <stp>BDP|11847564369457057888</stp>
        <tr r="F13" s="252"/>
      </tp>
      <tp t="s">
        <v>#N/A Requesting Data...3604401062</v>
        <stp/>
        <stp>BDP|11809842670084461778</stp>
        <tr r="F24" s="2"/>
        <tr r="F25" s="2"/>
        <tr r="E154" s="89"/>
      </tp>
      <tp t="s">
        <v>#N/A Requesting Data...3296948619</v>
        <stp/>
        <stp>BDP|13571664718169245067</stp>
        <tr r="U14" s="338"/>
      </tp>
      <tp t="s">
        <v>#N/A Requesting Data...4126389651</v>
        <stp/>
        <stp>BDP|17319342610009091197</stp>
        <tr r="G27" s="446"/>
      </tp>
      <tp t="s">
        <v>#N/A Requesting Data...3948534117</v>
        <stp/>
        <stp>BDP|18197169773181317293</stp>
        <tr r="AA169" s="89"/>
        <tr r="Z169" s="89"/>
      </tp>
      <tp t="s">
        <v>#N/A Requesting Data...4177460807</v>
        <stp/>
        <stp>BDP|14882210397437387533</stp>
        <tr r="T42" s="338"/>
      </tp>
      <tp t="s">
        <v>#N/A Requesting Data...4093830531</v>
        <stp/>
        <stp>BDP|18100357227283413792</stp>
        <tr r="Q12" s="338"/>
      </tp>
      <tp t="s">
        <v>#N/A Requesting Data...3289213901</v>
        <stp/>
        <stp>BDP|16174661133786135858</stp>
        <tr r="L12" s="338"/>
        <tr r="H12" s="338"/>
      </tp>
      <tp t="s">
        <v>#N/A N/A</v>
        <stp/>
        <stp>BDP|12949866375379993934</stp>
        <tr r="AB242" s="89"/>
        <tr r="AB243" s="89"/>
      </tp>
      <tp t="s">
        <v>#N/A Requesting Data...4090286256</v>
        <stp/>
        <stp>BDP|17115834681353057933</stp>
        <tr r="U31" s="338"/>
      </tp>
      <tp t="s">
        <v>#N/A Requesting Data...3529901438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1" s="89"/>
        <tr r="R203" s="89"/>
        <tr r="R204" s="89"/>
        <tr r="R205" s="89"/>
        <tr r="R211" s="89"/>
        <tr r="R212" s="89"/>
        <tr r="R82" s="89"/>
        <tr r="R213" s="89"/>
      </tp>
      <tp t="s">
        <v>#N/A Requesting Data...3692947405</v>
        <stp/>
        <stp>BDP|16200988588058493248</stp>
        <tr r="AA224" s="89"/>
        <tr r="Z224" s="89"/>
      </tp>
      <tp t="s">
        <v>#N/A Requesting Data...3301075300</v>
        <stp/>
        <stp>BDP|17051618884910746406</stp>
        <tr r="T44" s="338"/>
      </tp>
      <tp t="s">
        <v>#N/A Requesting Data...3646721605</v>
        <stp/>
        <stp>BDP|14959318848357778920</stp>
        <tr r="T41" s="338"/>
      </tp>
      <tp t="s">
        <v>#N/A Requesting Data...4021685393</v>
        <stp/>
        <stp>BDP|15219096160618738682</stp>
        <tr r="X17" s="338"/>
      </tp>
      <tp t="s">
        <v>#N/A Requesting Data...4029000181</v>
        <stp/>
        <stp>BDP|14574759861540790819</stp>
        <tr r="S34" s="338"/>
      </tp>
      <tp t="s">
        <v>#N/A Requesting Data...4052435769</v>
        <stp/>
        <stp>BDP|11424392119509475776</stp>
        <tr r="C10" s="2"/>
        <tr r="C11" s="2"/>
      </tp>
      <tp t="s">
        <v>#N/A Requesting Data...4107836678</v>
        <stp/>
        <stp>BDP|12063939312664514322</stp>
        <tr r="N17" s="252"/>
        <tr r="N17" s="252"/>
      </tp>
      <tp t="s">
        <v>#N/A Requesting Data...3835471475</v>
        <stp/>
        <stp>BDP|16239364000238452060</stp>
        <tr r="E40" s="89"/>
      </tp>
      <tp t="e">
        <v>#N/A</v>
        <stp/>
        <stp>BDH|13885285882450008494</stp>
        <tr r="J17" s="252"/>
      </tp>
      <tp>
        <v>616.28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82.415000000000006</v>
        <stp/>
        <stp>BDP|3617422536658376331|22</stp>
        <stp>XLP Equity</stp>
        <stp>LAST PRICE</stp>
        <tr r="I9" s="338"/>
      </tp>
      <tp>
        <v>35.299999999999997</v>
        <stp/>
        <stp>BDP|8644428270203613467|22</stp>
        <stp>LITE US 02/20/26 C400 Equity</stp>
        <stp>ask</stp>
        <tr r="Q10" s="2"/>
        <tr r="Q11" s="2"/>
      </tp>
      <tp>
        <v>0.38858568668365479</v>
        <stp/>
        <stp>BDP|10790294490778670556|22</stp>
        <stp>RKT US 05/15/26 C25 Equity</stp>
        <stp>DELTA_MID_RT</stp>
        <tr r="W39" s="89"/>
      </tp>
      <tp t="s">
        <v>#N/A Requesting Data...3500651111</v>
        <stp/>
        <stp>BDP|12339741374220877028</stp>
        <tr r="F21" s="446"/>
      </tp>
      <tp t="s">
        <v>#N/A Requesting Data...3949351513</v>
        <stp/>
        <stp>BDP|10313697833123536458</stp>
        <tr r="E16" s="2"/>
      </tp>
      <tp t="s">
        <v>#N/A Requesting Data...3860488455</v>
        <stp/>
        <stp>BDP|12562291822957166773</stp>
        <tr r="X15" s="338"/>
        <tr r="X39" s="338"/>
      </tp>
      <tp t="s">
        <v>#N/A Requesting Data...3815193842</v>
        <stp/>
        <stp>BDP|17646594623933242160</stp>
        <tr r="AJ8" s="338"/>
        <tr r="AJ9" s="338"/>
      </tp>
      <tp t="s">
        <v>#N/A Requesting Data...3344086303</v>
        <stp/>
        <stp>BDP|10920319565786030158</stp>
        <tr r="E116" s="89"/>
      </tp>
      <tp t="s">
        <v>#N/A Requesting Data...4033164835</v>
        <stp/>
        <stp>BDP|11988979111049200256</stp>
        <tr r="AK29" s="338"/>
      </tp>
      <tp t="s">
        <v>#N/A Requesting Data...3664353026</v>
        <stp/>
        <stp>BDP|14191291997784108945</stp>
        <tr r="D197" s="89"/>
      </tp>
      <tp t="s">
        <v>#N/A N/A</v>
        <stp/>
        <stp>BDP|15347429979155774156</stp>
        <tr r="AG27" s="1"/>
      </tp>
      <tp t="s">
        <v>#N/A Requesting Data...4015612395</v>
        <stp/>
        <stp>BDP|17671295855377364531</stp>
        <tr r="V205" s="89"/>
      </tp>
      <tp t="s">
        <v>#N/A Requesting Data...3492186380</v>
        <stp/>
        <stp>BDP|11401398931040176301</stp>
        <tr r="V34" s="89"/>
      </tp>
      <tp t="s">
        <v>#N/A Requesting Data...3557721441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Data...3549569887</v>
        <stp/>
        <stp>BDP|14776745928063005042</stp>
        <tr r="T136" s="89"/>
      </tp>
      <tp t="s">
        <v>#N/A Requesting Data...3325244197</v>
        <stp/>
        <stp>BDP|13067192701255314541</stp>
        <tr r="O235" s="89"/>
      </tp>
      <tp t="s">
        <v>#N/A Requesting Data...3824694830</v>
        <stp/>
        <stp>BDP|16840355052516772475</stp>
        <tr r="AR19" s="2"/>
        <tr r="AR20" s="2"/>
      </tp>
      <tp t="s">
        <v>#N/A Requesting Data...3885138076</v>
        <stp/>
        <stp>BDP|16719292853193179031</stp>
        <tr r="T28" s="2"/>
        <tr r="T30" s="2"/>
        <tr r="O13" s="89"/>
      </tp>
      <tp t="s">
        <v>#N/A Requesting Data...3893951467</v>
        <stp/>
        <stp>BDP|13796779298948123776</stp>
        <tr r="C136" s="89"/>
      </tp>
      <tp t="s">
        <v>#N/A Requesting Data...3563602174</v>
        <stp/>
        <stp>BDP|16819116934213136521</stp>
        <tr r="F15" s="2"/>
      </tp>
      <tp t="s">
        <v>#N/A Requesting Data...4030620688</v>
        <stp/>
        <stp>BDP|16047448851216675329</stp>
        <tr r="V68" s="89"/>
      </tp>
      <tp t="s">
        <v>#N/A Requesting Data...3437057610</v>
        <stp/>
        <stp>BDP|11875259860180843752</stp>
        <tr r="L9" s="252"/>
        <tr r="L9" s="252"/>
      </tp>
      <tp t="s">
        <v>#N/A Requesting Data...3524447278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Data...3589354473</v>
        <stp/>
        <stp>BDP|18387530052069086311</stp>
        <tr r="E10" s="2"/>
        <tr r="E11" s="2"/>
      </tp>
      <tp t="s">
        <v>#N/A N/A</v>
        <stp/>
        <stp>BDP|16665812118984554998</stp>
        <tr r="AC18" s="2"/>
        <tr r="AC17" s="2"/>
        <tr r="AC16" s="2"/>
        <tr r="AC15" s="2"/>
      </tp>
      <tp t="s">
        <v>#N/A Requesting Data...3544089463</v>
        <stp/>
        <stp>BDP|16256063836003372424</stp>
        <tr r="Z253" s="89"/>
        <tr r="AA253" s="89"/>
      </tp>
      <tp t="s">
        <v>#N/A Requesting Data...3759530104</v>
        <stp/>
        <stp>BDP|15419576712872224112</stp>
        <tr r="AA212" s="89"/>
        <tr r="Z212" s="89"/>
      </tp>
      <tp t="s">
        <v>#N/A Requesting Data...3536294168</v>
        <stp/>
        <stp>BDP|10392302271721368734</stp>
        <tr r="AJ15" s="338"/>
        <tr r="AJ39" s="338"/>
        <tr r="AK40" s="338"/>
      </tp>
      <tp t="s">
        <v>#N/A Requesting Data...3475566437</v>
        <stp/>
        <stp>BDP|13077127063164089235</stp>
        <tr r="L29" s="338"/>
        <tr r="H29" s="338"/>
        <tr r="L30" s="338"/>
        <tr r="H30" s="338"/>
      </tp>
      <tp t="s">
        <v>#N/A Requesting Data...3468990992</v>
        <stp/>
        <stp>BDP|15616266803836462358</stp>
        <tr r="P18" s="338"/>
      </tp>
      <tp t="s">
        <v>#N/A Requesting Data...3772733807</v>
        <stp/>
        <stp>BDP|12909617883408150686</stp>
        <tr r="F17" s="446"/>
      </tp>
      <tp t="s">
        <v>#N/A Requesting Data...3776410076</v>
        <stp/>
        <stp>BDP|12668630201684454223</stp>
        <tr r="T40" s="338"/>
      </tp>
      <tp t="s">
        <v>#N/A Requesting Data...3527233628</v>
        <stp/>
        <stp>BDP|14907590063523957686</stp>
        <tr r="D39" s="446"/>
      </tp>
      <tp t="s">
        <v>#N/A Requesting Data...3681728978</v>
        <stp/>
        <stp>BDP|15427086549125422631</stp>
        <tr r="F29" s="446"/>
      </tp>
      <tp t="s">
        <v>#N/A Requesting Data...3510375221</v>
        <stp/>
        <stp>BDP|12603611155092450139</stp>
        <tr r="P44" s="338"/>
      </tp>
      <tp t="s">
        <v>#N/A Requesting Data...4265559386</v>
        <stp/>
        <stp>BDP|16481240279105588490</stp>
        <tr r="V197" s="89"/>
      </tp>
      <tp t="s">
        <v>#N/A N/A</v>
        <stp/>
        <stp>BDP|15070758468347809116</stp>
        <tr r="AA75" s="89"/>
        <tr r="Z75" s="89"/>
      </tp>
      <tp t="s">
        <v>#N/A Requesting Data...4261277844</v>
        <stp/>
        <stp>BDP|14733502401484175730</stp>
        <tr r="AD26" s="2"/>
        <tr r="V7" s="89"/>
      </tp>
      <tp t="s">
        <v>#N/A Requesting Data...3991752126</v>
        <stp/>
        <stp>BDP|12650903035052242853</stp>
        <tr r="T50" s="338"/>
      </tp>
      <tp t="s">
        <v>#N/A Requesting Data...3423136903</v>
        <stp/>
        <stp>BDP|15097578277281717435</stp>
        <tr r="AK13" s="338"/>
      </tp>
      <tp t="s">
        <v>#N/A N/A</v>
        <stp/>
        <stp>BDP|17445646416605654744</stp>
        <tr r="AV22" s="2"/>
        <tr r="AV23" s="2"/>
        <tr r="R33" s="89"/>
        <tr r="R34" s="89"/>
        <tr r="R55" s="89"/>
        <tr r="R56" s="89"/>
      </tp>
      <tp t="s">
        <v>#N/A Requesting Data...3990550610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28" s="2"/>
        <tr r="AC30" s="2"/>
        <tr r="AC29" s="2"/>
        <tr r="AC31" s="2"/>
        <tr r="AC32" s="2"/>
      </tp>
      <tp t="s">
        <v>#N/A Requesting Data...4008497702</v>
        <stp/>
        <stp>BDP|10540491936722929740</stp>
        <tr r="F13" s="446"/>
      </tp>
      <tp t="s">
        <v>#N/A Requesting Data...3967254125</v>
        <stp/>
        <stp>BDP|12531711828603842635</stp>
        <tr r="E251" s="89"/>
      </tp>
      <tp t="s">
        <v>#N/A Requesting Data...4102695749</v>
        <stp/>
        <stp>BDP|12465228967747275351</stp>
        <tr r="F8" s="2"/>
      </tp>
      <tp t="s">
        <v>#N/A Requesting Data...3856746205</v>
        <stp/>
        <stp>BDP|12912757174604960475</stp>
        <tr r="O250" s="89"/>
      </tp>
      <tp t="s">
        <v>#N/A N/A</v>
        <stp/>
        <stp>BDP|10374405008290534684</stp>
        <tr r="R49" s="89"/>
        <tr r="R50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115.66</v>
        <stp/>
        <stp>BDP|1868269163989593436|22</stp>
        <stp>EWY Equity</stp>
        <stp>LAST_PRICE</stp>
        <tr r="I28" s="1"/>
      </tp>
      <tp t="e">
        <v>#N/A</v>
        <stp/>
        <stp>BDH|15297763465277099187</stp>
        <tr r="AR10" s="338"/>
        <tr r="AM48" s="338"/>
        <tr r="AM44" s="338"/>
        <tr r="AR53" s="338"/>
        <tr r="AM47" s="338"/>
      </tp>
      <tp t="e">
        <v>#N/A</v>
        <stp/>
        <stp>BDH|13433517978227188448</stp>
        <tr r="J12" s="252"/>
      </tp>
      <tp t="e">
        <v>#N/A</v>
        <stp/>
        <stp>BDH|15152765312098103982</stp>
        <tr r="AR9" s="338"/>
      </tp>
      <tp t="e">
        <v>#N/A</v>
        <stp/>
        <stp>BDH|11902055733296792667</stp>
        <tr r="AM37" s="338"/>
      </tp>
      <tp>
        <v>0.44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1" s="1"/>
      </tp>
      <tp t="s">
        <v>#N/A N/A</v>
        <stp/>
        <stp>BDP|12506693576836787640</stp>
        <tr r="AC21" s="1"/>
      </tp>
      <tp t="s">
        <v>#N/A N/A</v>
        <stp/>
        <stp>BDP|12913717425274232066</stp>
        <tr r="AG25" s="1"/>
        <tr r="AG26" s="1"/>
      </tp>
      <tp>
        <v>255.63</v>
        <stp/>
        <stp>BDP|17779893766609170772|22</stp>
        <stp>1OG6P 25000 Index</stp>
        <stp>mid</stp>
        <tr r="L24" s="2"/>
        <tr r="L25" s="2"/>
      </tp>
      <tp t="s">
        <v>#N/A Requesting Data...3870794786</v>
        <stp/>
        <stp>BDP|14952713124422363077</stp>
        <tr r="AI54" s="338"/>
      </tp>
      <tp t="s">
        <v>#N/A N/A</v>
        <stp/>
        <stp>BDP|17344183941382189338</stp>
        <tr r="AQ21" s="2"/>
        <tr r="AQ19" s="2"/>
        <tr r="AQ20" s="2"/>
        <tr r="AB235" s="89"/>
        <tr r="AB249" s="89"/>
      </tp>
      <tp t="s">
        <v>#N/A Requesting Data...3588912956</v>
        <stp/>
        <stp>BDP|12659323579531227475</stp>
        <tr r="C137" s="89"/>
      </tp>
      <tp t="s">
        <v>#N/A Requesting Data...3918683140</v>
        <stp/>
        <stp>BDP|13685951603788859137</stp>
        <tr r="T138" s="89"/>
      </tp>
      <tp t="s">
        <v>#N/A Requesting Data...4287434541</v>
        <stp/>
        <stp>BDP|10998952471375281858</stp>
        <tr r="D10" s="2"/>
        <tr r="D11" s="2"/>
      </tp>
      <tp t="s">
        <v>#N/A Requesting Data...3479241158</v>
        <stp/>
        <stp>BDP|11141247349161569535</stp>
        <tr r="F6" s="2"/>
        <tr r="F7" s="2"/>
      </tp>
      <tp t="s">
        <v>#N/A Requesting Data...3931034935</v>
        <stp/>
        <stp>BDP|16973005602894719115</stp>
        <tr r="P19" s="252"/>
      </tp>
      <tp t="s">
        <v>#N/A N/A</v>
        <stp/>
        <stp>BDP|12197625641431851271</stp>
        <tr r="D18" s="2"/>
        <tr r="C63" s="89"/>
      </tp>
      <tp t="s">
        <v>#N/A Requesting Data...3698592602</v>
        <stp/>
        <stp>BDP|15191051320816935201</stp>
        <tr r="Q36" s="338"/>
      </tp>
      <tp t="s">
        <v>#N/A Requesting Data...3629857355</v>
        <stp/>
        <stp>BDP|14061654258613093712</stp>
        <tr r="AA116" s="89"/>
        <tr r="Z116" s="89"/>
      </tp>
      <tp t="s">
        <v>#N/A Requesting Data...4206529651</v>
        <stp/>
        <stp>BDP|11585397164616268161</stp>
        <tr r="D116" s="89"/>
      </tp>
      <tp t="s">
        <v>#N/A Requesting Data...3783227492</v>
        <stp/>
        <stp>BDP|12861943665177076956</stp>
        <tr r="AF12" s="338"/>
      </tp>
      <tp t="s">
        <v>#N/A Requesting Data...4178518392</v>
        <stp/>
        <stp>BDP|15919437567850131436</stp>
        <tr r="G28" s="446"/>
      </tp>
      <tp t="s">
        <v>#N/A Requesting Data...3584341695</v>
        <stp/>
        <stp>BDP|17345659231843132294</stp>
        <tr r="X31" s="338"/>
      </tp>
      <tp t="s">
        <v>#N/A N/A</v>
        <stp/>
        <stp>BDP|12988555714434708108</stp>
        <tr r="R186" s="89"/>
        <tr r="R187" s="89"/>
        <tr r="R188" s="89"/>
      </tp>
      <tp t="s">
        <v>#N/A N/A</v>
        <stp/>
        <stp>BDP|13934642593416417954</stp>
        <tr r="AI44" s="1"/>
      </tp>
      <tp t="s">
        <v>#N/A Requesting Data...3786334553</v>
        <stp/>
        <stp>BDP|11060492626660625465</stp>
        <tr r="E49" s="89"/>
      </tp>
      <tp t="s">
        <v>#N/A Requesting Data...4108952980</v>
        <stp/>
        <stp>BDP|11636396119835192597</stp>
        <tr r="T69" s="89"/>
      </tp>
      <tp t="s">
        <v>#N/A Requesting Data...4113382281</v>
        <stp/>
        <stp>BDP|17039732835313216359</stp>
        <tr r="G13" s="446"/>
      </tp>
      <tp t="s">
        <v>#N/A Requesting Data...4216714907</v>
        <stp/>
        <stp>BDP|10212284669224289309</stp>
        <tr r="G15" s="446"/>
      </tp>
      <tp t="s">
        <v>#N/A Requesting Data...4193432393</v>
        <stp/>
        <stp>BDP|16462724592283769820</stp>
        <tr r="Z69" s="89"/>
        <tr r="AA69" s="89"/>
      </tp>
      <tp t="s">
        <v>#N/A N/A</v>
        <stp/>
        <stp>BDP|14477773684938548023</stp>
        <tr r="AI23" s="1"/>
        <tr r="AI24" s="1"/>
      </tp>
      <tp t="s">
        <v>#N/A Requesting Data...3830085966</v>
        <stp/>
        <stp>BDP|16582836999550942450</stp>
        <tr r="T23" s="2"/>
        <tr r="O56" s="89"/>
      </tp>
      <tp t="s">
        <v>#N/A Requesting Data...4225507886</v>
        <stp/>
        <stp>BDP|10628744726607068175</stp>
        <tr r="C225" s="89"/>
      </tp>
      <tp t="s">
        <v>#N/A Requesting Data...4250199137</v>
        <stp/>
        <stp>BDP|16931852689404443127</stp>
        <tr r="F23" s="446"/>
      </tp>
      <tp t="s">
        <v>#N/A N/A</v>
        <stp/>
        <stp>BDP|14461057417982680435</stp>
        <tr r="AA18" s="2"/>
        <tr r="T63" s="89"/>
      </tp>
      <tp t="s">
        <v>#N/A Requesting Data...4204670285</v>
        <stp/>
        <stp>BDP|10113138217821262251</stp>
        <tr r="V153" s="89"/>
      </tp>
      <tp t="s">
        <v>#N/A N/A</v>
        <stp/>
        <stp>BDP|17214529260663576400</stp>
        <tr r="AC25" s="1"/>
        <tr r="AC26" s="1"/>
      </tp>
      <tp t="s">
        <v>#N/A Requesting Data...3538568517</v>
        <stp/>
        <stp>BDP|11246696260120787292</stp>
        <tr r="F10" s="252"/>
      </tp>
      <tp t="s">
        <v>#N/A Requesting Data...4192369045</v>
        <stp/>
        <stp>BDP|15227373250511500153</stp>
        <tr r="X14" s="338"/>
      </tp>
      <tp t="s">
        <v>#N/A Requesting Data...3522791058</v>
        <stp/>
        <stp>BDP|13044527620903591424</stp>
        <tr r="U15" s="338"/>
        <tr r="U39" s="338"/>
      </tp>
      <tp t="s">
        <v>#N/A Requesting Data...3534103666</v>
        <stp/>
        <stp>BDP|13604647470276165765</stp>
        <tr r="C13" s="2"/>
      </tp>
      <tp t="s">
        <v>#N/A N/A</v>
        <stp/>
        <stp>BDP|16066178257148215968</stp>
        <tr r="AV18" s="2"/>
        <tr r="AV17" s="2"/>
        <tr r="AV15" s="2"/>
        <tr r="AV16" s="2"/>
        <tr r="R62" s="89"/>
        <tr r="R63" s="89"/>
      </tp>
      <tp t="s">
        <v>#N/A N/A</v>
        <stp/>
        <stp>BDP|12718343677950174519</stp>
        <tr r="E7" s="1"/>
        <tr r="K23" s="1"/>
      </tp>
      <tp t="s">
        <v>#N/A Requesting Data...3513045299</v>
        <stp/>
        <stp>BDP|14592404034766531631</stp>
        <tr r="S53" s="338"/>
      </tp>
      <tp t="s">
        <v>#N/A Requesting Data...3580192204</v>
        <stp/>
        <stp>BDP|11486261538490579386</stp>
        <tr r="AH55" s="338"/>
        <tr r="AI14" s="338"/>
        <tr r="AI55" s="338"/>
      </tp>
      <tp t="s">
        <v>#N/A Requesting Data...3455590328</v>
        <stp/>
        <stp>BDP|10407776681355403913</stp>
        <tr r="AI9" s="338"/>
      </tp>
      <tp t="s">
        <v>#N/A N/A</v>
        <stp/>
        <stp>BDP|14730076527710394522</stp>
        <tr r="K3" s="1"/>
      </tp>
      <tp t="e">
        <v>#N/A</v>
        <stp/>
        <stp>BDH|10021795548529126958</stp>
        <tr r="AN12" s="338"/>
      </tp>
      <tp t="e">
        <v>#N/A</v>
        <stp/>
        <stp>BDH|14583815225278766527</stp>
        <tr r="J8" s="252"/>
      </tp>
      <tp t="e">
        <v>#N/A</v>
        <stp/>
        <stp>BDH|17245592355933721702</stp>
        <tr r="AM38" s="338"/>
        <tr r="AM40" s="338"/>
        <tr r="AM16" s="338"/>
      </tp>
      <tp t="e">
        <v>#N/A</v>
        <stp/>
        <stp>BDH|11704749242837992605</stp>
        <tr r="AP36" s="338"/>
      </tp>
      <tp t="s">
        <v>USD</v>
        <stp/>
        <stp>BDP|1317667679904084219|22</stp>
        <stp>NFLX US 03/20/26 P90 Equity</stp>
        <stp>QUOTED_CURRENCY_REALTIME</stp>
        <tr r="F187" s="89"/>
      </tp>
      <tp>
        <v>-2.8257528319954872E-2</v>
        <stp/>
        <stp>BDP|2414594441666047375|22</stp>
        <stp>GDX US 09/18/26 C115 Equity</stp>
        <stp>theta_mid_rt</stp>
        <tr r="AN27" s="2"/>
      </tp>
      <tp t="s">
        <v>#N/A Real Time</v>
        <stp/>
        <stp>BDP|6498955647858284095|22</stp>
        <stp>AVGO US 10/03/25 P330 Equity</stp>
        <stp>bid</stp>
        <tr r="K254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Data...3642057478</v>
        <stp/>
        <stp>BDP|17314881181040082738</stp>
        <tr r="T205" s="89"/>
      </tp>
      <tp t="s">
        <v>#N/A N/A</v>
        <stp/>
        <stp>BDP|13215475469594762530</stp>
        <tr r="AB89" s="89"/>
        <tr r="AB90" s="89"/>
      </tp>
      <tp t="s">
        <v>#N/A Requesting Data...3501040541</v>
        <stp/>
        <stp>BDP|10384653628097195348</stp>
        <tr r="V33" s="338"/>
      </tp>
      <tp t="s">
        <v>#N/A Requesting Data...4178672344</v>
        <stp/>
        <stp>BDP|15830810886156463309</stp>
        <tr r="AA89" s="89"/>
        <tr r="Z89" s="89"/>
      </tp>
      <tp t="s">
        <v>#N/A Requesting Data...3815668271</v>
        <stp/>
        <stp>BDP|16329127935980609498</stp>
        <tr r="M9" s="252"/>
      </tp>
      <tp t="s">
        <v>#N/A Requesting Data...3947857120</v>
        <stp/>
        <stp>BDP|16876803283380719668</stp>
        <tr r="O213" s="89"/>
      </tp>
      <tp t="s">
        <v>#N/A Requesting Data...3849139538</v>
        <stp/>
        <stp>BDP|10213293417720387350</stp>
        <tr r="V20" s="89"/>
      </tp>
      <tp t="s">
        <v>#N/A Requesting Data...3480268764</v>
        <stp/>
        <stp>BDP|14136785762373472653</stp>
        <tr r="P12" s="338"/>
      </tp>
      <tp t="s">
        <v>#N/A Requesting Data...3438981701</v>
        <stp/>
        <stp>BDP|10907713945543986097</stp>
        <tr r="AJ12" s="338"/>
      </tp>
      <tp t="s">
        <v>#N/A Requesting Data...4053914052</v>
        <stp/>
        <stp>BDP|18157396268365948849</stp>
        <tr r="G32" s="446"/>
      </tp>
      <tp t="s">
        <v>#N/A Requesting Data...3421775204</v>
        <stp/>
        <stp>BDP|12322490716684467354</stp>
        <tr r="AD29" s="2"/>
        <tr r="AD31" s="2"/>
        <tr r="V14" s="89"/>
      </tp>
      <tp t="s">
        <v>#N/A Requesting Data...3937110247</v>
        <stp/>
        <stp>BDP|16998277646851211171</stp>
        <tr r="C40" s="89"/>
      </tp>
      <tp t="s">
        <v>#N/A Requesting Data...3491151845</v>
        <stp/>
        <stp>BDP|10831977579186203890</stp>
        <tr r="F19" s="2"/>
        <tr r="F20" s="2"/>
      </tp>
      <tp t="s">
        <v>#N/A Requesting Data...4291067261</v>
        <stp/>
        <stp>BDP|10932600174437878690</stp>
        <tr r="Q16" s="338"/>
        <tr r="Q38" s="338"/>
      </tp>
      <tp t="s">
        <v>#N/A N/A</v>
        <stp/>
        <stp>BDP|17187500422678411886</stp>
        <tr r="AA17" s="2"/>
        <tr r="T62" s="89"/>
      </tp>
      <tp t="s">
        <v>#N/A Requesting Data...3692377926</v>
        <stp/>
        <stp>BDP|11850099902500446183</stp>
        <tr r="AR29" s="2"/>
        <tr r="AR31" s="2"/>
      </tp>
      <tp t="s">
        <v>#N/A Requesting Data...3676962319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Data...4219008936</v>
        <stp/>
        <stp>BDP|15195339732766983377</stp>
        <tr r="T234" s="89"/>
      </tp>
      <tp t="s">
        <v>#N/A N/A</v>
        <stp/>
        <stp>BDP|13846974553487624841</stp>
        <tr r="AB82" s="89"/>
        <tr r="AB81" s="89"/>
        <tr r="AB75" s="89"/>
        <tr r="AB203" s="89"/>
        <tr r="AB204" s="89"/>
        <tr r="AB205" s="89"/>
        <tr r="AB211" s="89"/>
        <tr r="AB212" s="89"/>
        <tr r="AB213" s="89"/>
        <tr r="AB68" s="89"/>
        <tr r="AB69" s="89"/>
        <tr r="AB76" s="89"/>
      </tp>
      <tp t="s">
        <v>#N/A Requesting Data...3716124285</v>
        <stp/>
        <stp>BDP|13092497781378873713</stp>
        <tr r="E76" s="89"/>
      </tp>
      <tp t="s">
        <v>#N/A N/A</v>
        <stp/>
        <stp>BDP|13176433799579956737</stp>
        <tr r="C17" s="2"/>
      </tp>
      <tp t="s">
        <v>#N/A Requesting Data...3484799319</v>
        <stp/>
        <stp>BDP|13816410858547073506</stp>
        <tr r="Q29" s="338"/>
      </tp>
      <tp t="s">
        <v>#N/A Requesting Data...3521874989</v>
        <stp/>
        <stp>BDP|11877678453870847248</stp>
        <tr r="AJ29" s="338"/>
        <tr r="AJ30" s="338"/>
      </tp>
      <tp t="s">
        <v>#N/A Requesting Data...4004384748</v>
        <stp/>
        <stp>BDP|15996554516532939333</stp>
        <tr r="O251" s="89"/>
      </tp>
      <tp t="s">
        <v>#N/A Requesting Data...4148807166</v>
        <stp/>
        <stp>BDP|17979638844017722292</stp>
        <tr r="E224" s="89"/>
      </tp>
      <tp t="s">
        <v>#N/A Requesting Data...3709637659</v>
        <stp/>
        <stp>BDP|12913131077284987044</stp>
        <tr r="AA22" s="2"/>
        <tr r="T55" s="89"/>
      </tp>
      <tp t="s">
        <v>#N/A Requesting Data...3673472734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Data...4264582756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N/A</v>
        <stp/>
        <stp>BDP|10445203744035528368</stp>
        <tr r="AC27" s="2"/>
        <tr r="AC26" s="2"/>
      </tp>
      <tp t="s">
        <v>#N/A Requesting Data...3993934137</v>
        <stp/>
        <stp>BDP|13439578072010389109</stp>
        <tr r="O225" s="89"/>
      </tp>
      <tp t="s">
        <v>#N/A Requesting Data...4200487365</v>
        <stp/>
        <stp>BDP|11184865175579332734</stp>
        <tr r="F12" s="446"/>
      </tp>
      <tp t="s">
        <v>#N/A Requesting Data...3655293991</v>
        <stp/>
        <stp>BDP|17412755030360143321</stp>
        <tr r="Q34" s="338"/>
      </tp>
      <tp t="s">
        <v>#N/A Requesting Data...3956404937</v>
        <stp/>
        <stp>BDP|12133420967599732913</stp>
        <tr r="AG12" s="338"/>
      </tp>
      <tp t="s">
        <v>#N/A Requesting Data...3691079739</v>
        <stp/>
        <stp>BDP|15122146107040099471</stp>
        <tr r="E55" s="89"/>
      </tp>
      <tp t="s">
        <v>#N/A Requesting Data...3726211752</v>
        <stp/>
        <stp>BDP|13619156964892275609</stp>
        <tr r="Q47" s="338"/>
      </tp>
      <tp t="s">
        <v>#N/A Requesting Data...3659736417</v>
        <stp/>
        <stp>BDP|11301603537853289723</stp>
        <tr r="T18" s="338"/>
      </tp>
      <tp t="s">
        <v>#N/A Requesting Data...4164606049</v>
        <stp/>
        <stp>BDP|17819773794190840945</stp>
        <tr r="P17" s="252"/>
      </tp>
      <tp t="s">
        <v>#N/A Requesting Data...3524593630</v>
        <stp/>
        <stp>BDP|11542574144783666360</stp>
        <tr r="F41" s="446"/>
      </tp>
      <tp t="s">
        <v>#N/A Requesting Data...3520446593</v>
        <stp/>
        <stp>BDP|10347220747614218226</stp>
        <tr r="O203" s="89"/>
      </tp>
      <tp t="e">
        <v>#N/A</v>
        <stp/>
        <stp>BDH|10288286073790935563</stp>
        <tr r="AP29" s="338"/>
        <tr r="AP30" s="338"/>
      </tp>
      <tp t="s">
        <v>USD</v>
        <stp/>
        <stp>BDP|2710784205974410109|22</stp>
        <stp>ASHR US 02/20/26 C35 Equity</stp>
        <stp>QUOTED_CURRENCY_REALTIME</stp>
        <tr r="G4" s="2"/>
        <tr r="G5" s="2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50" s="89"/>
      </tp>
      <tp t="s">
        <v>#N/A Requesting Data...4293104289</v>
        <stp/>
        <stp>BDP|10801083268771247632</stp>
        <tr r="D90" s="89"/>
      </tp>
      <tp t="s">
        <v>#N/A Requesting Data...3748664657</v>
        <stp/>
        <stp>BDP|16715867013956947830</stp>
        <tr r="AA56" s="89"/>
        <tr r="Z56" s="89"/>
      </tp>
      <tp t="s">
        <v>#N/A Requesting Data...3732754104</v>
        <stp/>
        <stp>BDP|16930560419574755798</stp>
        <tr r="C6" s="2"/>
        <tr r="C7" s="2"/>
      </tp>
      <tp t="s">
        <v>#N/A Requesting Data...3862680626</v>
        <stp/>
        <stp>BDP|10145720918890433776</stp>
        <tr r="T13" s="2"/>
        <tr r="O180" s="89"/>
      </tp>
      <tp t="s">
        <v>#N/A Requesting Data...3866569549</v>
        <stp/>
        <stp>BDP|12055500611067822013</stp>
        <tr r="AJ31" s="338"/>
        <tr r="AJ32" s="338"/>
        <tr r="AH31" s="338"/>
        <tr r="AH32" s="338"/>
      </tp>
      <tp t="s">
        <v>#N/A Requesting Data...3858186487</v>
        <stp/>
        <stp>BDP|10712352949092709470</stp>
        <tr r="AA19" s="89"/>
        <tr r="Z19" s="89"/>
      </tp>
      <tp t="s">
        <v>#N/A N/A</v>
        <stp/>
        <stp>BDP|14336270361883873268</stp>
        <tr r="E62" s="89"/>
      </tp>
      <tp t="s">
        <v>#N/A Requesting Data...3696078411</v>
        <stp/>
        <stp>BDP|15783676161145872136</stp>
        <tr r="O12" s="252"/>
      </tp>
      <tp t="s">
        <v>#N/A N/A</v>
        <stp/>
        <stp>BDP|10827554593684445907</stp>
        <tr r="AG36" s="1"/>
      </tp>
      <tp t="s">
        <v>#N/A Requesting Data...3531951652</v>
        <stp/>
        <stp>BDP|10651894387614235500</stp>
        <tr r="V138" s="89"/>
      </tp>
      <tp t="s">
        <v>#N/A Requesting Data...3814508982</v>
        <stp/>
        <stp>BDP|10435868994421818135</stp>
        <tr r="C29" s="2"/>
        <tr r="C31" s="2"/>
      </tp>
      <tp t="s">
        <v>#N/A Requesting Data...4150999724</v>
        <stp/>
        <stp>BDP|18017376398746707540</stp>
        <tr r="G37" s="446"/>
      </tp>
      <tp t="s">
        <v>#N/A Requesting Data...3560765853</v>
        <stp/>
        <stp>BDP|12980574200352376429</stp>
        <tr r="D27" s="89"/>
      </tp>
      <tp t="s">
        <v>#N/A N/A</v>
        <stp/>
        <stp>BDP|17365785494690778868</stp>
        <tr r="E5" s="1"/>
        <tr r="K21" s="1"/>
      </tp>
      <tp t="s">
        <v>#N/A Requesting Data...4060553511</v>
        <stp/>
        <stp>BDP|11154785569869703897</stp>
        <tr r="V101" s="89"/>
      </tp>
      <tp t="s">
        <v>#N/A Requesting Data...4191161158</v>
        <stp/>
        <stp>BDP|15429373874678916801</stp>
        <tr r="D22" s="2"/>
        <tr r="C55" s="89"/>
      </tp>
      <tp t="s">
        <v>#N/A Requesting Data...4278526287</v>
        <stp/>
        <stp>BDP|13462113802766482523</stp>
        <tr r="P51" s="338"/>
      </tp>
      <tp t="s">
        <v>#N/A Requesting Data...3626453988</v>
        <stp/>
        <stp>BDP|13507309990980542809</stp>
        <tr r="P54" s="338"/>
      </tp>
      <tp t="s">
        <v>#N/A Requesting Data...3559832044</v>
        <stp/>
        <stp>BDP|12535717957196973799</stp>
        <tr r="Q10" s="338"/>
      </tp>
      <tp t="s">
        <v>#N/A Requesting Data...3605554677</v>
        <stp/>
        <stp>BDP|13251961527568785177</stp>
        <tr r="L41" s="338"/>
        <tr r="H41" s="338"/>
        <tr r="L42" s="338"/>
        <tr r="H42" s="338"/>
      </tp>
      <tp t="s">
        <v>#N/A Requesting Data...3639118596</v>
        <stp/>
        <stp>BDP|10532025680450781936</stp>
        <tr r="T53" s="338"/>
      </tp>
      <tp t="s">
        <v>#N/A Requesting Data...3751565026</v>
        <stp/>
        <stp>BDP|15584846954420486925</stp>
        <tr r="V30" s="338"/>
      </tp>
      <tp t="s">
        <v>#N/A Requesting Data...3617973289</v>
        <stp/>
        <stp>BDP|12417922592843377049</stp>
        <tr r="V50" s="338"/>
      </tp>
      <tp t="s">
        <v>#N/A Requesting Data...3561380101</v>
        <stp/>
        <stp>BDP|15633972697785552118</stp>
        <tr r="V115" s="89"/>
      </tp>
      <tp t="s">
        <v>#N/A N/A</v>
        <stp/>
        <stp>BDP|15698160403534380128</stp>
        <tr r="AB19" s="1"/>
        <tr r="AB20" s="1"/>
      </tp>
      <tp t="s">
        <v>#N/A Requesting Data...3760291048</v>
        <stp/>
        <stp>BDP|10829342338896620706</stp>
        <tr r="D204" s="89"/>
      </tp>
      <tp t="s">
        <v>#N/A Requesting Data...3758908581</v>
        <stp/>
        <stp>BDP|11998355979195097173</stp>
        <tr r="T160" s="89"/>
      </tp>
      <tp t="s">
        <v>#N/A Requesting Data...3880514212</v>
        <stp/>
        <stp>BDP|16353514989043023996</stp>
        <tr r="AH14" s="338"/>
        <tr r="AH35" s="338"/>
        <tr r="AJ14" s="338"/>
        <tr r="AJ35" s="338"/>
      </tp>
      <tp t="s">
        <v>#N/A Requesting Data...3540068080</v>
        <stp/>
        <stp>BDP|12456380201726902619</stp>
        <tr r="AA50" s="89"/>
        <tr r="Z50" s="89"/>
      </tp>
      <tp t="s">
        <v>#N/A Requesting Data...3658969859</v>
        <stp/>
        <stp>BDP|11157579934717202151</stp>
        <tr r="V136" s="89"/>
      </tp>
      <tp t="s">
        <v>#N/A Requesting Data...4243633113</v>
        <stp/>
        <stp>BDP|16176003730321499511</stp>
        <tr r="L9" s="338"/>
        <tr r="J9" s="338"/>
      </tp>
      <tp t="s">
        <v>#N/A Requesting Data...3828803368</v>
        <stp/>
        <stp>BDP|16488629082059415041</stp>
        <tr r="M15" s="252"/>
      </tp>
      <tp t="s">
        <v>#N/A Requesting Data...3727364834</v>
        <stp/>
        <stp>BDP|13170702077463225105</stp>
        <tr r="V102" s="89"/>
      </tp>
      <tp t="s">
        <v>#N/A Requesting Data...4281675542</v>
        <stp/>
        <stp>BDP|18267029483522135357</stp>
        <tr r="C19" s="89"/>
      </tp>
      <tp t="s">
        <v>#N/A Requesting Data...3524009198</v>
        <stp/>
        <stp>BDP|15665722340580183729</stp>
        <tr r="AH17" s="338"/>
        <tr r="AH18" s="338"/>
      </tp>
      <tp t="s">
        <v>#N/A Requesting Data...3980439455</v>
        <stp/>
        <stp>BDP|10682710845653266163</stp>
        <tr r="E96" s="89"/>
      </tp>
      <tp t="s">
        <v>#N/A Requesting Data...3591936089</v>
        <stp/>
        <stp>BDP|10764751743486083471</stp>
        <tr r="E4" s="2"/>
        <tr r="E5" s="2"/>
      </tp>
      <tp t="s">
        <v>#N/A Requesting Data...3608648051</v>
        <stp/>
        <stp>BDP|14562048524442507562</stp>
        <tr r="AA49" s="89"/>
        <tr r="Z49" s="89"/>
      </tp>
      <tp t="s">
        <v>#N/A Requesting Data...4085016605</v>
        <stp/>
        <stp>BDP|14914589903223067341</stp>
        <tr r="AH31" s="338"/>
        <tr r="AH32" s="338"/>
      </tp>
      <tp t="s">
        <v>#N/A Requesting Data...3754871651</v>
        <stp/>
        <stp>BDP|14613513965916595010</stp>
        <tr r="Q45" s="338"/>
      </tp>
      <tp t="e">
        <v>#N/A</v>
        <stp/>
        <stp>BDH|10195604440957663431</stp>
        <tr r="AM12" s="338"/>
      </tp>
      <tp t="e">
        <v>#N/A</v>
        <stp/>
        <stp>BDH|11749571683194718903</stp>
        <tr r="AN18" s="338"/>
        <tr r="AN17" s="338"/>
      </tp>
      <tp t="e">
        <v>#N/A</v>
        <stp/>
        <stp>BDH|11300090657860746538</stp>
        <tr r="AS16" s="338"/>
        <tr r="AS39" s="338"/>
        <tr r="AS44" s="338"/>
        <tr r="AS17" s="338"/>
        <tr r="AS38" s="338"/>
        <tr r="AS15" s="338"/>
        <tr r="AS52" s="338"/>
      </tp>
      <tp t="e">
        <v>#N/A</v>
        <stp/>
        <stp>BDH|13060297605033305334</stp>
        <tr r="AS54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Data...3655663299</v>
        <stp/>
        <stp>BDP|10297523734239490992</stp>
        <tr r="AB44" s="1"/>
        <tr r="F19" s="446"/>
      </tp>
      <tp t="s">
        <v>#N/A Requesting Data...4051320713</v>
        <stp/>
        <stp>BDP|12796713228197729608</stp>
        <tr r="P20" s="252"/>
      </tp>
      <tp t="s">
        <v>#N/A Requesting Data...4195817593</v>
        <stp/>
        <stp>BDP|14277784462456832595</stp>
        <tr r="L18" s="338"/>
        <tr r="L17" s="338"/>
        <tr r="H17" s="338"/>
        <tr r="H18" s="338"/>
      </tp>
      <tp t="s">
        <v>#N/A N/A</v>
        <stp/>
        <stp>BDP|17424699323975103062</stp>
        <tr r="K29" s="1"/>
      </tp>
      <tp t="s">
        <v>#N/A Requesting Data...3942066130</v>
        <stp/>
        <stp>BDP|13066894584424507113</stp>
        <tr r="AA186" s="89"/>
        <tr r="Z186" s="89"/>
      </tp>
      <tp t="s">
        <v>#N/A N/A</v>
        <stp/>
        <stp>BDP|13534980394766736373</stp>
        <tr r="AG41" s="1"/>
        <tr r="AG42" s="1"/>
      </tp>
      <tp t="s">
        <v>#N/A Requesting Data...3747765127</v>
        <stp/>
        <stp>BDP|17797289754802274410</stp>
        <tr r="AH16" s="338"/>
        <tr r="AH38" s="338"/>
        <tr r="AH40" s="338"/>
      </tp>
      <tp t="s">
        <v>#N/A N/A</v>
        <stp/>
        <stp>BDP|13950429544874140162</stp>
        <tr r="AA82" s="89"/>
        <tr r="Z82" s="89"/>
      </tp>
      <tp t="s">
        <v>#N/A Requesting Data...3650419022</v>
        <stp/>
        <stp>BDP|16115925375469725792</stp>
        <tr r="F26" s="2"/>
      </tp>
      <tp t="s">
        <v>#N/A Requesting Data...4086693315</v>
        <stp/>
        <stp>BDP|10811773521330276340</stp>
        <tr r="F42" s="446"/>
      </tp>
      <tp t="s">
        <v>#N/A Requesting Data...3847527338</v>
        <stp/>
        <stp>BDP|10555016852265553684</stp>
        <tr r="AD6" s="2"/>
        <tr r="AD7" s="2"/>
        <tr r="V222" s="89"/>
      </tp>
      <tp t="s">
        <v>#N/A Requesting Data...4061660133</v>
        <stp/>
        <stp>BDP|11364787337662503131</stp>
        <tr r="L48" s="338"/>
        <tr r="J48" s="338"/>
        <tr r="L49" s="338"/>
        <tr r="J49" s="338"/>
      </tp>
      <tp t="s">
        <v>#N/A Requesting Data...3905099516</v>
        <stp/>
        <stp>BDP|11872742860665595345</stp>
        <tr r="C203" s="89"/>
      </tp>
      <tp t="s">
        <v>#N/A Requesting Data...3612124020</v>
        <stp/>
        <stp>BDP|10592355801820537596</stp>
        <tr r="V225" s="89"/>
      </tp>
      <tp t="s">
        <v>#N/A Requesting Data...3915560646</v>
        <stp/>
        <stp>BDP|17222791692139571612</stp>
        <tr r="C19" s="2"/>
        <tr r="C20" s="2"/>
      </tp>
      <tp t="s">
        <v>#N/A Requesting Data...3746702718</v>
        <stp/>
        <stp>BDP|12754284242295866781</stp>
        <tr r="Y6" s="252"/>
      </tp>
      <tp t="s">
        <v>#N/A Requesting Data...3823597767</v>
        <stp/>
        <stp>BDP|18269203655158880133</stp>
        <tr r="F39" s="446"/>
      </tp>
      <tp t="s">
        <v>#N/A Requesting Data...3724919254</v>
        <stp/>
        <stp>BDP|12227291512562192542</stp>
        <tr r="AJ37" s="338"/>
      </tp>
      <tp t="s">
        <v>#N/A Requesting Data...3659451076</v>
        <stp/>
        <stp>BDP|16951549404092060765</stp>
        <tr r="V109" s="89"/>
      </tp>
      <tp t="s">
        <v>#N/A Requesting Data...4017509973</v>
        <stp/>
        <stp>BDP|14465682678745316685</stp>
        <tr r="V171" s="89"/>
      </tp>
      <tp t="s">
        <v>#N/A Requesting Data...3619783720</v>
        <stp/>
        <stp>BDP|11386689669882555588</stp>
        <tr r="E122" s="89"/>
      </tp>
      <tp t="s">
        <v>#N/A Requesting Data...3861162993</v>
        <stp/>
        <stp>BDP|16786358086579802228</stp>
        <tr r="E23" s="2"/>
      </tp>
      <tp t="s">
        <v>#N/A Requesting Data...4178842092</v>
        <stp/>
        <stp>BDP|16385386864915757060</stp>
        <tr r="T54" s="338"/>
      </tp>
      <tp t="s">
        <v>#N/A N/A</v>
        <stp/>
        <stp>BDP|13639162762852624052</stp>
        <tr r="AF29" s="1"/>
        <tr r="AF30" s="1"/>
      </tp>
      <tp t="s">
        <v>#N/A Requesting Data...3572296467</v>
        <stp/>
        <stp>BDP|16302213673966019302</stp>
        <tr r="V224" s="89"/>
      </tp>
      <tp t="s">
        <v>#N/A Requesting Data...3936171590</v>
        <stp/>
        <stp>BDP|17118448112643471725</stp>
        <tr r="O212" s="89"/>
      </tp>
      <tp t="s">
        <v>#N/A Requesting Data...4027913809</v>
        <stp/>
        <stp>BDP|14172029208847257580</stp>
        <tr r="V42" s="338"/>
      </tp>
      <tp t="s">
        <v>#N/A Requesting Data...3818439679</v>
        <stp/>
        <stp>BDP|13817818016325631992</stp>
        <tr r="AA32" s="2"/>
      </tp>
      <tp t="s">
        <v>#N/A Requesting Data...3780341482</v>
        <stp/>
        <stp>BDP|10374609618263940213</stp>
        <tr r="S30" s="338"/>
      </tp>
      <tp t="s">
        <v>#N/A Requesting Data...4111982045</v>
        <stp/>
        <stp>BDP|11156706822837900596</stp>
        <tr r="V51" s="338"/>
      </tp>
      <tp t="s">
        <v>#N/A N/A</v>
        <stp/>
        <stp>BDP|10137680139817712447</stp>
        <tr r="AC21" s="2"/>
        <tr r="AC19" s="2"/>
        <tr r="AC20" s="2"/>
      </tp>
      <tp t="s">
        <v>#N/A Requesting Data...3771222607</v>
        <stp/>
        <stp>BDP|18365939499897354990</stp>
        <tr r="D160" s="89"/>
      </tp>
      <tp t="s">
        <v>#N/A Requesting Data...3980382600</v>
        <stp/>
        <stp>BDP|15452088774745294193</stp>
        <tr r="AA14" s="89"/>
        <tr r="Z14" s="89"/>
      </tp>
      <tp t="s">
        <v>#N/A Requesting Data...3787312148</v>
        <stp/>
        <stp>BDP|11064610705050727104</stp>
        <tr r="V137" s="89"/>
      </tp>
      <tp t="s">
        <v>#N/A Requesting Data...3901784991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Data...3582474071</v>
        <stp/>
        <stp>BDP|16272552922964616315</stp>
        <tr r="T129" s="89"/>
      </tp>
      <tp t="s">
        <v>#N/A Requesting Data...4026501183</v>
        <stp/>
        <stp>BDP|10078809003498061665</stp>
        <tr r="AH12" s="338"/>
      </tp>
      <tp t="s">
        <v>#N/A Requesting Data...3665614802</v>
        <stp/>
        <stp>BDP|11277689408467201656</stp>
        <tr r="T13" s="338"/>
      </tp>
      <tp t="s">
        <v>#N/A Requesting Data...3778235462</v>
        <stp/>
        <stp>BDP|13974956684510873453</stp>
        <tr r="D123" s="89"/>
      </tp>
      <tp t="s">
        <v>#N/A N/A</v>
        <stp/>
        <stp>BDP|14669695263307967519</stp>
        <tr r="AB250" s="89"/>
      </tp>
      <tp t="s">
        <v>#N/A Requesting Data...4054298497</v>
        <stp/>
        <stp>BDP|14781874481553679106</stp>
        <tr r="Q40" s="338"/>
      </tp>
      <tp t="s">
        <v>#N/A Requesting Data...4084188656</v>
        <stp/>
        <stp>BDP|10427861548958967244</stp>
        <tr r="AJ55" s="338"/>
        <tr r="AK14" s="338"/>
        <tr r="AK55" s="338"/>
      </tp>
      <tp t="s">
        <v>#N/A Requesting Data...4294945244</v>
        <stp/>
        <stp>BDP|12964383061440508121</stp>
        <tr r="S49" s="338"/>
      </tp>
      <tp t="s">
        <v>#N/A Requesting Data...4038587116</v>
        <stp/>
        <stp>BDP|17935753969917403773</stp>
        <tr r="F11" s="252"/>
      </tp>
      <tp t="s">
        <v>#N/A Requesting Data...4169329376</v>
        <stp/>
        <stp>BDP|16562085350705983025</stp>
        <tr r="D223" s="89"/>
      </tp>
      <tp t="s">
        <v>#N/A Requesting Data...3816621471</v>
        <stp/>
        <stp>BDP|10542746004898665953</stp>
        <tr r="AR22" s="2"/>
      </tp>
      <tp t="s">
        <v>#N/A Requesting Data...4051273472</v>
        <stp/>
        <stp>BDP|12893396681958013760</stp>
        <tr r="C95" s="89"/>
      </tp>
      <tp t="e">
        <v>#N/A</v>
        <stp/>
        <stp>BDH|10205519666331016467</stp>
        <tr r="AR11" s="338"/>
      </tp>
      <tp t="e">
        <v>#N/A</v>
        <stp/>
        <stp>BDH|10658776607639471809</stp>
        <tr r="J18" s="252"/>
      </tp>
      <tp t="e">
        <v>#N/A</v>
        <stp/>
        <stp>BDH|12685324810676364012</stp>
        <tr r="AN13" s="338"/>
        <tr r="AN34" s="338"/>
      </tp>
      <tp t="s">
        <v>#N/A Invalid Security</v>
        <stp/>
        <stp>BDP|6009743579334462620|22</stp>
        <stp>KLAC US 02/06/26 C1600 Equity</stp>
        <stp>QUOTED_CURRENCY_REALTIME</stp>
        <tr r="F27" s="89"/>
      </tp>
      <tp t="e">
        <v>#N/A</v>
        <stp/>
        <stp>BDH|16719564068115206670</stp>
        <tr r="AR45" s="338"/>
      </tp>
      <tp>
        <v>65.75</v>
        <stp/>
        <stp>BDP|2843416310814416140|22</stp>
        <stp>SNDK US 02/20/26 C500 Equity</stp>
        <stp>mid</stp>
        <tr r="L9" s="2"/>
      </tp>
      <tp>
        <v>16.399999999999999</v>
        <stp/>
        <stp>BDP|5005092167591802286|22</stp>
        <stp>META US 04/17/26 C690 Equity</stp>
        <stp>bid</stp>
        <tr r="P12" s="2"/>
        <tr r="K170" s="89"/>
        <tr r="K179" s="89"/>
      </tp>
      <tp t="s">
        <v>#N/A Requesting Data...4081731882</v>
        <stp/>
        <stp>BDP|14882631572614102616</stp>
        <tr r="S10" s="252"/>
      </tp>
      <tp t="s">
        <v>#N/A Requesting Data...4201347012</v>
        <stp/>
        <stp>BDP|14222470646161364298</stp>
        <tr r="C15" s="2"/>
      </tp>
      <tp t="s">
        <v>#N/A Requesting Data...4243908025</v>
        <stp/>
        <stp>BDP|13396250829954504031</stp>
        <tr r="T6" s="2"/>
        <tr r="T7" s="2"/>
        <tr r="O222" s="89"/>
      </tp>
      <tp t="s">
        <v>#N/A Requesting Data...3637966478</v>
        <stp/>
        <stp>BDP|18254298125537508829</stp>
        <tr r="E204" s="89"/>
      </tp>
      <tp t="s">
        <v>#N/A N/A</v>
        <stp/>
        <stp>BDP|11796231449483478311</stp>
        <tr r="V82" s="89"/>
      </tp>
      <tp t="s">
        <v>#N/A Requesting Data...4274543094</v>
        <stp/>
        <stp>BDP|16419783378891865042</stp>
        <tr r="E249" s="89"/>
      </tp>
      <tp t="s">
        <v>#N/A N/A</v>
        <stp/>
        <stp>BDP|17370707244810639397</stp>
        <tr r="AC6" s="2"/>
        <tr r="AC7" s="2"/>
        <tr r="AC8" s="2"/>
      </tp>
      <tp t="s">
        <v>#N/A Requesting Data...4009744353</v>
        <stp/>
        <stp>BDP|14546342925643453186</stp>
        <tr r="L32" s="338"/>
        <tr r="L8" s="338"/>
        <tr r="J8" s="338"/>
        <tr r="J32" s="338"/>
        <tr r="L46" s="338"/>
        <tr r="J46" s="338"/>
        <tr r="L50" s="338"/>
        <tr r="J50" s="338"/>
      </tp>
      <tp t="s">
        <v>#N/A Requesting Data...4264474797</v>
        <stp/>
        <stp>BDP|15404493773766767722</stp>
        <tr r="G36" s="446"/>
      </tp>
      <tp t="s">
        <v>#N/A Requesting Data...3660537260</v>
        <stp/>
        <stp>BDP|10498485443064599312</stp>
        <tr r="X50" s="338"/>
      </tp>
      <tp t="s">
        <v>#N/A Requesting Data...3630341223</v>
        <stp/>
        <stp>BDP|15078283603585761571</stp>
        <tr r="O171" s="89"/>
      </tp>
      <tp t="s">
        <v>#N/A Requesting Data...4212017924</v>
        <stp/>
        <stp>BDP|18114698683463557242</stp>
        <tr r="AF44" s="1"/>
        <tr r="AG9" s="338"/>
      </tp>
      <tp t="s">
        <v>#N/A Requesting Data...3821334929</v>
        <stp/>
        <stp>BDP|14185986357608085749</stp>
        <tr r="V44" s="338"/>
      </tp>
      <tp t="s">
        <v>#N/A Requesting Data...3797064263</v>
        <stp/>
        <stp>BDP|13775077133931138686</stp>
        <tr r="AH41" s="338"/>
        <tr r="AH42" s="338"/>
        <tr r="AJ41" s="338"/>
        <tr r="AJ42" s="338"/>
      </tp>
      <tp t="s">
        <v>#N/A Requesting Data...3849170654</v>
        <stp/>
        <stp>BDP|15710273126027498587</stp>
        <tr r="E68" s="89"/>
      </tp>
      <tp t="s">
        <v>#N/A N/A</v>
        <stp/>
        <stp>BDP|14590579742297818521</stp>
        <tr r="K25" s="1"/>
      </tp>
      <tp t="s">
        <v>#N/A Requesting Data...3655318316</v>
        <stp/>
        <stp>BDP|14232577743505528792</stp>
        <tr r="F7" s="252"/>
      </tp>
      <tp t="s">
        <v>#N/A N/A</v>
        <stp/>
        <stp>BDP|14556104661927858316</stp>
        <tr r="K6" s="1"/>
      </tp>
      <tp t="s">
        <v>#N/A Requesting Data...3776625574</v>
        <stp/>
        <stp>BDP|12341108167772818008</stp>
        <tr r="T35" s="338"/>
      </tp>
      <tp t="s">
        <v>#N/A N/A</v>
        <stp/>
        <stp>BDP|13243003914125922034</stp>
        <tr r="AI18" s="1"/>
      </tp>
      <tp t="s">
        <v>#N/A N/A</v>
        <stp/>
        <stp>BDP|15607530839212696655</stp>
        <tr r="AG17" s="1"/>
        <tr r="AG16" s="1"/>
      </tp>
      <tp t="s">
        <v>#N/A Requesting Data...3819319710</v>
        <stp/>
        <stp>BDP|10253727379283384458</stp>
        <tr r="D23" s="2"/>
        <tr r="C56" s="89"/>
      </tp>
      <tp t="s">
        <v>#N/A Requesting Data...3919608918</v>
        <stp/>
        <stp>BDP|11763676684369362182</stp>
        <tr r="E39" s="89"/>
      </tp>
      <tp t="s">
        <v>#N/A Requesting Data...4039717821</v>
        <stp/>
        <stp>BDP|13772195236723550526</stp>
        <tr r="X55" s="338"/>
      </tp>
      <tp t="s">
        <v>#N/A Requesting Data...4036904665</v>
        <stp/>
        <stp>BDP|17465284925626707608</stp>
        <tr r="D13" s="2"/>
        <tr r="C180" s="89"/>
      </tp>
      <tp t="s">
        <v>#N/A Requesting Data...3859113583</v>
        <stp/>
        <stp>BDP|17524118567766475161</stp>
        <tr r="F20" s="252"/>
      </tp>
      <tp t="s">
        <v>#N/A Requesting Data...4156838324</v>
        <stp/>
        <stp>BDP|13483096816386354391</stp>
        <tr r="S54" s="338"/>
      </tp>
      <tp t="s">
        <v>#N/A Requesting Data...4289777265</v>
        <stp/>
        <stp>BDP|16190103000157320731</stp>
        <tr r="V144" s="89"/>
      </tp>
      <tp t="s">
        <v>#N/A Requesting Data...3864271736</v>
        <stp/>
        <stp>BDP|18300697183042109391</stp>
        <tr r="O243" s="89"/>
      </tp>
      <tp t="s">
        <v>#N/A Requesting Data...3858787178</v>
        <stp/>
        <stp>BDP|13057075336524072304</stp>
        <tr r="T213" s="89"/>
      </tp>
      <tp t="s">
        <v>#N/A Requesting Data...4285332860</v>
        <stp/>
        <stp>BDP|12052868717818962496</stp>
        <tr r="AI32" s="338"/>
        <tr r="AI46" s="338"/>
        <tr r="AI50" s="338"/>
        <tr r="AI8" s="338"/>
      </tp>
      <tp t="s">
        <v>#N/A Requesting Data...3787216559</v>
        <stp/>
        <stp>BDP|12678050625094398357</stp>
        <tr r="AC33" s="1"/>
        <tr r="AC34" s="1"/>
        <tr r="AC35" s="1"/>
        <tr r="D35" s="446"/>
      </tp>
      <tp t="s">
        <v>#N/A Requesting Data...3619928185</v>
        <stp/>
        <stp>BDP|10174429034410523025</stp>
        <tr r="E8" s="2"/>
      </tp>
      <tp t="s">
        <v>#N/A Requesting Data...3770851592</v>
        <stp/>
        <stp>BDP|14466338705836267600</stp>
        <tr r="C186" s="89"/>
      </tp>
      <tp t="s">
        <v>#N/A Requesting Data...3903116960</v>
        <stp/>
        <stp>BDP|12696369723990354409</stp>
        <tr r="C23" s="2"/>
      </tp>
      <tp t="s">
        <v>#N/A Requesting Data...4110884391</v>
        <stp/>
        <stp>BDP|13691107662271159260</stp>
        <tr r="AR28" s="2"/>
        <tr r="AR30" s="2"/>
      </tp>
      <tp t="s">
        <v>#N/A Requesting Data...3696236142</v>
        <stp/>
        <stp>BDP|15357058437984658543</stp>
        <tr r="E108" s="89"/>
      </tp>
      <tp t="s">
        <v>#N/A N/A</v>
        <stp/>
        <stp>BDP|13166159022836545104</stp>
        <tr r="AC18" s="1"/>
      </tp>
      <tp t="s">
        <v>#N/A Requesting Data...3658278323</v>
        <stp/>
        <stp>BDP|10809595656630258773</stp>
        <tr r="N8" s="252"/>
        <tr r="N8" s="252"/>
      </tp>
      <tp t="s">
        <v>#N/A Requesting Data...3862114346</v>
        <stp/>
        <stp>BDP|15554224708241291186</stp>
        <tr r="D7" s="89"/>
      </tp>
      <tp t="s">
        <v>#N/A Requesting Data...3719660877</v>
        <stp/>
        <stp>BDP|11136935115988096638</stp>
        <tr r="AJ17" s="338"/>
        <tr r="AJ18" s="338"/>
      </tp>
      <tp t="s">
        <v>#N/A Requesting Data...4026045152</v>
        <stp/>
        <stp>BDP|17117535562106038540</stp>
        <tr r="X35" s="338"/>
      </tp>
      <tp t="s">
        <v>#N/A Requesting Data...3938632038</v>
        <stp/>
        <stp>BDP|11947265064485960753</stp>
        <tr r="U32" s="338"/>
      </tp>
      <tp t="s">
        <v>#N/A Requesting Data...4111474679</v>
        <stp/>
        <stp>BDP|16499524695588160545</stp>
        <tr r="C178" s="89"/>
      </tp>
      <tp t="s">
        <v>#N/A Requesting Data...4163255027</v>
        <stp/>
        <stp>BDP|13561760801782380171</stp>
        <tr r="AA14" s="2"/>
      </tp>
      <tp t="s">
        <v>#N/A N/A</v>
        <stp/>
        <stp>BDP|13856641820218803820</stp>
        <tr r="AB13" s="1"/>
      </tp>
      <tp t="e">
        <v>#N/A</v>
        <stp/>
        <stp>BDH|14752868174569692532</stp>
        <tr r="AN51" s="338"/>
        <tr r="AS34" s="338"/>
        <tr r="AS37" s="338"/>
        <tr r="AS35" s="338"/>
        <tr r="AS36" s="338"/>
        <tr r="AN50" s="338"/>
      </tp>
      <tp t="e">
        <v>#N/A</v>
        <stp/>
        <stp>BDH|12231049386274086944</stp>
        <tr r="AP18" s="338"/>
        <tr r="AP17" s="338"/>
      </tp>
      <tp>
        <v>82.415000000000006</v>
        <stp/>
        <stp>BDP|2057497571936690391|22</stp>
        <stp>XLP Equity</stp>
        <stp>LAST_PRICE</stp>
        <tr r="I44" s="1"/>
      </tp>
      <tp t="e">
        <v>#N/A</v>
        <stp/>
        <stp>BDH|14841814459759862757</stp>
        <tr r="T19" s="252"/>
        <tr r="W19" s="252"/>
      </tp>
      <tp t="e">
        <v>#N/A</v>
        <stp/>
        <stp>BDH|17663640529772248671</stp>
        <tr r="J15" s="252"/>
      </tp>
      <tp>
        <v>85.69</v>
        <stp/>
        <stp>BDP|9722167412074972561|22</stp>
        <stp>MXCN Index</stp>
        <stp>LAST_PRICE</stp>
        <tr r="H17" s="252"/>
        <tr r="H17" s="252"/>
      </tp>
      <tp>
        <v>-0.29287967085838318</v>
        <stp/>
        <stp>BDP|18418713240494206607|22</stp>
        <stp>MRVL US 03/20/26 P75 Equity</stp>
        <stp>DELTA_MID_RT</stp>
        <tr r="AF16" s="2"/>
      </tp>
      <tp>
        <v>0.42</v>
        <stp/>
        <stp>BDP|9219352217858311461|22</stp>
        <stp>NFLX US 03/20/26 C105 Equity</stp>
        <stp>bid</stp>
        <tr r="K186" s="89"/>
      </tp>
      <tp>
        <v>7.15</v>
        <stp/>
        <stp>BDP|8554484547271150911|22</stp>
        <stp>META US 04/17/26 C750 Equity</stp>
        <stp>ask</stp>
        <tr r="L169" s="89"/>
      </tp>
      <tp t="s">
        <v>#N/A Requesting Data...3931643525</v>
        <stp/>
        <stp>BDP|16351185019962298098</stp>
        <tr r="AA10" s="2"/>
        <tr r="AA11" s="2"/>
      </tp>
      <tp t="s">
        <v>#N/A Requesting Data...3947014739</v>
        <stp/>
        <stp>BDP|11978278325994517174</stp>
        <tr r="D19" s="2"/>
        <tr r="D20" s="2"/>
      </tp>
      <tp t="s">
        <v>#N/A Requesting Data...3704591854</v>
        <stp/>
        <stp>BDP|17506313141244542095</stp>
        <tr r="T22" s="2"/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10" s="2"/>
        <tr r="AQ11" s="2"/>
      </tp>
      <tp t="s">
        <v>#N/A Requesting Data...4210595319</v>
        <stp/>
        <stp>BDP|10441895032989795603</stp>
        <tr r="AI11" s="338"/>
      </tp>
      <tp t="s">
        <v>#N/A Requesting Data...4014309725</v>
        <stp/>
        <stp>BDP|14441106816594061499</stp>
        <tr r="C123" s="89"/>
      </tp>
      <tp t="s">
        <v>#N/A Requesting Data...3918215258</v>
        <stp/>
        <stp>BDP|12860442788122732887</stp>
        <tr r="E22" s="2"/>
      </tp>
      <tp t="s">
        <v>#N/A Requesting Data...4280786606</v>
        <stp/>
        <stp>BDP|16150678046234374495</stp>
        <tr r="T37" s="338"/>
      </tp>
      <tp t="s">
        <v>#N/A Requesting Data...3999654911</v>
        <stp/>
        <stp>BDP|17250075521453849263</stp>
        <tr r="E8" s="89"/>
      </tp>
      <tp t="s">
        <v>#N/A Requesting Data...4136468551</v>
        <stp/>
        <stp>BDP|11019717141062892428</stp>
        <tr r="D222" s="89"/>
      </tp>
      <tp t="s">
        <v>#N/A Requesting Data...4031398248</v>
        <stp/>
        <stp>BDP|15887487297509862523</stp>
        <tr r="T196" s="89"/>
      </tp>
      <tp t="s">
        <v>#N/A Requesting Data...4147613069</v>
        <stp/>
        <stp>BDP|11174255088816885991</stp>
        <tr r="AA13" s="89"/>
        <tr r="Z13" s="89"/>
      </tp>
      <tp t="s">
        <v>#N/A Requesting Data...3821389620</v>
        <stp/>
        <stp>BDP|16648266400645825550</stp>
        <tr r="T242" s="89"/>
      </tp>
      <tp t="s">
        <v>#N/A Requesting Data...3737286637</v>
        <stp/>
        <stp>BDP|13677881495424052263</stp>
        <tr r="V46" s="338"/>
      </tp>
      <tp t="s">
        <v>#N/A Requesting Data...3982013919</v>
        <stp/>
        <stp>BDP|17810208191751672937</stp>
        <tr r="U53" s="338"/>
      </tp>
      <tp t="s">
        <v>#N/A Requesting Data...4136841232</v>
        <stp/>
        <stp>BDP|13362587002474685639</stp>
        <tr r="G33" s="446"/>
      </tp>
      <tp t="s">
        <v>#N/A Requesting Data...3924256021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Data...3946835593</v>
        <stp/>
        <stp>BDP|10953387444814317799</stp>
        <tr r="S18" s="252"/>
      </tp>
      <tp t="s">
        <v>#N/A Requesting Data...3701094587</v>
        <stp/>
        <stp>BDP|16095389787508071105</stp>
        <tr r="V11" s="338"/>
      </tp>
      <tp t="s">
        <v>#N/A Requesting Data...4147504262</v>
        <stp/>
        <stp>BDP|11580587764812660407</stp>
        <tr r="P48" s="338"/>
      </tp>
      <tp t="s">
        <v>#N/A Requesting Data...3710252090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Data...3888913138</v>
        <stp/>
        <stp>BDP|15878521351180442107</stp>
        <tr r="D109" s="89"/>
      </tp>
      <tp>
        <v>25494</v>
        <stp/>
        <stp>BDP|5100640861095501669|22</stp>
        <stp>1OH6 Index</stp>
        <stp>LAST_PRICE</stp>
        <tr r="I15" s="1"/>
        <tr r="Z24" s="2"/>
        <tr r="S153" s="89"/>
        <tr r="S154" s="89"/>
        <tr r="Z25" s="2"/>
      </tp>
      <tp t="s">
        <v>#N/A Requesting Data...4014849713</v>
        <stp/>
        <stp>BDP|13970059459100158254</stp>
        <tr r="AA6" s="2"/>
        <tr r="AA7" s="2"/>
        <tr r="T222" s="89"/>
      </tp>
      <tp t="s">
        <v>#N/A Requesting Data...4022480716</v>
        <stp/>
        <stp>BDP|10930560316549062982</stp>
        <tr r="C160" s="89"/>
      </tp>
      <tp t="s">
        <v>#N/A N/A</v>
        <stp/>
        <stp>BDP|17624673723155105222</stp>
        <tr r="AB43" s="1"/>
      </tp>
      <tp t="s">
        <v>#N/A Requesting Data...3757984265</v>
        <stp/>
        <stp>BDP|16023917640776957980</stp>
        <tr r="AI11" s="338"/>
        <tr r="AK11" s="338"/>
      </tp>
      <tp t="s">
        <v>#N/A Requesting Data...3832691041</v>
        <stp/>
        <stp>BDP|11370679863820706539</stp>
        <tr r="E33" s="89"/>
      </tp>
      <tp t="s">
        <v>#N/A Requesting Data...3964541390</v>
        <stp/>
        <stp>BDP|14437871301241284935</stp>
        <tr r="AJ36" s="338"/>
      </tp>
      <tp t="s">
        <v>#N/A Requesting Data...3947342242</v>
        <stp/>
        <stp>BDP|11214745035248274920</stp>
        <tr r="V32" s="338"/>
      </tp>
      <tp t="s">
        <v>#N/A Requesting Data...3721012552</v>
        <stp/>
        <stp>BDP|12168490429210433067</stp>
        <tr r="AA12" s="2"/>
        <tr r="T170" s="89"/>
        <tr r="T179" s="89"/>
      </tp>
      <tp t="s">
        <v>#N/A Requesting Data...3775617829</v>
        <stp/>
        <stp>BDP|11625676250200786659</stp>
        <tr r="T32" s="338"/>
      </tp>
      <tp t="s">
        <v>#N/A Requesting Data...3954367565</v>
        <stp/>
        <stp>BDP|13296159244091423359</stp>
        <tr r="P29" s="338"/>
      </tp>
      <tp t="s">
        <v>#N/A N/A</v>
        <stp/>
        <stp>BDP|18042899846108511886</stp>
        <tr r="AB253" s="89"/>
      </tp>
      <tp t="s">
        <v>#N/A Requesting Data...4009076037</v>
        <stp/>
        <stp>BDP|10190934152880793852</stp>
        <tr r="X52" s="338"/>
      </tp>
      <tp t="s">
        <v>#N/A Requesting Data...4101761603</v>
        <stp/>
        <stp>BDP|14059396921424230587</stp>
        <tr r="AF36" s="1"/>
        <tr r="AF14" s="338"/>
        <tr r="AF35" s="338"/>
      </tp>
      <tp t="s">
        <v>#N/A Requesting Data...4168944438</v>
        <stp/>
        <stp>BDP|12679894611876997952</stp>
        <tr r="S44" s="338"/>
      </tp>
      <tp t="s">
        <v>#N/A Requesting Data...4175006910</v>
        <stp/>
        <stp>BDP|12362248812136683317</stp>
        <tr r="AR23" s="2"/>
      </tp>
      <tp t="s">
        <v>#N/A Requesting Data...3740762416</v>
        <stp/>
        <stp>BDP|13207740673225760204</stp>
        <tr r="AA7" s="89"/>
        <tr r="Z7" s="89"/>
      </tp>
      <tp t="s">
        <v>#N/A Requesting Data...4206981887</v>
        <stp/>
        <stp>BDP|15308638561242100355</stp>
        <tr r="V203" s="89"/>
      </tp>
      <tp t="s">
        <v>#N/A Requesting Data...4156142288</v>
        <stp/>
        <stp>BDP|17956776735294864366</stp>
        <tr r="E145" s="89"/>
      </tp>
      <tp t="s">
        <v>#N/A Requesting Data...3856753349</v>
        <stp/>
        <stp>BDP|13164210523337526031</stp>
        <tr r="E89" s="89"/>
      </tp>
      <tp t="s">
        <v>#N/A Requesting Data...3846625775</v>
        <stp/>
        <stp>BDP|10130888374289856216</stp>
        <tr r="U13" s="338"/>
      </tp>
      <tp t="s">
        <v>#N/A Requesting Data...3918276151</v>
        <stp/>
        <stp>BDP|11025769754705706214</stp>
        <tr r="V40" s="89"/>
      </tp>
      <tp t="s">
        <v>#N/A Requesting Data...4037110950</v>
        <stp/>
        <stp>BDP|12072061123567199335</stp>
        <tr r="X16" s="338"/>
        <tr r="X38" s="338"/>
      </tp>
      <tp t="s">
        <v>#N/A Requesting Data...3734163824</v>
        <stp/>
        <stp>BDP|10337841861653211939</stp>
        <tr r="AB41" s="1"/>
        <tr r="AB42" s="1"/>
        <tr r="F14" s="446"/>
      </tp>
      <tp t="s">
        <v>#N/A Requesting Data...4138498745</v>
        <stp/>
        <stp>BDP|13510264833692721404</stp>
        <tr r="U49" s="338"/>
      </tp>
      <tp t="s">
        <v>#N/A Requesting Data...3830427693</v>
        <stp/>
        <stp>BDP|10643918097663219742</stp>
        <tr r="T14" s="2"/>
      </tp>
      <tp t="s">
        <v>#N/A N/A</v>
        <stp/>
        <stp>BDP|11243430201469561835</stp>
        <tr r="AI31" s="1"/>
        <tr r="AI32" s="1"/>
      </tp>
      <tp t="s">
        <v>#N/A Real Time</v>
        <stp/>
        <stp>BDP|1386421501419148260|22</stp>
        <stp>MP US 09/19/25 P46 Equity</stp>
        <stp>DELTA_MID_RT</stp>
        <tr r="W243" s="89"/>
      </tp>
      <tp t="e">
        <v>#N/A</v>
        <stp/>
        <stp>BDH|17441638876305778748</stp>
        <tr r="AN9" s="338"/>
        <tr r="AN8" s="338"/>
      </tp>
      <tp t="e">
        <v>#N/A</v>
        <stp/>
        <stp>BDH|14787871165809047737</stp>
        <tr r="J10" s="252"/>
      </tp>
      <tp>
        <v>31.45</v>
        <stp/>
        <stp>BDP|7023975285926683061|22</stp>
        <stp>MSFT US 03/20/26 P465 Equity</stp>
        <stp>bid</stp>
        <tr r="P21" s="2"/>
      </tp>
      <tp t="s">
        <v>#N/A Requesting Data...4167894987</v>
        <stp/>
        <stp>BDP|10508197528283416594</stp>
        <tr r="X48" s="338"/>
      </tp>
      <tp t="s">
        <v>#N/A N/A</v>
        <stp/>
        <stp>BDP|10976567873595722239</stp>
        <tr r="AV30" s="2"/>
        <tr r="AV31" s="2"/>
        <tr r="AV32" s="2"/>
        <tr r="AV29" s="2"/>
        <tr r="AV28" s="2"/>
        <tr r="R13" s="89"/>
        <tr r="R19" s="89"/>
        <tr r="R20" s="89"/>
        <tr r="R195" s="89"/>
        <tr r="R196" s="89"/>
        <tr r="R197" s="89"/>
        <tr r="R14" s="89"/>
      </tp>
      <tp t="s">
        <v>#N/A Requesting Data...4010981566</v>
        <stp/>
        <stp>BDP|15688066863846340087</stp>
        <tr r="D28" s="446"/>
      </tp>
      <tp t="s">
        <v>#N/A Requesting Data...4275839678</v>
        <stp/>
        <stp>BDP|10174366559095309654</stp>
        <tr r="AA137" s="89"/>
        <tr r="Z137" s="89"/>
      </tp>
      <tp t="s">
        <v>#N/A Requesting Data...4072599858</v>
        <stp/>
        <stp>BDP|10361349057583872009</stp>
        <tr r="V39" s="89"/>
      </tp>
      <tp t="s">
        <v>#N/A Requesting Data...4280526600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N/A</v>
        <stp/>
        <stp>BDP|15320520678352516068</stp>
        <tr r="O82" s="89"/>
      </tp>
      <tp t="s">
        <v>#N/A Requesting Data...3997973027</v>
        <stp/>
        <stp>BDP|10946231384896009942</stp>
        <tr r="N15" s="252"/>
        <tr r="N15" s="252"/>
      </tp>
      <tp t="s">
        <v>#N/A Requesting Data...3763647174</v>
        <stp/>
        <stp>BDP|11098096253680456149</stp>
        <tr r="P16" s="338"/>
        <tr r="P38" s="338"/>
      </tp>
      <tp t="s">
        <v>#N/A Requesting Data...3727959712</v>
        <stp/>
        <stp>BDP|12490577043850363694</stp>
        <tr r="D12" s="2"/>
        <tr r="C170" s="89"/>
        <tr r="C179" s="89"/>
      </tp>
      <tp t="s">
        <v>#N/A Requesting Data...3881272131</v>
        <stp/>
        <stp>BDP|10787623999933097918</stp>
        <tr r="L10" s="252"/>
        <tr r="L10" s="252"/>
      </tp>
      <tp t="s">
        <v>#N/A Requesting Data...3818628110</v>
        <stp/>
        <stp>BDP|12736980550379200202</stp>
        <tr r="O253" s="89"/>
      </tp>
      <tp t="s">
        <v>#N/A Requesting Data...4241631504</v>
        <stp/>
        <stp>BDP|15872646771885299421</stp>
        <tr r="F16" s="446"/>
      </tp>
      <tp t="s">
        <v>#N/A Requesting Data...4149711894</v>
        <stp/>
        <stp>BDP|17880720944415059422</stp>
        <tr r="E250" s="89"/>
      </tp>
      <tp t="s">
        <v>#N/A Requesting Data...3815276840</v>
        <stp/>
        <stp>BDP|17220718142881835059</stp>
        <tr r="F14" s="252"/>
      </tp>
      <tp t="s">
        <v>#N/A Requesting Data...3773328682</v>
        <stp/>
        <stp>BDP|11918335078837659785</stp>
        <tr r="Z204" s="89"/>
        <tr r="AA204" s="89"/>
      </tp>
      <tp t="s">
        <v>#N/A Requesting Data...4180457711</v>
        <stp/>
        <stp>BDP|12558430699342487846</stp>
        <tr r="E187" s="89"/>
      </tp>
      <tp t="s">
        <v>#N/A Requesting Data...4278588190</v>
        <stp/>
        <stp>BDP|14233550348326931693</stp>
        <tr r="Q51" s="338"/>
      </tp>
      <tp t="s">
        <v>#N/A N/A</v>
        <stp/>
        <stp>BDP|15051140014688420859</stp>
        <tr r="AC12" s="1"/>
      </tp>
      <tp t="s">
        <v>#N/A Requesting Data...4127277771</v>
        <stp/>
        <stp>BDP|11160692723917345791</stp>
        <tr r="C169" s="89"/>
      </tp>
      <tp t="s">
        <v>#N/A Requesting Data...3974886919</v>
        <stp/>
        <stp>BDP|13738518813242630024</stp>
        <tr r="U55" s="338"/>
      </tp>
      <tp t="s">
        <v>#N/A Requesting Data...3798457032</v>
        <stp/>
        <stp>BDP|16068368952433220674</stp>
        <tr r="D145" s="89"/>
      </tp>
      <tp t="s">
        <v>#N/A Requesting Data...4204847187</v>
        <stp/>
        <stp>BDP|10646909745071508967</stp>
        <tr r="T39" s="89"/>
      </tp>
      <tp t="s">
        <v>#N/A Requesting Data...3753247579</v>
        <stp/>
        <stp>BDP|12804773501081882168</stp>
        <tr r="AA39" s="89"/>
        <tr r="Z39" s="89"/>
      </tp>
      <tp t="s">
        <v>#N/A Requesting Data...3881291519</v>
        <stp/>
        <stp>BDP|10830522917212474394</stp>
        <tr r="M6" s="252"/>
      </tp>
      <tp t="s">
        <v>#N/A Requesting Data...3813594448</v>
        <stp/>
        <stp>BDP|13449047331402957787</stp>
        <tr r="F16" s="2"/>
      </tp>
      <tp t="s">
        <v>#N/A Requesting Data...3887944270</v>
        <stp/>
        <stp>BDP|14342024613619901985</stp>
        <tr r="F32" s="446"/>
      </tp>
      <tp t="s">
        <v>#N/A Requesting Data...4202808865</v>
        <stp/>
        <stp>BDP|17882539857607640595</stp>
        <tr r="AG54" s="338"/>
      </tp>
      <tp t="s">
        <v>#N/A Requesting Data...4008746780</v>
        <stp/>
        <stp>BDP|13450917922399223467</stp>
        <tr r="G34" s="446"/>
      </tp>
      <tp t="s">
        <v>#N/A Requesting Data...3915363549</v>
        <stp/>
        <stp>BDP|11202039151326059722</stp>
        <tr r="V234" s="89"/>
      </tp>
      <tp t="s">
        <v>#N/A N/A</v>
        <stp/>
        <stp>BDP|12142735374617755031</stp>
        <tr r="AG13" s="1"/>
      </tp>
      <tp t="s">
        <v>#N/A N/A</v>
        <stp/>
        <stp>BDP|12540520710212521104</stp>
        <tr r="AC17" s="1"/>
        <tr r="AC16" s="1"/>
      </tp>
      <tp t="s">
        <v>#N/A Requesting Data...3931631355</v>
        <stp/>
        <stp>BDP|10511277652532461062</stp>
        <tr r="AA90" s="89"/>
        <tr r="Z90" s="89"/>
      </tp>
      <tp t="s">
        <v>#N/A Requesting Data...4154346071</v>
        <stp/>
        <stp>BDP|10502345237505392003</stp>
        <tr r="E242" s="89"/>
      </tp>
      <tp t="s">
        <v>#N/A Requesting Data...4004106893</v>
        <stp/>
        <stp>BDP|14655831860859350630</stp>
        <tr r="L13" s="338"/>
        <tr r="J13" s="338"/>
      </tp>
      <tp t="s">
        <v>#N/A Requesting Data...3908785491</v>
        <stp/>
        <stp>BDP|12932290900667287274</stp>
        <tr r="AR12" s="2"/>
      </tp>
      <tp t="s">
        <v>#N/A N/A</v>
        <stp/>
        <stp>BDP|18269255641489268206</stp>
        <tr r="AC29" s="1"/>
        <tr r="AC30" s="1"/>
      </tp>
      <tp t="s">
        <v>#N/A N/A</v>
        <stp/>
        <stp>BDP|15660791077340487089</stp>
        <tr r="E1" s="1"/>
        <tr r="K31" s="1"/>
      </tp>
      <tp t="s">
        <v>#N/A Requesting Data...4111703115</v>
        <stp/>
        <stp>BDP|10749732335826116771</stp>
        <tr r="D224" s="89"/>
      </tp>
      <tp t="s">
        <v>#N/A Requesting Data...4029627430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Data...3954933041</v>
        <stp/>
        <stp>BDP|11838573161432005595</stp>
        <tr r="C187" s="89"/>
      </tp>
      <tp t="s">
        <v>#N/A Requesting Data...4157187398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Data...3835565553</v>
        <stp/>
        <stp>BDP|11370170641465778442</stp>
        <tr r="T12" s="2"/>
        <tr r="O170" s="89"/>
        <tr r="O179" s="89"/>
      </tp>
      <tp t="e">
        <v>#N/A</v>
        <stp/>
        <stp>BDH|14131773964710507045</stp>
        <tr r="J9" s="252"/>
      </tp>
      <tp t="e">
        <v>#N/A</v>
        <stp/>
        <stp>BDH|13899577171933584739</stp>
        <tr r="AR48" s="338"/>
        <tr r="AR49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T10" s="252"/>
        <tr r="W10" s="252"/>
      </tp>
    </main>
    <main first="bofaddin.rtdserver">
      <tp>
        <v>15043.51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267.77</v>
        <stp/>
        <stp>BDP|7062867511992634566|22</stp>
        <stp>IWM EQUITY</stp>
        <stp>LAST_PRICE</stp>
        <tr r="I8" s="1"/>
      </tp>
      <tp>
        <v>-0.19701239466667175</v>
        <stp/>
        <stp>BDP|16965813729943912763|22</stp>
        <stp>META US 04/17/26 C690 Equity</stp>
        <stp>theta_mid_rt</stp>
        <tr r="AN12" s="2"/>
      </tp>
      <tp>
        <v>33.729999999999997</v>
        <stp/>
        <stp>BDP|16778716474861008512|22</stp>
        <stp>ASHR US Equity</stp>
        <stp>LAST_PRICE</stp>
        <tr r="Z4" s="2"/>
        <tr r="Z5" s="2"/>
      </tp>
      <tp>
        <v>-0.23195895552635193</v>
        <stp/>
        <stp>BDP|14334277381563954133|22</stp>
        <stp>META US 04/17/26 P600 Equity</stp>
        <stp>theta_mid_rt</stp>
        <tr r="AN13" s="2"/>
      </tp>
      <tp>
        <v>0.90913897752761841</v>
        <stp/>
        <stp>BDP|7693333295143193813|22</stp>
        <stp>TSM US 01/16/26 C335 Equity</stp>
        <stp>DELTA_MID_RT</stp>
        <tr r="W195" s="89"/>
      </tp>
      <tp>
        <v>740000</v>
        <stp/>
        <stp>BDP|5584348829070198606|22</stp>
        <stp>000660 KP Equity</stp>
        <stp>LAST_PRICE</stp>
        <tr r="I26" s="1"/>
        <tr r="I25" s="1"/>
      </tp>
      <tp>
        <v>219.45</v>
        <stp/>
        <stp>BDP|14695328540844976221|22</stp>
        <stp>GSENEPOW Equity</stp>
        <stp>LAST PRICE</stp>
        <tr r="G41" s="338"/>
        <tr r="G42" s="338"/>
      </tp>
      <tp>
        <v>-0.40124344825744629</v>
        <stp/>
        <stp>BDP|881815071269395294|22</stp>
        <stp>META US 04/17/26 P600 Equity</stp>
        <stp>DELTA_MID_RT</stp>
        <tr r="AF13" s="2"/>
        <tr r="W180" s="89"/>
      </tp>
      <tp t="s">
        <v>#N/A Real Time</v>
        <stp/>
        <stp>BDP|4480144096505489759|22</stp>
        <stp>MRYWZ4C4 2390 Index</stp>
        <stp>DELTA_MID_RT</stp>
        <tr r="W129" s="89"/>
      </tp>
      <tp>
        <v>1360.09</v>
        <stp/>
        <stp>BDP|15490560954416168559|22</stp>
        <stp>ASML US Equity</stp>
        <stp>LAST_PRICE</stp>
        <tr r="S49" s="89"/>
        <tr r="S50" s="89"/>
      </tp>
      <tp t="s">
        <v>#N/A Real Time</v>
        <stp/>
        <stp>BDP|8671606719947634072|22</stp>
        <stp>4EM5P    6025 Index</stp>
        <stp>DELTA_MID_RT</stp>
        <tr r="W137" s="89"/>
      </tp>
      <tp>
        <v>-2.6179999113082886E-3</v>
        <stp/>
        <stp>BDP|3861495059700349310|22</stp>
        <stp>TSM US 01/16/26 P315 Equity</stp>
        <stp>DELTA_MID_RT</stp>
        <tr r="W197" s="89"/>
      </tp>
      <tp>
        <v>-0.68529897928237915</v>
        <stp/>
        <stp>BDP|8369518914882815880|22</stp>
        <stp>QQQ US 01/15/26 P623 Equity</stp>
        <stp>DELTA_MID_RT</stp>
        <tr r="W68" s="89"/>
      </tp>
      <tp>
        <v>101.29</v>
        <stp/>
        <stp>BDP|828808174050573795|22</stp>
        <stp>GDX US Equity</stp>
        <stp>LAST_PRICE</stp>
        <tr r="Z26" s="2"/>
        <tr r="Z27" s="2"/>
        <tr r="S7" s="89"/>
        <tr r="S8" s="89"/>
      </tp>
      <tp t="s">
        <v>#N/A Real Time</v>
        <stp/>
        <stp>BDP|2387402778293168161|22</stp>
        <stp>4OZ24 Index</stp>
        <stp>LAST_PRICE</stp>
        <tr r="S108" s="89"/>
      </tp>
      <tp t="s">
        <v>USD</v>
        <stp/>
        <stp>BDP|7761033039243477660|22</stp>
        <stp>AMAT US 02/20/26 C340 Equity</stp>
        <stp>QUOTED_CURRENCY_REALTIME</stp>
        <tr r="F34" s="89"/>
      </tp>
      <tp t="s">
        <v>#N/A Invalid Security</v>
        <stp/>
        <stp>BDP|4603892022829897265|22</stp>
        <stp>0,717073149226308 Index</stp>
        <stp>mid</stp>
        <tr r="L1" s="2"/>
      </tp>
      <tp t="s">
        <v>#N/A Real Time</v>
        <stp/>
        <stp>BDP|11820070012775282534|22</stp>
        <stp>RTYWU5C3 2500 Index</stp>
        <stp>ask</stp>
        <tr r="L145" s="89"/>
      </tp>
      <tp>
        <v>328.8</v>
        <stp/>
        <stp>BDP|17019897193923426340|22</stp>
        <stp>AVGO US Equity</stp>
        <stp>LAST_PRICE</stp>
        <tr r="Z6" s="2"/>
        <tr r="Z8" s="2"/>
        <tr r="Z7" s="2"/>
        <tr r="S222" s="89"/>
        <tr r="S224" s="89"/>
        <tr r="S25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>
        <v>-2.0887486636638641E-2</v>
        <stp/>
        <stp>BDP|4936585278190549239|22</stp>
        <stp>QQQ US 01/21/26 P614 Equity</stp>
        <stp>DELTA_MID_RT</stp>
        <tr r="W82" s="89"/>
      </tp>
      <tp t="s">
        <v>#N/A Real Time</v>
        <stp/>
        <stp>BDP|16831399122066681226|22</stp>
        <stp>RTYWU5C3 2500 Index</stp>
        <stp>bid</stp>
        <tr r="K145" s="89"/>
      </tp>
      <tp>
        <v>401.93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62.49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50" s="89"/>
      </tp>
      <tp>
        <v>9.6964187920093536E-2</v>
        <stp/>
        <stp>BDP|2896289675888891507|22</stp>
        <stp>QQQ US 01/23/26 C627 Equity</stp>
        <stp>DELTA_MID_RT</stp>
        <tr r="W212" s="89"/>
      </tp>
      <tp t="s">
        <v>#N/A Requesting Data...3871664423</v>
        <stp/>
        <stp>BDP|3297967097008051</stp>
        <tr r="AA223" s="89"/>
        <tr r="Z223" s="89"/>
      </tp>
      <tp>
        <v>-0.20933800935745239</v>
        <stp/>
        <stp>BDP|12672802728808900930|22</stp>
        <stp>META US 04/17/26 P570 Equity</stp>
        <stp>theta_mid_rt</stp>
        <tr r="AN14" s="2"/>
      </tp>
      <tp>
        <v>325.27999999999997</v>
        <stp/>
        <stp>BDP|4205875099267338750|22</stp>
        <stp>V Equity</stp>
        <stp>LAST PRICE</stp>
        <tr r="G15" s="338"/>
        <tr r="G39" s="338"/>
        <tr r="I40" s="338"/>
      </tp>
      <tp>
        <v>326.12</v>
        <stp/>
        <stp>BDP|5454315708850008901|22</stp>
        <stp>TSM EQUITY</stp>
        <stp>LAST_PRICE</stp>
        <tr r="C3" s="1"/>
      </tp>
      <tp>
        <v>-0.77214694023132324</v>
        <stp/>
        <stp>BDP|15792950336144286205|22</stp>
        <stp>LITE US 02/20/26 C400 Equity</stp>
        <stp>theta_mid_rt</stp>
        <tr r="AN10" s="2"/>
        <tr r="AN11" s="2"/>
      </tp>
      <tp t="s">
        <v>USD</v>
        <stp/>
        <stp>BDP|8132659213861327764|22</stp>
        <stp>AMAT US 02/06/26 C340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9" s="2"/>
        <tr r="G20" s="2"/>
      </tp>
      <tp t="s">
        <v>#N/A Real Time</v>
        <stp/>
        <stp>BDP|3037632444073250464|22</stp>
        <stp>AVGO US 10/03/25 P330 Equity</stp>
        <stp>QUOTED_CURRENCY_REALTIME</stp>
        <tr r="F254" s="89"/>
      </tp>
      <tp t="s">
        <v>USD</v>
        <stp/>
        <stp>BDP|5718330705965420367|22</stp>
        <stp>AVGO US 06/18/26 P300 Equity</stp>
        <stp>QUOTED_CURRENCY_REALTIME</stp>
        <tr r="F224" s="89"/>
      </tp>
      <tp>
        <v>1.45</v>
        <stp/>
        <stp>BDP|14260081003556741121|22</stp>
        <stp>EWT US 01/16/26 C66.2 Equity</stp>
        <stp>ask</stp>
        <tr r="L178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501.29</v>
        <stp/>
        <stp>BDP|15828492879202900921|22</stp>
        <stp>SNDK US Equity</stp>
        <stp>LAST_PRICE</stp>
        <tr r="Z9" s="2"/>
        <tr r="S26" s="89"/>
      </tp>
      <tp>
        <v>325.17</v>
        <stp/>
        <stp>BDP|14680776317739946594|22</stp>
        <stp>AMAT US Equity</stp>
        <stp>LAST_PRICE</stp>
        <tr r="Z22" s="2"/>
        <tr r="Z23" s="2"/>
        <tr r="S33" s="89"/>
        <tr r="S34" s="89"/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-0.43115526437759399</v>
        <stp/>
        <stp>BDP|7770981328006744750|22</stp>
        <stp>QQQ US 01/23/26 P615 Equity</stp>
        <stp>DELTA_MID_RT</stp>
        <tr r="W75" s="89"/>
      </tp>
      <tp t="s">
        <v>USD</v>
        <stp/>
        <stp>BDP|8789910064232569805|22</stp>
        <stp>AMAT US 01/23/26 P290 Equity</stp>
        <stp>QUOTED_CURRENCY_REALTIME</stp>
        <tr r="G22" s="2"/>
        <tr r="F55" s="89"/>
      </tp>
      <tp>
        <v>-5.7143695652484894E-2</v>
        <stp/>
        <stp>BDP|15158621682476696755|22</stp>
        <stp>MRVL US 03/20/26 P75 Equity</stp>
        <stp>theta_mid_rt</stp>
        <tr r="AN16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BDP|5793744081546209980|22</stp>
        <stp>META US 04/17/26 C690 Equity</stp>
        <stp>QUOTED_CURRENCY_REALTIME</stp>
        <tr r="G12" s="2"/>
        <tr r="F170" s="89"/>
        <tr r="F179" s="89"/>
      </tp>
      <tp t="s">
        <v>#N/A Real Time</v>
        <stp/>
        <stp>BDP|4903616747917947670|22</stp>
        <stp>SCH5C   6200 Index</stp>
        <stp>DELTA_MID_RT</stp>
        <tr r="W101" s="89"/>
      </tp>
      <tp>
        <v>0.45829343795776367</v>
        <stp/>
        <stp>BDP|4155313352666840768|22</stp>
        <stp>GDX US 09/18/26 C115 Equity</stp>
        <stp>DELTA_MID_RT</stp>
        <tr r="W8" s="89"/>
        <tr r="AF27" s="2"/>
      </tp>
      <tp t="s">
        <v>#N/A Invalid Security</v>
        <stp/>
        <stp>BDP|4149584775528543730|22</stp>
        <stp xml:space="preserve"> Equity</stp>
        <stp>ask</stp>
        <tr r="Q2" s="2"/>
      </tp>
      <tp>
        <v>389.11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15.95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BDP|3970030095933477348|22</stp>
        <stp>LITE US 02/20/26 C400 Equity</stp>
        <stp>QUOTED_CURRENCY_REALTIME</stp>
        <tr r="G10" s="2"/>
        <tr r="G11" s="2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32" s="2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-4.7304131090641022E-2</v>
        <stp/>
        <stp>BDP|16456111785153391042|22</stp>
        <stp>MRVL US 03/20/26 P70 Equity</stp>
        <stp>theta_mid_rt</stp>
        <tr r="AN18" s="2"/>
      </tp>
      <tp>
        <v>6026.1171999999997</v>
        <stp/>
        <stp>BDP|12063806539307343070|22</stp>
        <stp>H11137 Index</stp>
        <stp>LAST_PRICE</stp>
        <tr r="H13" s="252"/>
        <tr r="H13" s="252"/>
      </tp>
      <tp t="s">
        <v>USD</v>
        <stp/>
        <stp>BDP|4713116799582805446|22</stp>
        <stp>1OG6P 25000 Index</stp>
        <stp>QUOTED_CURRENCY_REALTIME</stp>
        <tr r="G24" s="2"/>
        <tr r="G25" s="2"/>
        <tr r="F154" s="89"/>
      </tp>
      <tp>
        <v>231.3</v>
        <stp/>
        <stp>BDP|11431942920512482031|22</stp>
        <stp>AMZN US Equity</stp>
        <stp>LAST_PRICE</stp>
        <tr r="S251" s="89"/>
        <tr r="S234" s="89"/>
      </tp>
      <tp>
        <v>0.55588227510452271</v>
        <stp/>
        <stp>BDP|7447356985829106309|22</stp>
        <stp>GDX US 09/18/26 C105 Equity</stp>
        <stp>DELTA_MID_RT</stp>
        <tr r="W7" s="89"/>
        <tr r="AF26" s="2"/>
      </tp>
      <tp t="s">
        <v>USD</v>
        <stp/>
        <stp>BDP|15930605353587723597|22</stp>
        <stp>QQQ US 01/23/26 C627 Equity</stp>
        <stp>QUOTED_CURRENCY_REALTIME</stp>
        <tr r="F212" s="89"/>
      </tp>
      <tp>
        <v>616.28</v>
        <stp/>
        <stp>BDP|360499996244621952|22</stp>
        <stp>QQQ US Equity</stp>
        <stp>LAST_PRICE</stp>
        <tr r="S68" s="89"/>
        <tr r="S69" s="89"/>
        <tr r="S75" s="89"/>
        <tr r="S76" s="89"/>
        <tr r="S81" s="89"/>
        <tr r="S203" s="89"/>
        <tr r="S204" s="89"/>
        <tr r="S205" s="89"/>
        <tr r="S211" s="89"/>
        <tr r="S212" s="89"/>
        <tr r="S82" s="89"/>
        <tr r="S213" s="89"/>
      </tp>
      <tp t="s">
        <v>USD</v>
        <stp/>
        <stp>BDP|4431138389166708026|22</stp>
        <stp>AMZN US 07/17/26 C230 Equity</stp>
        <stp>QUOTED_CURRENCY_REALTIME</stp>
        <tr r="F234" s="89"/>
      </tp>
      <tp t="s">
        <v>USD</v>
        <stp/>
        <stp>BDP|4440794906767049796|22</stp>
        <stp>META US 04/17/26 P570 Equity</stp>
        <stp>QUOTED_CURRENCY_REALTIME</stp>
        <tr r="G14" s="2"/>
      </tp>
      <tp t="s">
        <v>#N/A Real Time</v>
        <stp/>
        <stp>BDP|15463751634066228508|22</stp>
        <stp>MRYWZ4C4 2390 Index</stp>
        <stp>ask</stp>
        <tr r="L129" s="89"/>
      </tp>
      <tp>
        <v>2.9</v>
        <stp/>
        <stp>BDP|7471545347057439094|22</stp>
        <stp>ASML US 01/23/26 P1200 Equity</stp>
        <stp>ask</stp>
        <tr r="L49" s="89"/>
      </tp>
      <tp>
        <v>612.96</v>
        <stp/>
        <stp>BDP|12884552599081678750|22</stp>
        <stp>META US Equity</stp>
        <stp>LAST_PRICE</stp>
        <tr r="Z12" s="2"/>
        <tr r="Z13" s="2"/>
        <tr r="Z14" s="2"/>
        <tr r="S169" s="89"/>
        <tr r="S170" s="89"/>
        <tr r="S171" s="89"/>
        <tr r="S179" s="89"/>
        <tr r="S233" s="89"/>
        <tr r="S252" s="89"/>
        <tr r="S180" s="89"/>
      </tp>
      <tp t="s">
        <v>#N/A Real Time</v>
        <stp/>
        <stp>BDP|4397889419411968016|22</stp>
        <stp>AMZN US 10/03/25 P220 Equity</stp>
        <stp>QUOTED_CURRENCY_REALTIME</stp>
        <tr r="F251" s="89"/>
      </tp>
      <tp t="s">
        <v>#N/A Real Time</v>
        <stp/>
        <stp>BDP|11252053857629401191|22</stp>
        <stp>MRYWZ4C4 2390 Index</stp>
        <stp>QUOTED_CURRENCY_REALTIME</stp>
        <tr r="F129" s="89"/>
      </tp>
      <tp t="s">
        <v>USD</v>
        <stp/>
        <stp>BDP|18186986863723277389|22</stp>
        <stp>QQQ US 01/23/26 C630 Equity</stp>
        <stp>QUOTED_CURRENCY_REALTIME</stp>
        <tr r="F211" s="89"/>
      </tp>
      <tp>
        <v>-6.50506392121315E-2</v>
        <stp/>
        <stp>BDP|12438727553717188638|22</stp>
        <stp>MRVL US 03/20/26 P85 Equity</stp>
        <stp>theta_mid_rt</stp>
        <tr r="AN15" s="2"/>
      </tp>
      <tp t="s">
        <v>#N/A N/A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F195" s="89"/>
      </tp>
      <tp>
        <v>-0.12238346040248871</v>
        <stp/>
        <stp>BDP|10245752736782328205|22</stp>
        <stp>MSFT US 03/20/26 C490 Equity</stp>
        <stp>theta_mid_rt</stp>
        <tr r="AN19" s="2"/>
        <tr r="AN20" s="2"/>
      </tp>
      <tp t="s">
        <v>#N/A Real Time</v>
        <stp/>
        <stp>BDP|648824397668889970|22</stp>
        <stp>NVDA US 10/03/25 P160 Equity</stp>
        <stp>DELTA_MID_RT</stp>
        <tr r="W253" s="89"/>
      </tp>
      <tp t="s">
        <v>#N/A Real Time</v>
        <stp/>
        <stp>BDP|244486762209867984|22</stp>
        <stp>NVDA US 10/03/25 P160 Equity</stp>
        <stp>bid</stp>
        <tr r="K253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</tp>
      <tp t="s">
        <v>#N/A Invalid Security</v>
        <stp/>
        <stp>BDP|7037856272586483839|22</stp>
        <stp>KLAC US 02/06/26 C1600 Equity</stp>
        <stp>ask</stp>
        <tr r="L27" s="89"/>
      </tp>
      <tp>
        <v>-0.142425537109375</v>
        <stp/>
        <stp>BDP|16624195928833601507|22</stp>
        <stp>AMAT US 01/23/26 P290 Equity</stp>
        <stp>theta_mid_rt</stp>
        <tr r="AN22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USD</v>
        <stp/>
        <stp>BDP|11047411063038659820|22</stp>
        <stp>QQQ US 01/23/26 P620 Equity</stp>
        <stp>QUOTED_CURRENCY_REALTIME</stp>
        <tr r="F213" s="89"/>
      </tp>
      <tp t="s">
        <v>#N/A Invalid Security</v>
        <stp/>
        <stp>BDP|7846864529941089881|22</stp>
        <stp xml:space="preserve"> Equity</stp>
        <stp>mid</stp>
        <tr r="L2" s="2"/>
      </tp>
      <tp>
        <v>616.28</v>
        <stp/>
        <stp>BDP|2689810960265066336|22</stp>
        <stp>QQQ EQUITY</stp>
        <stp>LAST_PRICE</stp>
        <tr r="I6" s="1"/>
      </tp>
      <tp t="s">
        <v>#N/A Requesting Data...4070517496</v>
        <stp/>
        <stp>BDP|3970119255888163378</stp>
        <tr r="L14" s="338"/>
        <tr r="H14" s="338"/>
        <tr r="L35" s="338"/>
        <tr r="H35" s="338"/>
      </tp>
      <tp t="s">
        <v>#N/A Requesting Data...4236348436</v>
        <stp/>
        <stp>BDP|3446393847268291030</stp>
        <tr r="Q49" s="338"/>
      </tp>
      <tp t="s">
        <v>#N/A Requesting Data...4063714952</v>
        <stp/>
        <stp>BDP|6079579929065496810</stp>
        <tr r="O17" s="252"/>
      </tp>
      <tp t="s">
        <v>#N/A Requesting Data...4049846820</v>
        <stp/>
        <stp>BDP|7892942422180160079</stp>
        <tr r="AF29" s="338"/>
        <tr r="AF30" s="338"/>
      </tp>
      <tp t="s">
        <v>#N/A Requesting Data...4162077501</v>
        <stp/>
        <stp>BDP|6533259563557371995</stp>
        <tr r="T9" s="2"/>
        <tr r="O26" s="89"/>
      </tp>
      <tp t="s">
        <v>#N/A Requesting Data...4193652386</v>
        <stp/>
        <stp>BDP|6875767680954769102</stp>
        <tr r="AR8" s="2"/>
      </tp>
      <tp t="s">
        <v>#N/A N/A</v>
        <stp/>
        <stp>BDP|7500005297250850236</stp>
        <tr r="K1" s="1"/>
      </tp>
      <tp t="s">
        <v>#N/A Requesting Data...4092937014</v>
        <stp/>
        <stp>BDP|7828562231434179977</stp>
        <tr r="G30" s="446"/>
      </tp>
      <tp t="s">
        <v>#N/A Requesting Data...4265501346</v>
        <stp/>
        <stp>BDP|5719360958046661910</stp>
        <tr r="U16" s="338"/>
        <tr r="U38" s="338"/>
      </tp>
      <tp t="e">
        <v>#N/A</v>
        <stp/>
        <stp>BDH|9253662836732557295</stp>
        <tr r="AM54" s="338"/>
        <tr r="AM52" s="338"/>
        <tr r="AM53" s="338"/>
      </tp>
      <tp t="s">
        <v>#N/A N/A</v>
        <stp/>
        <stp>BDP|8367283627072476679</stp>
        <tr r="AC31" s="1"/>
        <tr r="AC32" s="1"/>
      </tp>
      <tp t="s">
        <v>#N/A Requesting Data...4224524161</v>
        <stp/>
        <stp>BDP|6021078455249412694</stp>
        <tr r="AJ37" s="338"/>
      </tp>
      <tp t="s">
        <v>#N/A Requesting Data...4269872176</v>
        <stp/>
        <stp>BDP|2116301475429922329</stp>
        <tr r="E205" s="89"/>
      </tp>
      <tp t="s">
        <v>#N/A Requesting Data...4236082713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Data...3935430989</v>
        <stp/>
        <stp>BDP|6404917817581645389</stp>
        <tr r="O14" s="252"/>
      </tp>
      <tp t="s">
        <v>#N/A Requesting Data...4003211468</v>
        <stp/>
        <stp>BDP|4738998939235389797</stp>
        <tr r="F8" s="446"/>
      </tp>
      <tp t="s">
        <v>#N/A Requesting Data...3985688083</v>
        <stp/>
        <stp>BDP|4886228759937900881</stp>
        <tr r="C233" s="89"/>
      </tp>
      <tp t="s">
        <v>#N/A N/A</v>
        <stp/>
        <stp>BDP|2282995976142786289</stp>
        <tr r="AV6" s="2"/>
        <tr r="AV8" s="2"/>
        <tr r="AV7" s="2"/>
        <tr r="R222" s="89"/>
        <tr r="R224" s="89"/>
        <tr r="R254" s="89"/>
        <tr r="R225" s="89"/>
        <tr r="R223" s="89"/>
      </tp>
      <tp t="s">
        <v>#N/A Requesting Data...4257108109</v>
        <stp/>
        <stp>BDP|8370148836023021531</stp>
        <tr r="AF37" s="1"/>
        <tr r="AF38" s="1"/>
        <tr r="AF37" s="338"/>
      </tp>
      <tp t="s">
        <v>#N/A Requesting Data...4131279619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N/A</v>
        <stp/>
        <stp>BDP|3305717386224673419</stp>
        <tr r="AF27" s="1"/>
      </tp>
      <tp t="s">
        <v>#N/A Requesting Data...4044137988</v>
        <stp/>
        <stp>BDP|5270872678817673187</stp>
        <tr r="O13" s="252"/>
      </tp>
      <tp t="s">
        <v>#N/A Requesting Data...4097327820</v>
        <stp/>
        <stp>BDP|4170746265879602068</stp>
        <tr r="V242" s="89"/>
      </tp>
      <tp t="s">
        <v>#N/A N/A</v>
        <stp/>
        <stp>BDP|2737330982055463026</stp>
        <tr r="AG37" s="1"/>
        <tr r="AG38" s="1"/>
      </tp>
      <tp t="s">
        <v>#N/A Requesting Data...3963699770</v>
        <stp/>
        <stp>BDP|3098041072779459130</stp>
        <tr r="E170" s="89"/>
        <tr r="E179" s="89"/>
      </tp>
      <tp t="s">
        <v>#N/A Requesting Data...4238667725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Data...4059288031</v>
        <stp/>
        <stp>BDP|5489377534060375922</stp>
        <tr r="T145" s="89"/>
      </tp>
      <tp t="s">
        <v>#N/A Requesting Data...4094675278</v>
        <stp/>
        <stp>BDP|7547135630721272822</stp>
        <tr r="T29" s="338"/>
      </tp>
      <tp t="s">
        <v>#N/A Requesting Data...4020727509</v>
        <stp/>
        <stp>BDP|9515949913399601436</stp>
        <tr r="G25" s="446"/>
      </tp>
      <tp t="s">
        <v>#N/A Requesting Data...4218354361</v>
        <stp/>
        <stp>BDP|4846675545659434390</stp>
        <tr r="E14" s="2"/>
      </tp>
      <tp t="e">
        <v>#N/A</v>
        <stp/>
        <stp>BDH|4947877200567802711</stp>
        <tr r="AR13" s="338"/>
      </tp>
      <tp t="s">
        <v>#N/A Requesting Data...4136294639</v>
        <stp/>
        <stp>BDP|9712190854671951078</stp>
        <tr r="M16" s="252"/>
      </tp>
      <tp t="s">
        <v>#N/A Requesting Data...4081503620</v>
        <stp/>
        <stp>BDP|5511275398847971578</stp>
        <tr r="T45" s="338"/>
      </tp>
      <tp t="s">
        <v>#N/A Requesting Data...4198190713</v>
        <stp/>
        <stp>BDP|7331929777222298704</stp>
        <tr r="C251" s="89"/>
      </tp>
      <tp t="s">
        <v>#N/A Requesting Data...3985715905</v>
        <stp/>
        <stp>BDP|4040720881186658103</stp>
        <tr r="O178" s="89"/>
      </tp>
      <tp t="s">
        <v>#N/A N/A</v>
        <stp/>
        <stp>BDP|2458861742576609433</stp>
        <tr r="AC9" s="2"/>
      </tp>
      <tp>
        <v>86.23</v>
        <stp/>
        <stp>BDP|7394371982457470369|22</stp>
        <stp>KBWB Equity</stp>
        <stp>LAST PRICE</stp>
        <tr r="G52" s="338"/>
        <tr r="G53" s="338"/>
        <tr r="G54" s="338"/>
      </tp>
      <tp>
        <v>24.8</v>
        <stp/>
        <stp>BDP|16359753100625413729|22</stp>
        <stp>AMZN US 07/17/26 C230 Equity</stp>
        <stp>ask</stp>
        <tr r="L234" s="89"/>
      </tp>
      <tp>
        <v>501.29</v>
        <stp/>
        <stp>BDP|3981944549231547641|22</stp>
        <stp>SNDK Equity</stp>
        <stp>LAST_PRICE</stp>
        <tr r="I27" s="1"/>
      </tp>
      <tp t="s">
        <v>#N/A Real Time</v>
        <stp/>
        <stp>BDP|16474195993008164556|22</stp>
        <stp>META US 10/03/25 P730 Equity</stp>
        <stp>QUOTED_CURRENCY_REALTIME</stp>
        <tr r="F252" s="89"/>
      </tp>
      <tp t="s">
        <v>#N/A Requesting Data...4012575833</v>
        <stp/>
        <stp>BDP|5415224161148491497</stp>
        <tr r="O187" s="89"/>
      </tp>
      <tp t="s">
        <v>#N/A Requesting Data...4015252256</v>
        <stp/>
        <stp>BDP|8978057739724642299</stp>
        <tr r="K24" s="2"/>
      </tp>
      <tp t="s">
        <v>#N/A Requesting Data...4054854510</v>
        <stp/>
        <stp>BDP|9641015641826985650</stp>
        <tr r="U52" s="338"/>
      </tp>
      <tp t="s">
        <v>#N/A Requesting Data...4034390355</v>
        <stp/>
        <stp>BDP|4416699983256792133</stp>
        <tr r="T27" s="89"/>
      </tp>
      <tp t="s">
        <v>#N/A Requesting Data...4030399276</v>
        <stp/>
        <stp>BDP|6731818678664058062</stp>
        <tr r="C116" s="89"/>
      </tp>
      <tp t="s">
        <v>#N/A Requesting Data...4069594417</v>
        <stp/>
        <stp>BDP|3337761684491833019</stp>
        <tr r="F44" s="446"/>
      </tp>
      <tp t="s">
        <v>#N/A Requesting Data...4064249433</v>
        <stp/>
        <stp>BDP|4245700180187394193</stp>
        <tr r="E144" s="89"/>
      </tp>
      <tp t="s">
        <v>#N/A Requesting Data...4239760638</v>
        <stp/>
        <stp>BDP|2599954552966387584</stp>
        <tr r="V15" s="338"/>
        <tr r="V39" s="338"/>
      </tp>
      <tp t="s">
        <v>#N/A Requesting Data...4109456955</v>
        <stp/>
        <stp>BDP|6927294984968537987</stp>
        <tr r="C224" s="89"/>
      </tp>
      <tp t="s">
        <v>#N/A N/A</v>
        <stp/>
        <stp>BDP|9699474378527567053</stp>
        <tr r="AC28" s="1"/>
      </tp>
      <tp t="s">
        <v>#N/A Requesting Data...4201630210</v>
        <stp/>
        <stp>BDP|4059296425981795825</stp>
        <tr r="T89" s="89"/>
      </tp>
      <tp t="s">
        <v>#N/A Requesting Data...4058974958</v>
        <stp/>
        <stp>BDP|9285178478804547660</stp>
        <tr r="C33" s="89"/>
      </tp>
      <tp t="s">
        <v>#N/A Requesting Data...4054235455</v>
        <stp/>
        <stp>BDP|4536118289402576275</stp>
        <tr r="C212" s="89"/>
      </tp>
      <tp t="s">
        <v>#N/A Requesting Data...4199331655</v>
        <stp/>
        <stp>BDP|7447730768218451347</stp>
        <tr r="T19" s="2"/>
        <tr r="T20" s="2"/>
      </tp>
      <tp t="s">
        <v>#N/A Requesting Data...4086476838</v>
        <stp/>
        <stp>BDP|6822986114586808509</stp>
        <tr r="AA16" s="2"/>
      </tp>
      <tp t="s">
        <v>#N/A Requesting Data...4000787210</v>
        <stp/>
        <stp>BDP|9592498748502103695</stp>
        <tr r="L7" s="252"/>
        <tr r="L7" s="252"/>
      </tp>
      <tp t="s">
        <v>#N/A Requesting Data...4100830318</v>
        <stp/>
        <stp>BDP|6754010884411976277</stp>
        <tr r="X44" s="338"/>
      </tp>
      <tp t="s">
        <v>#N/A Requesting Data...4129631395</v>
        <stp/>
        <stp>BDP|4958570254160242959</stp>
        <tr r="T33" s="338"/>
      </tp>
      <tp t="s">
        <v>#N/A Requesting Data...4102496901</v>
        <stp/>
        <stp>BDP|4678905769292619449</stp>
        <tr r="AK29" s="338"/>
      </tp>
      <tp t="s">
        <v>#N/A Requesting Data...4233697326</v>
        <stp/>
        <stp>BDP|7223883239641187000</stp>
        <tr r="G16" s="446"/>
      </tp>
      <tp t="s">
        <v>#N/A Requesting Data...4074521406</v>
        <stp/>
        <stp>BDP|5114854945934215018</stp>
        <tr r="AD12" s="2"/>
        <tr r="V170" s="89"/>
        <tr r="V179" s="89"/>
      </tp>
      <tp t="e">
        <v>#N/A</v>
        <stp/>
        <stp>BDH|6510200972726120845</stp>
        <tr r="W14" s="252"/>
        <tr r="T14" s="252"/>
      </tp>
      <tp t="s">
        <v>#N/A Requesting Data...4228791456</v>
        <stp/>
        <stp>BDP|1509260362090596873</stp>
        <tr r="E34" s="89"/>
      </tp>
      <tp t="s">
        <v>#N/A Requesting Data...4145367551</v>
        <stp/>
        <stp>BDP|8227558946176666242</stp>
        <tr r="C204" s="89"/>
      </tp>
      <tp t="s">
        <v>#N/A Requesting Data...4187764019</v>
        <stp/>
        <stp>BDP|8023230975554206472</stp>
        <tr r="U33" s="338"/>
      </tp>
      <tp t="s">
        <v>#N/A Requesting Data...4221433433</v>
        <stp/>
        <stp>BDP|2832828567039648888</stp>
        <tr r="D4" s="2"/>
        <tr r="D5" s="2"/>
      </tp>
      <tp t="s">
        <v>#N/A Requesting Data...4276535669</v>
        <stp/>
        <stp>BDP|1449141764908407306</stp>
        <tr r="F11" s="446"/>
      </tp>
      <tp t="s">
        <v>#N/A Requesting Data...4008805131</v>
        <stp/>
        <stp>BDP|6113923539666992720</stp>
        <tr r="N14" s="252"/>
        <tr r="N14" s="252"/>
      </tp>
      <tp t="s">
        <v>#N/A Requesting Data...4284322539</v>
        <stp/>
        <stp>BDP|8840098927283470439</stp>
        <tr r="AQ24" s="2"/>
        <tr r="AQ25" s="2"/>
        <tr r="AF15" s="1"/>
        <tr r="AB153" s="89"/>
        <tr r="AB154" s="89"/>
      </tp>
      <tp t="s">
        <v>#N/A Requesting Data...4071720888</v>
        <stp/>
        <stp>BDP|7951947862590616582</stp>
        <tr r="AF33" s="1"/>
        <tr r="AF34" s="1"/>
        <tr r="AF35" s="1"/>
        <tr r="AF13" s="338"/>
        <tr r="AF34" s="338"/>
      </tp>
      <tp t="s">
        <v>#N/A Requesting Data...4035572304</v>
        <stp/>
        <stp>BDP|9891481019803044282</stp>
        <tr r="G23" s="446"/>
      </tp>
      <tp t="s">
        <v>#N/A Requesting Data...4021462105</v>
        <stp/>
        <stp>BDP|8890689995642342808</stp>
        <tr r="V53" s="338"/>
      </tp>
      <tp t="s">
        <v>#N/A Requesting Data...4033357034</v>
        <stp/>
        <stp>BDP|2455215735317653905</stp>
        <tr r="E223" s="89"/>
      </tp>
      <tp t="e">
        <v>#N/A</v>
        <stp/>
        <stp>BDH|9549787372973822712</stp>
        <tr r="AM29" s="338"/>
        <tr r="AM30" s="338"/>
      </tp>
      <tp t="s">
        <v>#N/A N/A</v>
        <stp/>
        <stp>BDP|8233206945521469249</stp>
        <tr r="AB27" s="1"/>
      </tp>
      <tp t="s">
        <v>#N/A N/A</v>
        <stp/>
        <stp>BDP|1672936400533529679</stp>
        <tr r="R242" s="89"/>
        <tr r="R243" s="89"/>
      </tp>
      <tp t="s">
        <v>#N/A Requesting Data...4033322619</v>
        <stp/>
        <stp>BDP|9166486667196900003</stp>
        <tr r="E243" s="89"/>
      </tp>
      <tp t="s">
        <v>#N/A Requesting Data...4094432172</v>
        <stp/>
        <stp>BDP|2447569196515159629</stp>
        <tr r="T27" s="2"/>
        <tr r="O8" s="89"/>
      </tp>
      <tp t="s">
        <v>#N/A Requesting Data...4258226418</v>
        <stp/>
        <stp>BDP|7922404159852375974</stp>
        <tr r="E252" s="89"/>
      </tp>
      <tp t="s">
        <v>#N/A Requesting Data...4243382957</v>
        <stp/>
        <stp>BDP|7612533417436704812</stp>
        <tr r="AJ13" s="338"/>
        <tr r="AJ34" s="338"/>
      </tp>
      <tp t="s">
        <v>#N/A Requesting Data...4149309314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Data...4160282925</v>
        <stp/>
        <stp>BDP|3007975292676340821</stp>
        <tr r="G24" s="446"/>
      </tp>
      <tp t="s">
        <v>#N/A Requesting Data...4269054734</v>
        <stp/>
        <stp>BDP|5665815221263095138</stp>
        <tr r="E95" s="89"/>
      </tp>
      <tp t="s">
        <v>#N/A Requesting Data...4223466654</v>
        <stp/>
        <stp>BDP|3465264199005605087</stp>
        <tr r="V250" s="89"/>
      </tp>
      <tp t="e">
        <v>#N/A</v>
        <stp/>
        <stp>BDH|2114060395467773106</stp>
        <tr r="J16" s="252"/>
      </tp>
      <tp>
        <v>15.45</v>
        <stp/>
        <stp>BDP|18096733178424916458|22</stp>
        <stp>AVGO US 06/18/26 P270 Equity</stp>
        <stp>bid</stp>
        <tr r="K225" s="89"/>
      </tp>
      <tp>
        <v>28.7</v>
        <stp/>
        <stp>BDP|10089550128122679017|22</stp>
        <stp>TSM US 06/18/26 C340 Equity</stp>
        <stp>ask</stp>
        <tr r="Q30" s="2"/>
        <tr r="Q28" s="2"/>
        <tr r="L13" s="89"/>
      </tp>
      <tp>
        <v>-0.20389683544635773</v>
        <stp/>
        <stp>BDP|3431413272118379814|22</stp>
        <stp>MRVL US 03/20/26 P70 Equity</stp>
        <stp>DELTA_MID_RT</stp>
        <tr r="W63" s="89"/>
        <tr r="AF18" s="2"/>
      </tp>
      <tp t="s">
        <v>#N/A Requesting Data...4098123500</v>
        <stp/>
        <stp>BDP|5266989866390412427</stp>
        <tr r="D38" s="446"/>
      </tp>
      <tp t="s">
        <v>#N/A Requesting Data...4223630187</v>
        <stp/>
        <stp>BDP|9872151296976737961</stp>
        <tr r="C242" s="89"/>
      </tp>
      <tp t="s">
        <v>#N/A Requesting Data...4132034943</v>
        <stp/>
        <stp>BDP|1048848462772578392</stp>
        <tr r="Q37" s="338"/>
      </tp>
      <tp t="s">
        <v>#N/A N/A</v>
        <stp/>
        <stp>BDP|8927228557595141478</stp>
        <tr r="R115" s="89"/>
        <tr r="R116" s="89"/>
      </tp>
      <tp t="s">
        <v>#N/A Requesting Data...4249052190</v>
        <stp/>
        <stp>BDP|5527710723047808956</stp>
        <tr r="T50" s="89"/>
      </tp>
      <tp t="s">
        <v>#N/A Requesting Data...4270758171</v>
        <stp/>
        <stp>BDP|5586265622589882234</stp>
        <tr r="T187" s="89"/>
      </tp>
      <tp t="s">
        <v>#N/A Requesting Data...4162992269</v>
        <stp/>
        <stp>BDP|3507742477994476993</stp>
        <tr r="D40" s="89"/>
      </tp>
      <tp t="s">
        <v>#N/A Requesting Data...4240582172</v>
        <stp/>
        <stp>BDP|8518419899713251871</stp>
        <tr r="X8" s="338"/>
      </tp>
      <tp t="s">
        <v>#N/A Requesting Data...4072297943</v>
        <stp/>
        <stp>BDP|6375542897924166091</stp>
        <tr r="C109" s="89"/>
      </tp>
      <tp t="s">
        <v>#N/A Requesting Data...4077087385</v>
        <stp/>
        <stp>BDP|6865956502756622717</stp>
        <tr r="AH36" s="338"/>
        <tr r="AJ36" s="338"/>
      </tp>
      <tp t="s">
        <v>#N/A Requesting Data...4284109565</v>
        <stp/>
        <stp>BDP|2379295593121097618</stp>
        <tr r="D44" s="446"/>
      </tp>
      <tp t="s">
        <v>#N/A Requesting Data...4050804891</v>
        <stp/>
        <stp>BDP|9349867885552045593</stp>
        <tr r="S48" s="338"/>
      </tp>
      <tp t="s">
        <v>#N/A Requesting Data...4116355025</v>
        <stp/>
        <stp>BDP|9727589470544887194</stp>
        <tr r="AA24" s="2"/>
        <tr r="AA25" s="2"/>
        <tr r="T154" s="89"/>
      </tp>
      <tp t="s">
        <v>#N/A Requesting Data...4083089059</v>
        <stp/>
        <stp>BDP|1210812459016425419</stp>
        <tr r="T169" s="89"/>
      </tp>
      <tp t="s">
        <v>#N/A Requesting Data...4120664440</v>
        <stp/>
        <stp>BDP|3116185742219750133</stp>
        <tr r="T109" s="89"/>
      </tp>
      <tp t="s">
        <v>#N/A Requesting Data...4184789128</v>
        <stp/>
        <stp>BDP|2624626879588505571</stp>
        <tr r="Q35" s="338"/>
      </tp>
      <tp t="s">
        <v>#N/A Requesting Data...4194000181</v>
        <stp/>
        <stp>BDP|8244210653353723287</stp>
        <tr r="O34" s="89"/>
      </tp>
      <tp t="s">
        <v>#N/A Requesting Data...4141662431</v>
        <stp/>
        <stp>BDP|8974216276565695646</stp>
        <tr r="C27" s="2"/>
      </tp>
      <tp t="s">
        <v>#N/A Requesting Data...4108429528</v>
        <stp/>
        <stp>BDP|8883658922450224216</stp>
        <tr r="C81" s="89"/>
        <tr r="C76" s="89"/>
      </tp>
      <tp t="s">
        <v>#N/A N/A</v>
        <stp/>
        <stp>BDP|8927803377951233812</stp>
        <tr r="AB160" s="89"/>
      </tp>
      <tp t="s">
        <v>#N/A Requesting Data...4202786009</v>
        <stp/>
        <stp>BDP|3968002232967650903</stp>
        <tr r="O211" s="89"/>
      </tp>
      <tp t="s">
        <v>#N/A Requesting Data...4165937069</v>
        <stp/>
        <stp>BDP|5839166486573091158</stp>
        <tr r="V254" s="89"/>
      </tp>
      <tp t="s">
        <v>#N/A Requesting Data...4121362729</v>
        <stp/>
        <stp>BDP|9104922632105284817</stp>
        <tr r="D20" s="89"/>
      </tp>
      <tp t="s">
        <v>#N/A Requesting Data...4137323835</v>
        <stp/>
        <stp>BDP|5796504129065876948</stp>
        <tr r="U8" s="338"/>
      </tp>
      <tp t="s">
        <v>#N/A Requesting Data...4064019605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e">
        <v>#N/A</v>
        <stp/>
        <stp>BDH|8414852345933479930</stp>
        <tr r="AS42" s="338"/>
      </tp>
      <tp t="s">
        <v>#N/A Requesting Data...4288751334</v>
        <stp/>
        <stp>BDP|9233199299816659948</stp>
        <tr r="P11" s="252"/>
      </tp>
      <tp t="s">
        <v>#N/A Requesting Data...4209723784</v>
        <stp/>
        <stp>BDP|4391139391920942291</stp>
        <tr r="E213" s="89"/>
      </tp>
      <tp t="s">
        <v>#N/A Requesting Data...4178645400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Data...4287261112</v>
        <stp/>
        <stp>BDP|4042472092244568314</stp>
        <tr r="V108" s="89"/>
      </tp>
      <tp t="s">
        <v>#N/A Requesting Data...4110627758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Data...4131270065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Data...4132779372</v>
        <stp/>
        <stp>BDP|6562923680930375939</stp>
        <tr r="T11" s="338"/>
      </tp>
      <tp t="s">
        <v>#N/A Requesting Data...4258598012</v>
        <stp/>
        <stp>BDP|4719256686637012732</stp>
        <tr r="M19" s="252"/>
      </tp>
      <tp t="s">
        <v>#N/A Requesting Data...4212159489</v>
        <stp/>
        <stp>BDP|2644203280360986688</stp>
        <tr r="AB33" s="1"/>
        <tr r="AB34" s="1"/>
        <tr r="AB35" s="1"/>
        <tr r="F35" s="446"/>
      </tp>
      <tp t="e">
        <v>#N/A</v>
        <stp/>
        <stp>BDH|7010340281336294409</stp>
        <tr r="AU9" s="338"/>
      </tp>
      <tp t="s">
        <v>#N/A Requesting Data...4119690490</v>
        <stp/>
        <stp>BDP|3687895063137929413</stp>
        <tr r="U51" s="338"/>
      </tp>
      <tp t="s">
        <v>#N/A Requesting Data...4267023200</v>
        <stp/>
        <stp>BDP|9180127573356292767</stp>
        <tr r="AA233" s="89"/>
        <tr r="Z233" s="89"/>
      </tp>
      <tp t="s">
        <v>#N/A Requesting Data...4129277284</v>
        <stp/>
        <stp>BDP|5048292846878225581</stp>
        <tr r="C213" s="89"/>
      </tp>
      <tp t="s">
        <v>#N/A Requesting Data...4210802587</v>
        <stp/>
        <stp>BDP|2866283045919885388</stp>
        <tr r="L18" s="338"/>
        <tr r="J18" s="338"/>
      </tp>
      <tp t="s">
        <v>#N/A Requesting Data...4130442075</v>
        <stp/>
        <stp>BDP|8754151420072627717</stp>
        <tr r="AR27" s="2"/>
      </tp>
      <tp t="s">
        <v>#N/A Requesting Data...4165566595</v>
        <stp/>
        <stp>BDP|2191861964986449420</stp>
        <tr r="E254" s="89"/>
      </tp>
      <tp t="s">
        <v>#N/A Requesting Data...4116853189</v>
        <stp/>
        <stp>BDP|6934177580382903322</stp>
        <tr r="AA26" s="89"/>
        <tr r="Z26" s="89"/>
      </tp>
      <tp t="s">
        <v>#N/A Requesting Data...4213709937</v>
        <stp/>
        <stp>BDP|8565804017506463936</stp>
        <tr r="L17" s="252"/>
        <tr r="L17" s="252"/>
      </tp>
      <tp>
        <v>20.239999999999998</v>
        <stp/>
        <stp>BDP|1056906607050736285|22</stp>
        <stp>CPNG Equity</stp>
        <stp>LAST PRICE</stp>
        <tr r="L7" s="446"/>
      </tp>
      <tp>
        <v>35.92</v>
        <stp/>
        <stp>BDP|8479129259841183337|22</stp>
        <stp>BP Equity</stp>
        <stp>LAST PRICE</stp>
        <tr r="G29" s="338"/>
        <tr r="G30" s="338"/>
      </tp>
      <tp>
        <v>-0.1634487509727478</v>
        <stp/>
        <stp>BDP|5526706154841928378|22</stp>
        <stp>MSFT US 03/20/26 P465 Equity</stp>
        <stp>theta_mid_rt</stp>
        <tr r="AN21" s="2"/>
      </tp>
      <tp>
        <v>0.14000000000000001</v>
        <stp/>
        <stp>BDP|10441403048003883800|22</stp>
        <stp>QQQ US 01/23/26 C630 Equity</stp>
        <stp>ask</stp>
        <tr r="L211" s="89"/>
      </tp>
      <tp>
        <v>326.12</v>
        <stp/>
        <stp>BDP|10734773146792366841|22</stp>
        <stp>TSM US Equity</stp>
        <stp>LAST_PRICE</stp>
        <tr r="Z30" s="2"/>
        <tr r="Z31" s="2"/>
        <tr r="Z32" s="2"/>
        <tr r="Z29" s="2"/>
        <tr r="Z28" s="2"/>
        <tr r="S13" s="89"/>
        <tr r="S19" s="89"/>
        <tr r="S20" s="89"/>
        <tr r="S195" s="89"/>
        <tr r="S196" s="89"/>
        <tr r="S197" s="89"/>
        <tr r="S14" s="89"/>
      </tp>
      <tp t="s">
        <v>#N/A Requesting Data...4201706058</v>
        <stp/>
        <stp>BDP|3786323124408946521</stp>
        <tr r="D45" s="446"/>
      </tp>
      <tp t="s">
        <v>#N/A Requesting Data...4095988373</v>
        <stp/>
        <stp>BDP|7859159525229324216</stp>
        <tr r="C49" s="89"/>
      </tp>
      <tp t="s">
        <v>#N/A N/A</v>
        <stp/>
        <stp>BDP|8896143753810578305</stp>
        <tr r="F17" s="2"/>
      </tp>
      <tp t="s">
        <v>#N/A Requesting Data...4277038586</v>
        <stp/>
        <stp>BDP|9677592347374790342</stp>
        <tr r="F23" s="2"/>
      </tp>
      <tp t="s">
        <v>#N/A N/A</v>
        <stp/>
        <stp>BDP|2806504826139638334</stp>
        <tr r="AG33" s="1"/>
        <tr r="AG34" s="1"/>
        <tr r="AG35" s="1"/>
      </tp>
      <tp t="s">
        <v>#N/A Requesting Data...4129180039</v>
        <stp/>
        <stp>BDP|4784976331940308190</stp>
        <tr r="AA144" s="89"/>
        <tr r="Z144" s="89"/>
      </tp>
      <tp t="s">
        <v>#N/A Requesting Data...4124502702</v>
        <stp/>
        <stp>BDP|2131718523418809031</stp>
        <tr r="X9" s="338"/>
      </tp>
      <tp t="s">
        <v>#N/A Requesting Data...4143440872</v>
        <stp/>
        <stp>BDP|4038200735129593394</stp>
        <tr r="Q44" s="338"/>
      </tp>
      <tp t="s">
        <v>#N/A N/A</v>
        <stp/>
        <stp>BDP|8119275495638947437</stp>
        <tr r="AI39" s="1"/>
        <tr r="AI40" s="1"/>
      </tp>
      <tp t="s">
        <v>#N/A Requesting Data...4237115450</v>
        <stp/>
        <stp>BDP|4060140891760852341</stp>
        <tr r="T95" s="89"/>
      </tp>
      <tp t="s">
        <v>#N/A Requesting Data...4219296445</v>
        <stp/>
        <stp>BDP|2813557120398156228</stp>
        <tr r="E253" s="89"/>
      </tp>
      <tp t="s">
        <v>#N/A N/A</v>
        <stp/>
        <stp>BDP|1110263465193964954</stp>
        <tr r="AB122" s="89"/>
        <tr r="AB123" s="89"/>
      </tp>
      <tp t="s">
        <v>#N/A Requesting Data...4192415640</v>
        <stp/>
        <stp>BDP|2842170687233636700</stp>
        <tr r="AH13" s="338"/>
        <tr r="AH34" s="338"/>
      </tp>
      <tp t="s">
        <v>#N/A Requesting Data...4184032063</v>
        <stp/>
        <stp>BDP|1457483532620769970</stp>
        <tr r="L18" s="252"/>
        <tr r="L18" s="252"/>
      </tp>
      <tp t="s">
        <v>#N/A N/A</v>
        <stp/>
        <stp>BDP|7952717157178061208</stp>
        <tr r="AI17" s="1"/>
        <tr r="AI16" s="1"/>
      </tp>
      <tp t="s">
        <v>#N/A Requesting Data...4164531603</v>
        <stp/>
        <stp>BDP|6268649388386345129</stp>
        <tr r="D144" s="89"/>
      </tp>
      <tp t="s">
        <v>#N/A Requesting Data...4145591116</v>
        <stp/>
        <stp>BDP|8154630115763023381</stp>
        <tr r="T52" s="338"/>
      </tp>
      <tp t="s">
        <v>#N/A Requesting Data...4270746294</v>
        <stp/>
        <stp>BDP|7576730522755872830</stp>
        <tr r="F38" s="446"/>
      </tp>
      <tp t="s">
        <v>#N/A Requesting Data...4186086574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Data...4103564423</v>
        <stp/>
        <stp>BDP|9539667201337640785</stp>
        <tr r="U36" s="338"/>
      </tp>
      <tp t="s">
        <v>#N/A Requesting Data...4221373057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BDP|8782158116286979106</stp>
        <tr r="AG44" s="1"/>
      </tp>
      <tp t="s">
        <v>#N/A Requesting Data...4135028458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Data...4183204966</v>
        <stp/>
        <stp>BDP|4065099833740136891</stp>
        <tr r="P42" s="338"/>
      </tp>
      <tp t="s">
        <v>#N/A Requesting Data...4209188590</v>
        <stp/>
        <stp>BDP|6297532837576756937</stp>
        <tr r="AA252" s="89"/>
        <tr r="Z252" s="89"/>
      </tp>
      <tp t="s">
        <v>#N/A Requesting Data...4103334863</v>
        <stp/>
        <stp>BDP|8496510345395763350</stp>
        <tr r="D49" s="89"/>
      </tp>
      <tp t="s">
        <v>#N/A Requesting Data...4113157595</v>
        <stp/>
        <stp>BDP|5267619434148669720</stp>
        <tr r="AJ52" s="338"/>
        <tr r="AJ53" s="338"/>
        <tr r="AJ54" s="338"/>
      </tp>
      <tp t="s">
        <v>#N/A Requesting Data...4113512749</v>
        <stp/>
        <stp>BDP|7148106705448380141</stp>
        <tr r="V41" s="338"/>
      </tp>
      <tp t="s">
        <v>#N/A Requesting Data...4108105780</v>
        <stp/>
        <stp>BDP|1566983548630295344</stp>
        <tr r="AA15" s="2"/>
      </tp>
      <tp t="s">
        <v>#N/A Requesting Data...4201695492</v>
        <stp/>
        <stp>BDP|7511636250779138240</stp>
        <tr r="V40" s="338"/>
      </tp>
      <tp t="s">
        <v>#N/A Requesting Data...4268307678</v>
        <stp/>
        <stp>BDP|5576438787561382724</stp>
        <tr r="AJ10" s="338"/>
        <tr r="AJ11" s="338"/>
        <tr r="AJ33" s="338"/>
      </tp>
      <tp t="s">
        <v>#N/A Requesting Data...4223693391</v>
        <stp/>
        <stp>BDP|1371944730256623208</stp>
        <tr r="T137" s="89"/>
      </tp>
      <tp t="s">
        <v>#N/A Requesting Data...4171851750</v>
        <stp/>
        <stp>BDP|8553085138774321079</stp>
        <tr r="T123" s="89"/>
      </tp>
      <tp t="s">
        <v>#N/A Requesting Data...4125272438</v>
        <stp/>
        <stp>BDP|9274343827420648768</stp>
        <tr r="G10" s="446"/>
      </tp>
      <tp t="s">
        <v>#N/A N/A</v>
        <stp/>
        <stp>BDP|7885394395273302161</stp>
        <tr r="K15" s="1"/>
      </tp>
      <tp t="s">
        <v>#N/A Requesting Data...4240590162</v>
        <stp/>
        <stp>BDP|1937197186723171466</stp>
        <tr r="F28" s="2"/>
        <tr r="F30" s="2"/>
      </tp>
      <tp t="s">
        <v>#N/A Requesting Data...4194090752</v>
        <stp/>
        <stp>BDP|1136567666448935591</stp>
        <tr r="V37" s="338"/>
      </tp>
      <tp t="s">
        <v>#N/A N/A</v>
        <stp/>
        <stp>BDP|7385638697900780713</stp>
        <tr r="AB29" s="1"/>
        <tr r="AB30" s="1"/>
      </tp>
      <tp t="s">
        <v>#N/A Requesting Data...4171254227</v>
        <stp/>
        <stp>BDP|1366767233159407337</stp>
        <tr r="V243" s="89"/>
      </tp>
      <tp t="s">
        <v>#N/A N/A</v>
        <stp/>
        <stp>BDP|9728149439951510598</stp>
        <tr r="F18" s="2"/>
      </tp>
      <tp t="s">
        <v>#N/A Requesting Data...4146778208</v>
        <stp/>
        <stp>BDP|2036830374436602479</stp>
        <tr r="U50" s="338"/>
      </tp>
      <tp t="s">
        <v>#N/A Requesting Data...4273597407</v>
        <stp/>
        <stp>BDP|6317578591636076338</stp>
        <tr r="D138" s="89"/>
      </tp>
      <tp t="s">
        <v>#N/A N/A</v>
        <stp/>
        <stp>BDP|3916828528720515608</stp>
        <tr r="AQ27" s="2"/>
        <tr r="AQ26" s="2"/>
        <tr r="AB7" s="89"/>
        <tr r="AB8" s="89"/>
      </tp>
      <tp t="s">
        <v>#N/A Requesting Data...4276981915</v>
        <stp/>
        <stp>BDP|1370952567270052174</stp>
        <tr r="AJ8" s="338"/>
        <tr r="AJ9" s="338"/>
        <tr r="AH8" s="338"/>
        <tr r="AH9" s="338"/>
      </tp>
      <tp t="s">
        <v>#N/A Requesting Data...4164509346</v>
        <stp/>
        <stp>BDP|9908493190928009374</stp>
        <tr r="S17" s="338"/>
      </tp>
      <tp t="s">
        <v>#N/A Requesting Data...4287839101</v>
        <stp/>
        <stp>BDP|3091771380746895580</stp>
        <tr r="F9" s="2"/>
      </tp>
      <tp t="s">
        <v>#N/A N/A</v>
        <stp/>
        <stp>BDP|5278263338822851904</stp>
        <tr r="AB108" s="89"/>
      </tp>
      <tp t="s">
        <v>#N/A N/A</v>
        <stp/>
        <stp>BDP|9461243956507277607</stp>
        <tr r="K41" s="1"/>
      </tp>
      <tp t="e">
        <v>#N/A</v>
        <stp/>
        <stp>BDH|7763616196664467300</stp>
        <tr r="AS18" s="338"/>
      </tp>
      <tp t="s">
        <v>#N/A Requesting Data...4263472114</v>
        <stp/>
        <stp>BDP|6160662584120657700</stp>
        <tr r="G12" s="446"/>
      </tp>
      <tp t="s">
        <v>#N/A Requesting Data...4160881872</v>
        <stp/>
        <stp>BDP|2050769895694328758</stp>
        <tr r="S7" s="252"/>
      </tp>
      <tp t="s">
        <v>#N/A Requesting Data...4142036120</v>
        <stp/>
        <stp>BDP|9400166973232144257</stp>
        <tr r="AD13" s="2"/>
        <tr r="V180" s="89"/>
      </tp>
      <tp t="s">
        <v>#N/A Requesting Data...4273729194</v>
        <stp/>
        <stp>BDP|8759533260432150600</stp>
        <tr r="E56" s="89"/>
      </tp>
      <tp>
        <v>24.6</v>
        <stp/>
        <stp>BDP|10680447617071332709|22</stp>
        <stp>AMZN US 07/17/26 C230 Equity</stp>
        <stp>bid</stp>
        <tr r="K234" s="89"/>
      </tp>
      <tp>
        <v>328.8</v>
        <stp/>
        <stp>BDP|6093066913446547993|22</stp>
        <stp>AVGO Equity</stp>
        <stp>LAST_PRICE</stp>
        <tr r="I31" s="1"/>
        <tr r="I32" s="1"/>
      </tp>
      <tp>
        <v>0.36</v>
        <stp/>
        <stp>BDP|10397780432253086811|22</stp>
        <stp>QQQ US 01/23/26 C627 Equity</stp>
        <stp>bid</stp>
        <tr r="K212" s="89"/>
      </tp>
      <tp>
        <v>27.95</v>
        <stp/>
        <stp>BDP|14476957307763141828|22</stp>
        <stp>TSM US 06/18/26 C340 Equity</stp>
        <stp>bid</stp>
        <tr r="P30" s="2"/>
        <tr r="P28" s="2"/>
        <tr r="K13" s="89"/>
      </tp>
      <tp>
        <v>685.4</v>
        <stp/>
        <stp>BDP|11764468863197025710|22</stp>
        <stp>SPY EQUITY</stp>
        <stp>LAST_PRICE</stp>
        <tr r="I4" s="1"/>
      </tp>
      <tp>
        <v>-2.6965882629156113E-2</v>
        <stp/>
        <stp>BDP|12480500075908314127|22</stp>
        <stp>GDX US 09/18/26 C105 Equity</stp>
        <stp>theta_mid_rt</stp>
        <tr r="AN26" s="2"/>
      </tp>
      <tp t="s">
        <v>#N/A Requesting Data...4263139572</v>
        <stp/>
        <stp>BDP|4983617041569093735</stp>
        <tr r="U10" s="338"/>
      </tp>
      <tp t="e">
        <v>#N/A</v>
        <stp/>
        <stp>BDH|6756692909819846159</stp>
        <tr r="AP11" s="338"/>
        <tr r="AP10" s="338"/>
        <tr r="AP33" s="338"/>
      </tp>
      <tp t="s">
        <v>#N/A Requesting Data...4210008736</v>
        <stp/>
        <stp>BDP|9511358652480103782</stp>
        <tr r="AR24" s="2"/>
        <tr r="AR25" s="2"/>
      </tp>
      <tp t="s">
        <v>#N/A Requesting Data...4223246197</v>
        <stp/>
        <stp>BDP|9340855016030830837</stp>
        <tr r="D26" s="2"/>
        <tr r="C7" s="89"/>
      </tp>
      <tp t="s">
        <v>#N/A Requesting Data...4272844197</v>
        <stp/>
        <stp>BDP|1158468690973405781</stp>
        <tr r="AK18" s="338"/>
      </tp>
      <tp t="s">
        <v>#N/A N/A</v>
        <stp/>
        <stp>BDP|2898694498747321222</stp>
        <tr r="E3" s="1"/>
        <tr r="K33" s="1"/>
      </tp>
      <tp t="s">
        <v>#N/A Requesting Data...4228067569</v>
        <stp/>
        <stp>BDP|7526986475906100712</stp>
        <tr r="E123" s="89"/>
      </tp>
      <tp t="s">
        <v>#N/A Requesting Data...4172991531</v>
        <stp/>
        <stp>BDP|9064191480710005817</stp>
        <tr r="V16" s="338"/>
        <tr r="V38" s="338"/>
      </tp>
      <tp t="s">
        <v>#N/A Requesting Data...4266856669</v>
        <stp/>
        <stp>BDP|9490986995892939382</stp>
        <tr r="E13" s="89"/>
      </tp>
      <tp t="s">
        <v>#N/A Requesting Data...4258654185</v>
        <stp/>
        <stp>BDP|9119371270756838373</stp>
        <tr r="N18" s="252"/>
        <tr r="N18" s="252"/>
      </tp>
      <tp t="s">
        <v>#N/A Requesting Data...4283238347</v>
        <stp/>
        <stp>BDP|6201270299844298101</stp>
        <tr r="O68" s="89"/>
      </tp>
      <tp t="s">
        <v>#N/A Requesting Data...4166096230</v>
        <stp/>
        <stp>BDP|8304025658500714507</stp>
        <tr r="Q14" s="338"/>
      </tp>
      <tp t="e">
        <v>#N/A</v>
        <stp/>
        <stp>BDH|8423850681921634185</stp>
        <tr r="AM13" s="338"/>
        <tr r="AM34" s="338"/>
      </tp>
      <tp t="s">
        <v>#N/A Requesting Data...4243924887</v>
        <stp/>
        <stp>BDP|8903788637142927602</stp>
        <tr r="AK30" s="338"/>
      </tp>
      <tp t="s">
        <v>#N/A Requesting Data...4287427588</v>
        <stp/>
        <stp>BDP|9657162411476734792</stp>
        <tr r="P47" s="338"/>
      </tp>
      <tp t="s">
        <v>#N/A N/A</v>
        <stp/>
        <stp>BDP|1462947569060430626</stp>
        <tr r="E81" s="89"/>
      </tp>
      <tp t="s">
        <v>#N/A Requesting Data...4196897051</v>
        <stp/>
        <stp>BDP|5133781604559034315</stp>
        <tr r="O81" s="89"/>
        <tr r="O76" s="89"/>
      </tp>
      <tp t="s">
        <v>#N/A Requesting Data...4286321509</v>
        <stp/>
        <stp>BDP|8893033206807423751</stp>
        <tr r="AA153" s="89"/>
        <tr r="Z153" s="89"/>
      </tp>
      <tp t="e">
        <v>#N/A</v>
        <stp/>
        <stp>BDH|8882500074726074407</stp>
        <tr r="AP42" s="338"/>
        <tr r="AP41" s="338"/>
      </tp>
      <tp t="s">
        <v>#N/A Requesting Data...4294720033</v>
        <stp/>
        <stp>BDP|9541693808182769518</stp>
        <tr r="D29" s="446"/>
      </tp>
      <tp t="s">
        <v>#N/A Requesting Data...4276342696</v>
        <stp/>
        <stp>BDP|6024155984106720147</stp>
        <tr r="D29" s="2"/>
        <tr r="D31" s="2"/>
        <tr r="C14" s="89"/>
      </tp>
      <tp t="s">
        <v>#N/A Requesting Data...4233920558</v>
        <stp/>
        <stp>BDP|2361913501277478452</stp>
        <tr r="E203" s="89"/>
      </tp>
      <tp t="s">
        <v>#N/A Requesting Data...4226162431</v>
        <stp/>
        <stp>BDP|6772414405089956382</stp>
        <tr r="AA76" s="89"/>
        <tr r="AA81" s="89"/>
        <tr r="Z81" s="89"/>
        <tr r="Z76" s="89"/>
      </tp>
      <tp t="s">
        <v>#N/A Requesting Data...4282878118</v>
        <stp/>
        <stp>BDP|6839173327418343594</stp>
        <tr r="F7" s="446"/>
      </tp>
      <tp t="s">
        <v>#N/A Requesting Data...4284387334</v>
        <stp/>
        <stp>BDP|7248503210943138805</stp>
        <tr r="D68" s="89"/>
      </tp>
      <tp t="s">
        <v>#N/A Requesting Data...4200074340</v>
        <stp/>
        <stp>BDP|5668869742685379426</stp>
        <tr r="AA222" s="89"/>
        <tr r="Z222" s="89"/>
      </tp>
      <tp t="s">
        <v>#N/A Requesting Data...4260396572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Data...4274789464</v>
        <stp/>
        <stp>BDP|5237225300886746967</stp>
        <tr r="AA129" s="89"/>
        <tr r="Z129" s="89"/>
      </tp>
      <tp t="s">
        <v>#N/A Requesting Data...4183849242</v>
        <stp/>
        <stp>BDP|3746009638598604087</stp>
        <tr r="AA136" s="89"/>
        <tr r="Z136" s="89"/>
      </tp>
      <tp t="s">
        <v>#N/A Requesting Data...4223816366</v>
        <stp/>
        <stp>BDP|7027987678572062314</stp>
        <tr r="AC36" s="1"/>
        <tr r="D36" s="446"/>
      </tp>
      <tp t="e">
        <v>#N/A</v>
        <stp/>
        <stp>BDH|9263618110826377014</stp>
        <tr r="AS11" s="338"/>
      </tp>
      <tp t="s">
        <v>#N/A Requesting Data...4211034083</v>
        <stp/>
        <stp>BDP|2739243071518004749</stp>
        <tr r="E138" s="89"/>
      </tp>
      <tp t="e">
        <v>#N/A</v>
        <stp/>
        <stp>BDH|1757548871088258362</stp>
        <tr r="AN42" s="338"/>
        <tr r="AN41" s="338"/>
      </tp>
      <tp t="e">
        <v>#N/A</v>
        <stp/>
        <stp>BDH|7010958550111077231</stp>
        <tr r="T16" s="252"/>
        <tr r="W16" s="252"/>
      </tp>
      <tp t="s">
        <v>#N/A Requesting Data...4213034625</v>
        <stp/>
        <stp>BDP|9528506301481652565</stp>
        <tr r="AD14" s="2"/>
      </tp>
      <tp t="s">
        <v>#N/A Requesting Data...4213098126</v>
        <stp/>
        <stp>BDP|9450040674965070308</stp>
        <tr r="E29" s="2"/>
        <tr r="E31" s="2"/>
      </tp>
      <tp t="e">
        <v>#N/A</v>
        <stp/>
        <stp>BDH|2375673906255636901</stp>
        <tr r="W11" s="252"/>
        <tr r="T11" s="252"/>
      </tp>
      <tp t="s">
        <v>#N/A Requesting Data...4202019585</v>
        <stp/>
        <stp>BDP|8381275723499035928</stp>
        <tr r="O196" s="89"/>
      </tp>
      <tp t="s">
        <v>#N/A Requesting Data...4256063313</v>
        <stp/>
        <stp>BDP|7251233187166134321</stp>
        <tr r="C243" s="89"/>
      </tp>
      <tp t="s">
        <v>#N/A Requesting Data...4293649528</v>
        <stp/>
        <stp>BDP|4966904208460090549</stp>
        <tr r="AA242" s="89"/>
        <tr r="Z242" s="89"/>
      </tp>
      <tp t="s">
        <v>#N/A Real Time</v>
        <stp/>
        <stp>BDP|18108171964388545995|22</stp>
        <stp>MSFT US 10/03/25 P485 Equity</stp>
        <stp>bid</stp>
        <tr r="K249" s="89"/>
      </tp>
      <tp>
        <v>133.59</v>
        <stp/>
        <stp>BDP|1232203967796078876|22</stp>
        <stp>ABNB Equity</stp>
        <stp>LAST PRICE</stp>
        <tr r="I12" s="338"/>
      </tp>
      <tp>
        <v>35.58</v>
        <stp/>
        <stp>BDP|2650520762982825878|22</stp>
        <stp>KWEB Equity</stp>
        <stp>LAST_PRICE</stp>
        <tr r="H12" s="252"/>
        <tr r="H12" s="252"/>
      </tp>
      <tp>
        <v>4.05</v>
        <stp/>
        <stp>BDP|239012915816136366|22</stp>
        <stp>MRVL US 03/20/26 P75 Equity</stp>
        <stp>bid</stp>
        <tr r="P16" s="2"/>
      </tp>
      <tp t="s">
        <v>#N/A Requesting Data...4254313185</v>
        <stp/>
        <stp>BDP|2441593726955875997</stp>
        <tr r="L20" s="252"/>
        <tr r="L20" s="252"/>
      </tp>
      <tp t="s">
        <v>#N/A Requesting Data...4234101135</v>
        <stp/>
        <stp>BDP|8996292475495824173</stp>
        <tr r="O16" s="252"/>
      </tp>
      <tp t="s">
        <v>#N/A Requesting Data...4249680551</v>
        <stp/>
        <stp>BDP|8243135780729316187</stp>
        <tr r="E13" s="2"/>
      </tp>
      <tp t="s">
        <v>#N/A Requesting Data...4294881108</v>
        <stp/>
        <stp>BDP|9788785317823069539</stp>
        <tr r="C145" s="89"/>
      </tp>
      <tp t="s">
        <v>#N/A Requesting Data...4238907369</v>
        <stp/>
        <stp>BDP|3993805876862168756</stp>
        <tr r="U45" s="338"/>
      </tp>
      <tp t="s">
        <v>#N/A Requesting Data...4235060183</v>
        <stp/>
        <stp>BDP|5562894851780567134</stp>
        <tr r="AA203" s="89"/>
        <tr r="Z203" s="89"/>
      </tp>
      <tp t="s">
        <v>#N/A Requesting Data...4261717613</v>
        <stp/>
        <stp>BDP|5255036781235828107</stp>
        <tr r="D108" s="89"/>
      </tp>
      <tp t="s">
        <v>#N/A Requesting Data...4212750281</v>
        <stp/>
        <stp>BDP|5507910641525481482</stp>
        <tr r="O254" s="89"/>
      </tp>
      <tp t="s">
        <v>#N/A N/A</v>
        <stp/>
        <stp>BDP|9754162438145550750</stp>
        <tr r="E17" s="2"/>
      </tp>
      <tp t="s">
        <v>#N/A Requesting Data...4284974956</v>
        <stp/>
        <stp>BDP|2257884823860585153</stp>
        <tr r="C144" s="89"/>
      </tp>
      <tp t="s">
        <v>#N/A N/A</v>
        <stp/>
        <stp>BDP|1849313424598658123</stp>
        <tr r="T82" s="89"/>
      </tp>
      <tp t="s">
        <v>#N/A Requesting Data...4207813964</v>
        <stp/>
        <stp>BDP|2463897743725982291</stp>
        <tr r="F20" s="446"/>
      </tp>
      <tp t="s">
        <v>#N/A Requesting Data...4254888452</v>
        <stp/>
        <stp>BDP|9344561247696579794</stp>
        <tr r="AH15" s="338"/>
        <tr r="AH39" s="338"/>
        <tr r="AI40" s="338"/>
      </tp>
      <tp t="s">
        <v>#N/A Requesting Data...4253108470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e">
        <v>#N/A</v>
        <stp/>
        <stp>BDH|2065059878168992488</stp>
        <tr r="AM18" s="338"/>
        <tr r="AM17" s="338"/>
      </tp>
      <tp t="s">
        <v>#N/A N/A</v>
        <stp/>
        <stp>BDP|1858174224829627206</stp>
        <tr r="AG18" s="1"/>
      </tp>
      <tp t="s">
        <v>#N/A Requesting Data...4219745991</v>
        <stp/>
        <stp>BDP|1693468674482928905</stp>
        <tr r="V249" s="89"/>
      </tp>
      <tp t="s">
        <v>#N/A Requesting Data...4244997148</v>
        <stp/>
        <stp>BDP|1918834507510755077</stp>
        <tr r="S8" s="338"/>
      </tp>
      <tp t="s">
        <v>#N/A Requesting Data...4276660429</v>
        <stp/>
        <stp>BDP|1186915098941854922</stp>
        <tr r="P17" s="338"/>
      </tp>
      <tp t="s">
        <v>#N/A Requesting Data...4272208676</v>
        <stp/>
        <stp>BDP|3411193788855096676</stp>
        <tr r="AA29" s="2"/>
        <tr r="AA31" s="2"/>
        <tr r="T14" s="89"/>
      </tp>
      <tp t="s">
        <v>#N/A N/A</v>
        <stp/>
        <stp>BDP|5430386408488532737</stp>
        <tr r="AB109" s="89"/>
      </tp>
      <tp t="s">
        <v>#N/A Requesting Data...4266667876</v>
        <stp/>
        <stp>BDP|9316566775525772740</stp>
        <tr r="O186" s="89"/>
      </tp>
      <tp t="s">
        <v>#N/A Requesting Data...4221146918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Data...4267582621</v>
        <stp/>
        <stp>BDP|2048477006706491956</stp>
        <tr r="X33" s="338"/>
      </tp>
      <tp t="s">
        <v>#N/A Requesting Data...4261598435</v>
        <stp/>
        <stp>BDP|4401866454658402822</stp>
        <tr r="D203" s="89"/>
      </tp>
      <tp t="s">
        <v>#N/A Requesting Data...4285014026</v>
        <stp/>
        <stp>BDP|9301033357292310729</stp>
        <tr r="Q31" s="338"/>
      </tp>
      <tp t="s">
        <v>#N/A Requesting Data...4238446587</v>
        <stp/>
        <stp>BDP|9762563002360150543</stp>
        <tr r="P9" s="338"/>
      </tp>
      <tp t="s">
        <v>#N/A Requesting Data...4294427982</v>
        <stp/>
        <stp>BDP|1617406885725244177</stp>
        <tr r="AA68" s="89"/>
        <tr r="Z68" s="89"/>
      </tp>
      <tp t="s">
        <v>#N/A Requesting Data...4261417823</v>
        <stp/>
        <stp>BDP|3266268590763139222</stp>
        <tr r="AA27" s="2"/>
        <tr r="T8" s="89"/>
      </tp>
      <tp t="s">
        <v>#N/A Requesting Data...4239305248</v>
        <stp/>
        <stp>BDP|8690033388548820123</stp>
        <tr r="AJ14" s="338"/>
        <tr r="AJ35" s="338"/>
      </tp>
      <tp t="s">
        <v>#N/A Requesting Data...4285085732</v>
        <stp/>
        <stp>BDP|8399280892582904845</stp>
        <tr r="Q32" s="338"/>
      </tp>
      <tp t="s">
        <v>#N/A Requesting Data...4294636175</v>
        <stp/>
        <stp>BDP|5400835087744406808</stp>
        <tr r="AG29" s="338"/>
      </tp>
      <tp t="s">
        <v>#N/A Requesting Data...4260367283</v>
        <stp/>
        <stp>BDP|2272046972965931995</stp>
        <tr r="V188" s="89"/>
      </tp>
      <tp t="s">
        <v>#N/A Requesting Data...4235669318</v>
        <stp/>
        <stp>BDP|9280288157897826002</stp>
        <tr r="C138" s="89"/>
      </tp>
      <tp t="s">
        <v>#N/A Requesting Data...4244323405</v>
        <stp/>
        <stp>BDP|8865039534922905038</stp>
        <tr r="L13" s="252"/>
        <tr r="L13" s="252"/>
      </tp>
      <tp t="s">
        <v>#N/A N/A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>
        <v>67</v>
        <stp/>
        <stp>BDP|18439337794970418225|22</stp>
        <stp>SNDK US 02/20/26 C500 Equity</stp>
        <stp>ask</stp>
        <tr r="Q9" s="2"/>
        <tr r="L26" s="89"/>
      </tp>
      <tp>
        <v>7</v>
        <stp/>
        <stp>BDP|15170082727718363189|22</stp>
        <stp>META US 04/17/26 C750 Equity</stp>
        <stp>bid</stp>
        <tr r="K169" s="89"/>
      </tp>
      <tp>
        <v>16.600000000000001</v>
        <stp/>
        <stp>BDP|14111141271769378618|22</stp>
        <stp>META US 04/17/26 C690 Equity</stp>
        <stp>ask</stp>
        <tr r="Q12" s="2"/>
        <tr r="L170" s="89"/>
        <tr r="L179" s="89"/>
      </tp>
      <tp>
        <v>64.5</v>
        <stp/>
        <stp>BDP|11781264320954820618|22</stp>
        <stp>SNDK US 02/20/26 C500 Equity</stp>
        <stp>bid</stp>
        <tr r="P9" s="2"/>
        <tr r="K26" s="89"/>
      </tp>
      <tp>
        <v>62.7</v>
        <stp/>
        <stp>BDP|12889744295103379149|22</stp>
        <stp>META US 07/17/26 C620 Equity</stp>
        <stp>ask</stp>
        <tr r="L233" s="89"/>
      </tp>
      <tp>
        <v>0.13</v>
        <stp/>
        <stp>BDP|15794252037948736442|22</stp>
        <stp>QQQ US 01/23/26 C630 Equity</stp>
        <stp>bid</stp>
        <tr r="K211" s="89"/>
      </tp>
      <tp t="s">
        <v>#N/A N/A</v>
        <stp/>
        <stp>BDP|12169995077563309253|22</stp>
        <stp>QQQ US 01/16/26 C635 Equity</stp>
        <stp>bid</stp>
        <tr r="K203" s="89"/>
      </tp>
      <tp>
        <v>348.14</v>
        <stp/>
        <stp>BDP|18199450611944645778|22</stp>
        <stp>SOXX EQUITY</stp>
        <stp>LAST_PRICE</stp>
        <tr r="I2" s="1"/>
      </tp>
      <tp>
        <v>7.1</v>
        <stp/>
        <stp>BDP|17299008803570845370|22</stp>
        <stp>TSM US 01/16/26 C335 Equity</stp>
        <stp>bid</stp>
        <tr r="K195" s="89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Data...4261967017</v>
        <stp/>
        <stp>BDP|8490234008586700620</stp>
        <tr r="AA250" s="89"/>
        <tr r="Z250" s="89"/>
      </tp>
      <tp t="s">
        <v>#N/A Requesting Data...4293536174</v>
        <stp/>
        <stp>BDP|4445420926441923939</stp>
        <tr r="O233" s="89"/>
      </tp>
      <tp t="s">
        <v>#N/A Requesting Data...4255286471</v>
        <stp/>
        <stp>BDP|9888398554546738389</stp>
        <tr r="T81" s="89"/>
        <tr r="T76" s="89"/>
      </tp>
      <tp t="s">
        <v>#N/A Requesting Data...4273092372</v>
        <stp/>
        <stp>BDP|6672146138847194913</stp>
        <tr r="D24" s="2"/>
        <tr r="D25" s="2"/>
        <tr r="C154" s="89"/>
      </tp>
      <tp t="s">
        <v>#N/A Requesting Data...4267201590</v>
        <stp/>
        <stp>BDP|5587682882935341464</stp>
        <tr r="E90" s="89"/>
      </tp>
      <tp t="s">
        <v>#N/A Requesting Data...4279280864</v>
        <stp/>
        <stp>BDP|7230833674217968563</stp>
        <tr r="S36" s="338"/>
      </tp>
      <tp t="s">
        <v>#N/A Requesting Data...4270576926</v>
        <stp/>
        <stp>BDP|4614669274439881673</stp>
        <tr r="E6" s="2"/>
        <tr r="E7" s="2"/>
      </tp>
      <tp t="s">
        <v>#N/A N/A</v>
        <stp/>
        <stp>BDP|3603190722478324251</stp>
        <tr r="AI36" s="1"/>
      </tp>
      <tp t="e">
        <v>#N/A</v>
        <stp/>
        <stp>BDH|6151630942169233791</stp>
        <tr r="AR12" s="338"/>
      </tp>
      <tp t="s">
        <v>#N/A Requesting Data...4288608741</v>
        <stp/>
        <stp>BDP|8387733761460920304</stp>
        <tr r="V211" s="89"/>
      </tp>
      <tp t="s">
        <v>#N/A N/A</v>
        <stp/>
        <stp>BDP|1841797186795773188</stp>
        <tr r="AV10" s="2"/>
        <tr r="AV11" s="2"/>
      </tp>
      <tp t="s">
        <v>#N/A N/A</v>
        <stp/>
        <stp>BDP|6392840872006556586</stp>
        <tr r="E8" s="1"/>
      </tp>
      <tp t="s">
        <v>#N/A Requesting Data...4282932506</v>
        <stp/>
        <stp>BDP|9284092877624060049</stp>
        <tr r="Z196" s="89"/>
        <tr r="AA196" s="89"/>
      </tp>
      <tp t="s">
        <v>#N/A Requesting Data...4266377719</v>
        <stp/>
        <stp>BDP|5263574927779802120</stp>
        <tr r="V45" s="338"/>
      </tp>
      <tp t="s">
        <v>#N/A Requesting Data...4271586573</v>
        <stp/>
        <stp>BDP|2344935394120970850</stp>
        <tr r="C108" s="89"/>
      </tp>
      <tp t="s">
        <v>#N/A Requesting Data...4270796033</v>
        <stp/>
        <stp>BDP|1305485589197843027</stp>
        <tr r="AJ17" s="338"/>
        <tr r="AJ18" s="338"/>
        <tr r="AH17" s="338"/>
        <tr r="AH18" s="338"/>
      </tp>
      <tp t="s">
        <v>#N/A Requesting Data...4284347792</v>
        <stp/>
        <stp>BDP|9985715663573383119</stp>
        <tr r="AC24" s="2"/>
        <tr r="AC25" s="2"/>
        <tr r="AB15" s="1"/>
      </tp>
      <tp t="s">
        <v>#N/A Requesting Data...4291620142</v>
        <stp/>
        <stp>BDP|9065585755010767336</stp>
        <tr r="F17" s="252"/>
      </tp>
      <tp t="e">
        <v>#N/A</v>
        <stp/>
        <stp>BDH|7289124593483887622</stp>
        <tr r="AU54" s="338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  <tr r="K16" s="1"/>
      </tp>
      <tp t="s">
        <v>#N/A Requesting Data...4278625446</v>
        <stp/>
        <stp>BDP|7038982583049677518</stp>
        <tr r="T108" s="89"/>
      </tp>
      <tp t="s">
        <v>#N/A Requesting Data...4279867442</v>
        <stp/>
        <stp>BDP|1004337573258431787</stp>
        <tr r="L8" s="338"/>
        <tr r="H8" s="338"/>
        <tr r="L9" s="338"/>
        <tr r="H9" s="338"/>
      </tp>
      <tp t="s">
        <v>#N/A Requesting Data...4260725660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Data...4267436249</v>
        <stp/>
        <stp>BDP|2786473499167807238</stp>
        <tr r="AI45" s="338"/>
      </tp>
      <tp t="s">
        <v>#N/A Requesting Data...4278833356</v>
        <stp/>
        <stp>BDP|9928781162902167014</stp>
        <tr r="AA171" s="89"/>
        <tr r="Z171" s="89"/>
      </tp>
      <tp t="s">
        <v>#N/A Requesting Data...4292058035</v>
        <stp/>
        <stp>BDP|6785747401219846296</stp>
        <tr r="S41" s="338"/>
      </tp>
      <tp t="s">
        <v>#N/A Requesting Data...4290569146</v>
        <stp/>
        <stp>BDP|9500211458423629792</stp>
        <tr r="V31" s="338"/>
      </tp>
      <tp t="s">
        <v>#N/A Requesting Data...4290300929</v>
        <stp/>
        <stp>BDP|1467057410172064819</stp>
        <tr r="C153" s="89"/>
      </tp>
      <tp t="s">
        <v>#N/A Requesting Data...4272532363</v>
        <stp/>
        <stp>BDP|3991525680666985223</stp>
        <tr r="C171" s="89"/>
      </tp>
      <tp t="s">
        <v>#N/A Requesting Data...4278729216</v>
        <stp/>
        <stp>BDP|4587517495856843492</stp>
        <tr r="T16" s="338"/>
        <tr r="T38" s="338"/>
      </tp>
      <tp t="s">
        <v>#N/A N/A</v>
        <stp/>
        <stp>BDP|8471485932241814460</stp>
        <tr r="AB234" s="89"/>
        <tr r="AB251" s="89"/>
      </tp>
      <tp t="s">
        <v>#N/A N/A</v>
        <stp/>
        <stp>BDP|6834122784097772294</stp>
        <tr r="AG15" s="1"/>
      </tp>
      <tp t="s">
        <v>#N/A Requesting Data...4282152887</v>
        <stp/>
        <stp>BDP|9965794027725386324</stp>
        <tr r="AB22" s="1"/>
        <tr r="F26" s="446"/>
      </tp>
      <tp t="s">
        <v>#N/A N/A</v>
        <stp/>
        <stp>BDP|1354781798976465315</stp>
        <tr r="R40" s="89"/>
      </tp>
      <tp t="s">
        <v>#N/A Requesting Data...4277448715</v>
        <stp/>
        <stp>BDP|1269563299172286598</stp>
        <tr r="AD23" s="2"/>
        <tr r="V56" s="89"/>
      </tp>
      <tp t="s">
        <v>#N/A N/A</v>
        <stp/>
        <stp>BDP|3885846074322660492</stp>
        <tr r="AG43" s="1"/>
      </tp>
      <tp t="s">
        <v>#N/A Requesting Data...4283856556</v>
        <stp/>
        <stp>BDP|1001769831296786978</stp>
        <tr r="AI45" s="338"/>
        <tr r="AK45" s="338"/>
      </tp>
      <tp t="s">
        <v>#N/A Requesting Data...4278681407</v>
        <stp/>
        <stp>BDP|2779597998256859293</stp>
        <tr r="E188" s="89"/>
      </tp>
      <tp t="s">
        <v>#N/A Requesting Data...4286347672</v>
        <stp/>
        <stp>BDP|3394479430858909693</stp>
        <tr r="C96" s="89"/>
      </tp>
      <tp t="s">
        <v>#N/A N/A</v>
        <stp/>
        <stp>BDP|9185782590255862852</stp>
        <tr r="D81" s="89"/>
      </tp>
      <tp t="s">
        <v>#N/A Requesting Data...4288348868</v>
        <stp/>
        <stp>BDP|4524000010539321624</stp>
        <tr r="V129" s="89"/>
      </tp>
      <tp t="s">
        <v>#N/A Requesting Data...4288357731</v>
        <stp/>
        <stp>BDP|8558300512371318103</stp>
        <tr r="C205" s="89"/>
      </tp>
      <tp t="s">
        <v>#N/A N/A</v>
        <stp/>
        <stp>BDP|2140911238616808459</stp>
        <tr r="AQ12" s="2"/>
        <tr r="AQ13" s="2"/>
        <tr r="AQ14" s="2"/>
        <tr r="AB169" s="89"/>
        <tr r="AB170" s="89"/>
        <tr r="AB171" s="89"/>
        <tr r="AB179" s="89"/>
        <tr r="AB180" s="89"/>
        <tr r="AB233" s="89"/>
        <tr r="AB252" s="89"/>
      </tp>
      <tp t="s">
        <v>#N/A Requesting Data...4288151192</v>
        <stp/>
        <stp>BDP|3332604227028093513</stp>
        <tr r="S13" s="338"/>
      </tp>
      <tp t="s">
        <v>#N/A Requesting Data...4294089391</v>
        <stp/>
        <stp>BDP|7403651280812138158</stp>
        <tr r="L15" s="338"/>
        <tr r="L16" s="338"/>
        <tr r="L38" s="338"/>
        <tr r="L39" s="338"/>
        <tr r="J15" s="338"/>
        <tr r="J16" s="338"/>
        <tr r="L17" s="338"/>
        <tr r="J17" s="338"/>
        <tr r="J38" s="338"/>
        <tr r="J39" s="338"/>
        <tr r="L44" s="338"/>
        <tr r="J44" s="338"/>
        <tr r="L52" s="338"/>
        <tr r="J52" s="338"/>
      </tp>
      <tp t="s">
        <v>#N/A Requesting Data...4292553358</v>
        <stp/>
        <stp>BDP|3948059027399786291</stp>
        <tr r="C102" s="89"/>
      </tp>
      <tp t="e">
        <v>#N/A</v>
        <stp/>
        <stp>BDH|2312940206022436305</stp>
        <tr r="AS8" s="338"/>
        <tr r="AS32" s="338"/>
        <tr r="AS46" s="338"/>
        <tr r="AS50" s="338"/>
      </tp>
      <tp>
        <v>33.700000000000003</v>
        <stp/>
        <stp>BDP|13965893341883543451|22</stp>
        <stp>LITE US 02/20/26 C400 Equity</stp>
        <stp>mid</stp>
        <tr r="L10" s="2"/>
        <tr r="L11" s="2"/>
      </tp>
      <tp t="s">
        <v>#N/A Invalid Security</v>
        <stp/>
        <stp>BDP|12046926422584842304|22</stp>
        <stp>KLAC US 02/06/26 C1600 Equity</stp>
        <stp>bid</stp>
        <tr r="K27" s="89"/>
      </tp>
      <tp t="s">
        <v>#N/A Real Time</v>
        <stp/>
        <stp>BDP|11422101846013417478|22</stp>
        <stp>SPXW US 12/31/25 C6950 Index</stp>
        <stp>bid</stp>
        <tr r="K160" s="89"/>
      </tp>
      <tp>
        <v>28.32</v>
        <stp/>
        <stp>BDP|12794319931511644694|22</stp>
        <stp>TSM US 06/18/26 C340 Equity</stp>
        <stp>mid</stp>
        <tr r="L30" s="2"/>
        <tr r="L28" s="2"/>
      </tp>
      <tp t="s">
        <v>#N/A Requesting Data...459259981</v>
        <stp/>
        <stp>BDP|6535458296649412984</stp>
        <tr r="T188" s="89"/>
      </tp>
      <tp t="s">
        <v>#N/A Requesting Data...2964598738</v>
        <stp/>
        <stp>BDP|8888687617413548780</stp>
        <tr r="L54" s="338"/>
        <tr r="J54" s="338"/>
      </tp>
      <tp t="s">
        <v>#N/A Requesting Data...2810151077</v>
        <stp/>
        <stp>BDP|2329729297960563787</stp>
        <tr r="U42" s="338"/>
      </tp>
      <tp t="s">
        <v>#N/A Requesting Data...2109924053</v>
        <stp/>
        <stp>BDP|5055978459833341163</stp>
        <tr r="S40" s="338"/>
      </tp>
      <tp t="s">
        <v>#N/A Requesting Data...2213068349</v>
        <stp/>
        <stp>BDP|9916250733583306071</stp>
        <tr r="V95" s="89"/>
      </tp>
      <tp t="e">
        <v>#N/A</v>
        <stp/>
        <stp>BDH|9361640930431830643</stp>
        <tr r="AR18" s="338"/>
      </tp>
      <tp t="s">
        <v>#N/A Requesting Data...3291810941</v>
        <stp/>
        <stp>BDP|9230956985590211389</stp>
        <tr r="Q11" s="338"/>
      </tp>
      <tp t="s">
        <v>#N/A Requesting Data...1085497231</v>
        <stp/>
        <stp>BDP|4721614875256887832</stp>
        <tr r="AR15" s="2"/>
      </tp>
      <tp t="s">
        <v>#N/A Requesting Data...2812128611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Data...2068390846</v>
        <stp/>
        <stp>BDP|4926041887351657654</stp>
        <tr r="D137" s="89"/>
      </tp>
      <tp t="e">
        <v>#N/A</v>
        <stp/>
        <stp>BDH|2152500666509696383</stp>
        <tr r="AM39" s="338"/>
        <tr r="AR40" s="338"/>
        <tr r="AM15" s="338"/>
      </tp>
      <tp t="s">
        <v>#N/A N/A</v>
        <stp/>
        <stp>BDP|9866940913692641877</stp>
        <tr r="AF21" s="1"/>
      </tp>
      <tp t="s">
        <v>#N/A Requesting Data...4179894875</v>
        <stp/>
        <stp>BDP|8737954890503872047</stp>
        <tr r="D33" s="446"/>
      </tp>
      <tp t="s">
        <v>#N/A Requesting Data...3805931805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Data...2291234504</v>
        <stp/>
        <stp>BDP|4440081808298299792</stp>
        <tr r="AK42" s="338"/>
        <tr r="AI42" s="338"/>
      </tp>
      <tp t="s">
        <v>#N/A Requesting Data...422961872</v>
        <stp/>
        <stp>BDP|6735248014207248991</stp>
        <tr r="T49" s="338"/>
      </tp>
      <tp t="s">
        <v>#N/A Requesting Data...2693789629</v>
        <stp/>
        <stp>BDP|2139028585213834226</stp>
        <tr r="AA123" s="89"/>
        <tr r="Z123" s="89"/>
      </tp>
      <tp t="s">
        <v>#N/A Requesting Data...805009996</v>
        <stp/>
        <stp>BDP|4860326794961478469</stp>
        <tr r="C32" s="2"/>
      </tp>
      <tp t="s">
        <v>#N/A Requesting Data...877576936</v>
        <stp/>
        <stp>BDP|8786342763721865752</stp>
        <tr r="P31" s="338"/>
      </tp>
      <tp t="s">
        <v>#N/A Requesting Data...2536284302</v>
        <stp/>
        <stp>BDP|7001248851652159998</stp>
        <tr r="T34" s="338"/>
      </tp>
      <tp t="s">
        <v>#N/A Requesting Data...3685956959</v>
        <stp/>
        <stp>BDP|2896129314990680953</stp>
        <tr r="V27" s="89"/>
      </tp>
      <tp t="s">
        <v>#N/A N/A</v>
        <stp/>
        <stp>BDP|1914533822549360466</stp>
        <tr r="K14" s="1"/>
      </tp>
      <tp t="s">
        <v>#N/A Requesting Data...2466114685</v>
        <stp/>
        <stp>BDP|8184963260888735426</stp>
        <tr r="AA180" s="89"/>
        <tr r="Z180" s="89"/>
      </tp>
      <tp t="s">
        <v>#N/A Requesting Data...1599066492</v>
        <stp/>
        <stp>BDP|7009075074579891280</stp>
        <tr r="T197" s="89"/>
      </tp>
      <tp t="s">
        <v>#N/A Requesting Data...3056145251</v>
        <stp/>
        <stp>BDP|5051274982791237548</stp>
        <tr r="D32" s="2"/>
      </tp>
      <tp t="s">
        <v>#N/A Requesting Data...1780275158</v>
        <stp/>
        <stp>BDP|9762687753917905669</stp>
        <tr r="T12" s="338"/>
      </tp>
      <tp t="s">
        <v>#N/A N/A</v>
        <stp/>
        <stp>BDP|2220703499371845606</stp>
        <tr r="R253" s="89"/>
      </tp>
      <tp t="s">
        <v>#N/A Requesting Data...2737900946</v>
        <stp/>
        <stp>BDP|9615961074615640914</stp>
        <tr r="AJ50" s="338"/>
        <tr r="AJ51" s="338"/>
        <tr r="AK34" s="338"/>
        <tr r="AK35" s="338"/>
        <tr r="AK36" s="338"/>
        <tr r="AK37" s="338"/>
      </tp>
      <tp t="e">
        <v>#N/A</v>
        <stp/>
        <stp>BDH|9956560770370973053</stp>
        <tr r="AP12" s="338"/>
      </tp>
      <tp t="s">
        <v>#N/A Requesting Data...256955752</v>
        <stp/>
        <stp>BDP|6241611932378988086</stp>
        <tr r="G42" s="446"/>
      </tp>
      <tp t="s">
        <v>#N/A Requesting Data...3393322275</v>
        <stp/>
        <stp>BDP|7985659615982817917</stp>
        <tr r="V36" s="338"/>
      </tp>
      <tp t="s">
        <v>#N/A Requesting Data...1787109301</v>
        <stp/>
        <stp>BDP|3686904656286506250</stp>
        <tr r="O69" s="89"/>
      </tp>
      <tp t="s">
        <v>#N/A N/A</v>
        <stp/>
        <stp>BDP|2754061954929434510</stp>
        <tr r="D62" s="89"/>
      </tp>
      <tp t="s">
        <v>#N/A Requesting Data...1049490659</v>
        <stp/>
        <stp>BDP|8637443246353684034</stp>
        <tr r="T51" s="338"/>
      </tp>
      <tp t="s">
        <v>#N/A Requesting Data...1066382330</v>
        <stp/>
        <stp>BDP|7254106586446704322</stp>
        <tr r="AA55" s="89"/>
        <tr r="Z55" s="89"/>
      </tp>
      <tp t="s">
        <v>#N/A N/A</v>
        <stp/>
        <stp>BDP|8959047049495095258</stp>
        <tr r="AV21" s="2"/>
        <tr r="AV19" s="2"/>
        <tr r="AV20" s="2"/>
        <tr r="R235" s="89"/>
        <tr r="R249" s="89"/>
      </tp>
      <tp t="e">
        <v>#N/A</v>
        <stp/>
        <stp>BDH|1550044599461024295</stp>
        <tr r="AU13" s="338"/>
      </tp>
      <tp t="e">
        <v>#N/A</v>
        <stp/>
        <stp>BDH|6109456381850594115</stp>
        <tr r="AP40" s="338"/>
        <tr r="AP38" s="338"/>
        <tr r="AP16" s="338"/>
      </tp>
      <tp t="s">
        <v>#N/A Requesting Data...3824291013</v>
        <stp/>
        <stp>BDP|9760263158904719183</stp>
        <tr r="AA9" s="2"/>
        <tr r="T26" s="89"/>
      </tp>
      <tp t="s">
        <v>#N/A Requesting Data...2094315405</v>
        <stp/>
        <stp>BDP|5187006175490775958</stp>
        <tr r="N7" s="252"/>
        <tr r="N7" s="252"/>
      </tp>
      <tp t="s">
        <v>#N/A Requesting Data...2863621928</v>
        <stp/>
        <stp>BDP|2612160096671704068</stp>
        <tr r="D31" s="446"/>
      </tp>
      <tp t="s">
        <v>#N/A Requesting Data...324964197</v>
        <stp/>
        <stp>BDP|4718173344583097938</stp>
        <tr r="F16" s="252"/>
      </tp>
      <tp t="s">
        <v>#N/A Requesting Data...922930580</v>
        <stp/>
        <stp>BDP|9318183699928316256</stp>
        <tr r="D43" s="446"/>
      </tp>
      <tp t="s">
        <v>#N/A Requesting Data...2947583509</v>
        <stp/>
        <stp>BDP|2397389796744963701</stp>
        <tr r="AK42" s="338"/>
      </tp>
      <tp t="s">
        <v>#N/A N/A</v>
        <stp/>
        <stp>BDP|2130704157473529871</stp>
        <tr r="C18" s="2"/>
      </tp>
      <tp t="s">
        <v>#N/A Requesting Data...1603806575</v>
        <stp/>
        <stp>BDP|9352295318971282043</stp>
        <tr r="T102" s="89"/>
      </tp>
      <tp t="s">
        <v>#N/A Requesting Data...3037231459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Data...3923642506</v>
        <stp/>
        <stp>BDP|4946496227111068830</stp>
        <tr r="T101" s="89"/>
      </tp>
      <tp t="s">
        <v>#N/A Requesting Data...2622894221</v>
        <stp/>
        <stp>BDP|4411149358442996952</stp>
        <tr r="O11" s="252"/>
      </tp>
      <tp t="s">
        <v>#N/A Requesting Data...1592547590</v>
        <stp/>
        <stp>BDP|8633363721614159645</stp>
        <tr r="G8" s="446"/>
      </tp>
      <tp t="s">
        <v>#N/A Requesting Data...998095881</v>
        <stp/>
        <stp>BDP|3529759684584753366</stp>
        <tr r="T250" s="89"/>
      </tp>
      <tp t="s">
        <v>#N/A Requesting Data...399742438</v>
        <stp/>
        <stp>BDP|2191174097923442203</stp>
        <tr r="T195" s="89"/>
      </tp>
      <tp t="e">
        <v>#N/A</v>
        <stp/>
        <stp>BDH|6479167283152466605</stp>
        <tr r="AN14" s="338"/>
        <tr r="AN35" s="338"/>
      </tp>
      <tp>
        <v>26.3</v>
        <stp/>
        <stp>BDP|16895049281307982456|22</stp>
        <stp>AVGO US 06/18/26 P300 Equity</stp>
        <stp>ask</stp>
        <tr r="L224" s="89"/>
      </tp>
      <tp t="s">
        <v>#N/A Real Time</v>
        <stp/>
        <stp>BDP|17619682917577655816|22</stp>
        <stp>ORCL US 10/03/25 P285 Equity</stp>
        <stp>ask</stp>
        <tr r="L250" s="89"/>
      </tp>
      <tp>
        <v>82.55</v>
        <stp/>
        <stp>BDP|2279876738225149449|22</stp>
        <stp>MRVL US Equity</stp>
        <stp>LAST_PRICE</stp>
        <tr r="Z18" s="2"/>
        <tr r="Z17" s="2"/>
        <tr r="Z15" s="2"/>
        <tr r="Z16" s="2"/>
        <tr r="S62" s="89"/>
        <tr r="S63" s="89"/>
      </tp>
      <tp>
        <v>2</v>
        <stp/>
        <stp>BDP|16321192409833246773|22</stp>
        <stp>ASML US 01/23/26 P1100 Equity</stp>
        <stp>ask</stp>
        <tr r="L50" s="89"/>
      </tp>
      <tp>
        <v>-0.39339128136634827</v>
        <stp/>
        <stp>BDP|1393123865485650562|22</stp>
        <stp>MRVL US 03/20/26 P80 Equity</stp>
        <stp>DELTA_MID_RT</stp>
        <tr r="W62" s="89"/>
        <tr r="AF17" s="2"/>
      </tp>
      <tp t="s">
        <v>#N/A N/A</v>
        <stp/>
        <stp>BDP|9669031297401111598</stp>
        <tr r="AG29" s="1"/>
        <tr r="AG30" s="1"/>
      </tp>
      <tp t="s">
        <v>#N/A N/A</v>
        <stp/>
        <stp>BDP|4283940605309327082</stp>
        <tr r="AV4" s="2"/>
        <tr r="AV5" s="2"/>
      </tp>
      <tp t="s">
        <v>#N/A Requesting Data...1905776875</v>
        <stp/>
        <stp>BDP|8181530094431771194</stp>
        <tr r="C252" s="89"/>
      </tp>
      <tp t="s">
        <v>#N/A Requesting Data...3684469391</v>
        <stp/>
        <stp>BDP|7846163779046776380</stp>
        <tr r="V8" s="338"/>
      </tp>
      <tp t="s">
        <v>#N/A Requesting Data...4203205562</v>
        <stp/>
        <stp>BDP|6597690255618572950</stp>
        <tr r="D26" s="89"/>
      </tp>
      <tp t="s">
        <v>#N/A Requesting Data...1299848295</v>
        <stp/>
        <stp>BDP|4966659791349467604</stp>
        <tr r="AG45" s="338"/>
      </tp>
      <tp t="s">
        <v>#N/A Requesting Data...4156715365</v>
        <stp/>
        <stp>BDP|2906346500884364176</stp>
        <tr r="AJ31" s="338"/>
        <tr r="AJ32" s="338"/>
      </tp>
      <tp t="s">
        <v>#N/A Requesting Data...1245785659</v>
        <stp/>
        <stp>BDP|3419727698730200952</stp>
        <tr r="AR4" s="2"/>
        <tr r="AR5" s="2"/>
      </tp>
      <tp t="s">
        <v>#N/A N/A</v>
        <stp/>
        <stp>BDP|6472525957406128491</stp>
        <tr r="Z63" s="89"/>
        <tr r="AA63" s="89"/>
      </tp>
      <tp t="s">
        <v>#N/A Requesting Data...3667136467</v>
        <stp/>
        <stp>BDP|5062597105080127446</stp>
        <tr r="E7" s="89"/>
      </tp>
      <tp t="s">
        <v>#N/A Requesting Data...3785316809</v>
        <stp/>
        <stp>BDP|6899414930851030473</stp>
        <tr r="V50" s="89"/>
      </tp>
      <tp t="s">
        <v>#N/A Requesting Data...3932503100</v>
        <stp/>
        <stp>BDP|4006741964780702190</stp>
        <tr r="AA8" s="89"/>
        <tr r="Z8" s="89"/>
      </tp>
      <tp t="s">
        <v>#N/A N/A</v>
        <stp/>
        <stp>BDP|1105691956700330633</stp>
        <tr r="AG31" s="1"/>
        <tr r="AG32" s="1"/>
      </tp>
      <tp t="s">
        <v>#N/A Requesting Data...1437450641</v>
        <stp/>
        <stp>BDP|7494523709231730773</stp>
        <tr r="F31" s="446"/>
      </tp>
      <tp t="s">
        <v>#N/A N/A</v>
        <stp/>
        <stp>BDP|2743037479982482367</stp>
        <tr r="AF39" s="1"/>
        <tr r="AF40" s="1"/>
      </tp>
      <tp t="s">
        <v>#N/A Requesting Data...867768007</v>
        <stp/>
        <stp>BDP|8549451961438864644</stp>
        <tr r="AJ55" s="338"/>
        <tr r="AK14" s="338"/>
        <tr r="AK55" s="338"/>
      </tp>
      <tp t="s">
        <v>#N/A Requesting Data...1192248670</v>
        <stp/>
        <stp>BDP|9945382899790540700</stp>
        <tr r="AA138" s="89"/>
        <tr r="Z138" s="89"/>
      </tp>
      <tp t="s">
        <v>#N/A Requesting Data...2565479703</v>
        <stp/>
        <stp>BDP|1051127841111916176</stp>
        <tr r="P16" s="252"/>
      </tp>
      <tp t="s">
        <v>#N/A Requesting Data...3053142322</v>
        <stp/>
        <stp>BDP|4663108797361832948</stp>
        <tr r="T243" s="89"/>
      </tp>
      <tp t="s">
        <v>#N/A Requesting Data...3820977859</v>
        <stp/>
        <stp>BDP|2199559048282875569</stp>
        <tr r="AI18" s="338"/>
      </tp>
      <tp t="s">
        <v>#N/A Requesting Data...2264914288</v>
        <stp/>
        <stp>BDP|4374742715501301730</stp>
        <tr r="N16" s="252"/>
        <tr r="N16" s="252"/>
      </tp>
      <tp t="s">
        <v>#N/A Requesting Data...1816769673</v>
        <stp/>
        <stp>BDP|3004206956470481008</stp>
        <tr r="AA20" s="89"/>
        <tr r="Z20" s="89"/>
      </tp>
      <tp t="s">
        <v>#N/A Requesting Data...2731507716</v>
        <stp/>
        <stp>BDP|8764335623844685936</stp>
        <tr r="T225" s="89"/>
      </tp>
      <tp t="s">
        <v>#N/A Requesting Data...2251627427</v>
        <stp/>
        <stp>BDP|1615244074723761330</stp>
        <tr r="T36" s="338"/>
      </tp>
      <tp t="s">
        <v>#N/A Requesting Data...1682746410</v>
        <stp/>
        <stp>BDP|8326860540126523632</stp>
        <tr r="E129" s="89"/>
      </tp>
      <tp t="s">
        <v>#N/A Requesting Data...3242455037</v>
        <stp/>
        <stp>BDP|5790626169004593599</stp>
        <tr r="F40" s="446"/>
      </tp>
      <tp t="s">
        <v>#N/A Requesting Data...85120904</v>
        <stp/>
        <stp>BDP|9726257024364768910</stp>
        <tr r="O19" s="252"/>
      </tp>
      <tp t="s">
        <v>#N/A Requesting Data...420175114</v>
        <stp/>
        <stp>BDP|3121965407037939996</stp>
        <tr r="T10" s="338"/>
      </tp>
      <tp t="s">
        <v>#N/A Requesting Data...3586439464</v>
        <stp/>
        <stp>BDP|6006028351715170233</stp>
        <tr r="F32" s="2"/>
      </tp>
      <tp t="s">
        <v>#N/A N/A</v>
        <stp/>
        <stp>BDP|7599424229276827376</stp>
        <tr r="AF17" s="1"/>
        <tr r="AF16" s="1"/>
      </tp>
      <tp t="s">
        <v>#N/A Requesting Data...1554237924</v>
        <stp/>
        <stp>BDP|7467390538945749637</stp>
        <tr r="AD27" s="2"/>
        <tr r="V8" s="89"/>
      </tp>
      <tp t="s">
        <v>#N/A Requesting Data...424642970</v>
        <stp/>
        <stp>BDP|2781273192095754848</stp>
        <tr r="P37" s="338"/>
      </tp>
      <tp t="e">
        <v>#N/A</v>
        <stp/>
        <stp>BDH|3198140074210416144</stp>
        <tr r="AR54" s="338"/>
      </tp>
      <tp t="s">
        <v>#N/A Requesting Data...3064400867</v>
        <stp/>
        <stp>BDP|5028796441871860363</stp>
        <tr r="D8" s="2"/>
        <tr r="C223" s="89"/>
      </tp>
      <tp t="s">
        <v>#N/A Requesting Data...2992314701</v>
        <stp/>
        <stp>BDP|5440482774885960773</stp>
        <tr r="AH36" s="338"/>
      </tp>
      <tp t="s">
        <v>#N/A Requesting Data...2118071841</v>
        <stp/>
        <stp>BDP|8903483087139985997</stp>
        <tr r="S8" s="252"/>
      </tp>
      <tp t="s">
        <v>#N/A Requesting Data...3082673530</v>
        <stp/>
        <stp>BDP|1490932935796586918</stp>
        <tr r="T19" s="89"/>
      </tp>
      <tp t="s">
        <v>#N/A Requesting Data...2776807006</v>
        <stp/>
        <stp>BDP|2357040805921494704</stp>
        <tr r="AJ10" s="338"/>
        <tr r="AJ11" s="338"/>
        <tr r="AJ33" s="338"/>
      </tp>
      <tp t="s">
        <v>#N/A Requesting Data...1249088408</v>
        <stp/>
        <stp>BDP|7928439714665118399</stp>
        <tr r="AR14" s="2"/>
      </tp>
      <tp t="s">
        <v>#N/A Requesting Data...389925139</v>
        <stp/>
        <stp>BDP|2463509927516496702</stp>
        <tr r="E26" s="89"/>
      </tp>
      <tp t="s">
        <v>#N/A Requesting Data...2528131413</v>
        <stp/>
        <stp>BDP|2785695221570324283</stp>
        <tr r="O188" s="89"/>
      </tp>
      <tp t="s">
        <v>#N/A Requesting Data...3008328282</v>
        <stp/>
        <stp>BDP|1913639431982971268</stp>
        <tr r="V122" s="89"/>
      </tp>
      <tp t="s">
        <v>#N/A Requesting Data...2591697729</v>
        <stp/>
        <stp>BDP|8103428543709687520</stp>
        <tr r="G5" s="446"/>
        <tr r="G6" s="446"/>
      </tp>
      <tp t="s">
        <v>#N/A Requesting Data...969013388</v>
        <stp/>
        <stp>BDP|5430094244624859152</stp>
        <tr r="D34" s="446"/>
      </tp>
      <tp t="s">
        <v>#N/A Requesting Data...3068798585</v>
        <stp/>
        <stp>BDP|5284294530751812164</stp>
        <tr r="AI12" s="338"/>
      </tp>
      <tp t="s">
        <v>#N/A Requesting Data...464872659</v>
        <stp/>
        <stp>BDP|2593154816901666757</stp>
        <tr r="N13" s="252"/>
        <tr r="N13" s="252"/>
      </tp>
      <tp t="s">
        <v>#N/A Requesting Data...3010677689</v>
        <stp/>
        <stp>BDP|9638513960499697749</stp>
        <tr r="T46" s="338"/>
      </tp>
      <tp t="s">
        <v>#N/A Requesting Data...3273954394</v>
        <stp/>
        <stp>BDP|1095799839766349765</stp>
        <tr r="AR13" s="2"/>
      </tp>
      <tp>
        <v>612.96</v>
        <stp/>
        <stp>BDP|3807768373389777345|22</stp>
        <stp>META Equity</stp>
        <stp>LAST_PRICE</stp>
        <tr r="I22" s="1"/>
      </tp>
      <tp>
        <v>101.29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N/A</v>
        <stp/>
        <stp>BDP|9005897765572380053</stp>
        <tr r="E18" s="2"/>
      </tp>
      <tp t="s">
        <v>#N/A N/A</v>
        <stp/>
        <stp>BDP|1163242074811817033</stp>
        <tr r="R251" s="89"/>
        <tr r="R234" s="89"/>
      </tp>
      <tp t="s">
        <v>#N/A Requesting Data...2530814040</v>
        <stp/>
        <stp>BDP|2926137671092226333</stp>
        <tr r="P14" s="252"/>
      </tp>
      <tp t="s">
        <v>#N/A Requesting Data...132893665</v>
        <stp/>
        <stp>BDP|4780459414043985746</stp>
        <tr r="S33" s="338"/>
      </tp>
      <tp t="s">
        <v>#N/A Requesting Data...417872119</v>
        <stp/>
        <stp>BDP|3019694067325385361</stp>
        <tr r="V212" s="89"/>
      </tp>
      <tp t="s">
        <v>#N/A Requesting Data...3430143615</v>
        <stp/>
        <stp>BDP|3715220583989463590</stp>
        <tr r="AB23" s="1"/>
        <tr r="AB24" s="1"/>
        <tr r="F30" s="446"/>
      </tp>
      <tp t="e">
        <v>#N/A</v>
        <stp/>
        <stp>BDH|1121808708968070428</stp>
        <tr r="AU15" s="338"/>
        <tr r="AU39" s="338"/>
        <tr r="AU38" s="338"/>
        <tr r="AU52" s="338"/>
        <tr r="AU16" s="338"/>
        <tr r="AU44" s="338"/>
        <tr r="AU17" s="338"/>
      </tp>
      <tp t="s">
        <v>#N/A Requesting Data...1024640363</v>
        <stp/>
        <stp>BDP|3983744460122577503</stp>
        <tr r="AF31" s="1"/>
        <tr r="AF32" s="1"/>
        <tr r="AF36" s="338"/>
      </tp>
      <tp t="s">
        <v>#N/A Requesting Data...2601215491</v>
        <stp/>
        <stp>BDP|8403826222750594793</stp>
        <tr r="E196" s="89"/>
      </tp>
      <tp t="s">
        <v>#N/A Requesting Data...3127626291</v>
        <stp/>
        <stp>BDP|5013605744345919757</stp>
        <tr r="D21" s="2"/>
      </tp>
      <tp t="s">
        <v>#N/A Requesting Data...345603860</v>
        <stp/>
        <stp>BDP|5308081551174601141</stp>
        <tr r="U11" s="338"/>
      </tp>
      <tp t="s">
        <v>#N/A N/A</v>
        <stp/>
        <stp>BDP|3051431949301095732</stp>
        <tr r="AB39" s="1"/>
        <tr r="AB40" s="1"/>
      </tp>
      <tp t="s">
        <v>#N/A Requesting Data...736956391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Data...907592559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Data...2473322251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Data...2345299451</v>
        <stp/>
        <stp>BDP|2680507519705077633</stp>
        <tr r="C253" s="89"/>
      </tp>
      <tp t="s">
        <v>#N/A Requesting Data...1781953617</v>
        <stp/>
        <stp>BDP|8626964800726479283</stp>
        <tr r="T17" s="338"/>
      </tp>
      <tp t="s">
        <v>#N/A N/A</v>
        <stp/>
        <stp>BDP|7410592363259611858</stp>
        <tr r="K2" s="1"/>
      </tp>
      <tp t="s">
        <v>#N/A Requesting Data...3109962919</v>
        <stp/>
        <stp>BDP|6689657087039171489</stp>
        <tr r="D50" s="89"/>
      </tp>
      <tp t="s">
        <v>#N/A Requesting Data...3195073640</v>
        <stp/>
        <stp>BDP|6453493511390892665</stp>
        <tr r="T31" s="338"/>
      </tp>
      <tp t="s">
        <v>#N/A Requesting Data...3493596673</v>
        <stp/>
        <stp>BDP|1933423945534840047</stp>
        <tr r="AK9" s="338"/>
      </tp>
      <tp t="s">
        <v>#N/A Requesting Data...517529830</v>
        <stp/>
        <stp>BDP|2600239713082155642</stp>
        <tr r="AA234" s="89"/>
        <tr r="Z234" s="89"/>
      </tp>
      <tp t="s">
        <v>#N/A Requesting Data...1015669504</v>
        <stp/>
        <stp>BDP|4087771710803757431</stp>
        <tr r="X54" s="338"/>
      </tp>
      <tp t="s">
        <v>#N/A Requesting Data...838750617</v>
        <stp/>
        <stp>BDP|5606617135013296639</stp>
        <tr r="D14" s="2"/>
      </tp>
      <tp t="s">
        <v>#N/A Requesting Data...1738136274</v>
        <stp/>
        <stp>BDP|7419327903193598239</stp>
        <tr r="AJ15" s="338"/>
        <tr r="AJ39" s="338"/>
        <tr r="AK40" s="338"/>
      </tp>
      <tp t="s">
        <v>#N/A N/A</v>
        <stp/>
        <stp>BDP|5133852355808281539</stp>
        <tr r="AD18" s="2"/>
        <tr r="V63" s="89"/>
      </tp>
      <tp t="s">
        <v>#N/A Requesting Data...3458217330</v>
        <stp/>
        <stp>BDP|4569291905061840219</stp>
        <tr r="C26" s="2"/>
      </tp>
      <tp t="s">
        <v>#N/A N/A</v>
        <stp/>
        <stp>BDP|9525835047501594141</stp>
        <tr r="AG19" s="1"/>
        <tr r="AG20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44" s="1"/>
      </tp>
      <tp t="s">
        <v>#N/A Requesting Data...2050470563</v>
        <stp/>
        <stp>BDP|1252039566197775513</stp>
        <tr r="AK54" s="338"/>
      </tp>
      <tp t="s">
        <v>#N/A N/A</v>
        <stp/>
        <stp>BDP|6695752411146080338</stp>
        <tr r="AG28" s="1"/>
      </tp>
      <tp t="s">
        <v>#N/A Requesting Data...4006184076</v>
        <stp/>
        <stp>BDP|9107847052373360258</stp>
        <tr r="C12" s="2"/>
      </tp>
      <tp t="s">
        <v>#N/A Requesting Data...1365625620</v>
        <stp/>
        <stp>BDP|1340430251865159018</stp>
        <tr r="C122" s="89"/>
      </tp>
      <tp t="s">
        <v>#N/A Requesting Data...3197012121</v>
        <stp/>
        <stp>BDP|6973296607750514137</stp>
        <tr r="V81" s="89"/>
        <tr r="V76" s="89"/>
      </tp>
      <tp t="s">
        <v>#N/A Requesting Data...2754623453</v>
        <stp/>
        <stp>BDP|6397811860628218562</stp>
        <tr r="O40" s="89"/>
      </tp>
      <tp t="s">
        <v>#N/A Requesting Data...4140940274</v>
        <stp/>
        <stp>BDP|3777685039867817484</stp>
        <tr r="E20" s="89"/>
      </tp>
      <tp t="s">
        <v>#N/A Requesting Data...870277428</v>
        <stp/>
        <stp>BDP|9342992826077801027</stp>
        <tr r="O234" s="89"/>
      </tp>
      <tp t="s">
        <v>#N/A Requesting Data...4212151098</v>
        <stp/>
        <stp>BDP|6124212647123164610</stp>
        <tr r="AA109" s="89"/>
        <tr r="Z109" s="89"/>
      </tp>
      <tp t="s">
        <v>#N/A N/A</v>
        <stp/>
        <stp>BDP|6362820535118116020</stp>
        <tr r="D75" s="89"/>
      </tp>
      <tp t="s">
        <v>#N/A Requesting Data...4286181304</v>
        <stp/>
        <stp>BDP|2987580469143878743</stp>
        <tr r="AA115" s="89"/>
        <tr r="Z115" s="89"/>
      </tp>
      <tp t="s">
        <v>#N/A Requesting Data...4139005540</v>
        <stp/>
        <stp>BDP|4033619350390538205</stp>
        <tr r="E197" s="89"/>
      </tp>
      <tp t="s">
        <v>#N/A Requesting Data...4180632613</v>
        <stp/>
        <stp>BDP|7460910680203620073</stp>
        <tr r="E28" s="2"/>
        <tr r="E30" s="2"/>
      </tp>
      <tp t="s">
        <v>#N/A Requesting Data...3399726725</v>
        <stp/>
        <stp>BDP|1785534484179509007</stp>
        <tr r="U37" s="338"/>
      </tp>
      <tp t="s">
        <v>#N/A Requesting Data...3384760709</v>
        <stp/>
        <stp>BDP|2813493497959311307</stp>
        <tr r="AA178" s="89"/>
        <tr r="Z178" s="89"/>
      </tp>
      <tp t="s">
        <v>#N/A Real Time</v>
        <stp/>
        <stp>BDP|16483041364426568359|22</stp>
        <stp>NVDA US 10/03/25 P160 Equity</stp>
        <stp>ask</stp>
        <tr r="L253" s="89"/>
      </tp>
      <tp>
        <v>31.6</v>
        <stp/>
        <stp>BDP|16902259978573716312|22</stp>
        <stp>MSFT US 03/20/26 P465 Equity</stp>
        <stp>ask</stp>
        <tr r="Q21" s="2"/>
      </tp>
      <tp>
        <v>62.35</v>
        <stp/>
        <stp>BDP|11900640268145709519|22</stp>
        <stp>META US 07/17/26 C620 Equity</stp>
        <stp>bid</stp>
        <tr r="K233" s="89"/>
      </tp>
      <tp>
        <v>11.2</v>
        <stp/>
        <stp>BDP|479954285595231818|22</stp>
        <stp>GDX US 09/18/26 C115 Equity</stp>
        <stp>ask</stp>
        <tr r="Q27" s="2"/>
        <tr r="L8" s="89"/>
      </tp>
      <tp t="s">
        <v>USD</v>
        <stp/>
        <stp>BDP|397487976034915571|22</stp>
        <stp>TSM US 06/18/26 C380 Equity</stp>
        <stp>QUOTED_CURRENCY_REALTIME</stp>
        <tr r="G31" s="2"/>
        <tr r="G29" s="2"/>
        <tr r="F14" s="89"/>
      </tp>
      <tp>
        <v>247.65</v>
        <stp/>
        <stp>BDP|4350104393385922955|22</stp>
        <stp>AAPL Equity</stp>
        <stp>LAST PRICE</stp>
        <tr r="I11" s="338"/>
      </tp>
      <tp>
        <v>-0.12020929157733917</v>
        <stp/>
        <stp>BDP|4567417713158786157|22</stp>
        <stp>AVGO US 06/18/26 C410 Equity</stp>
        <stp>theta_mid_rt</stp>
        <tr r="AN6" s="2"/>
        <tr r="AN7" s="2"/>
      </tp>
      <tp>
        <v>-1.0440402030944824</v>
        <stp/>
        <stp>BDP|8141429079793918147|22</stp>
        <stp>SNDK US 02/20/26 C500 Equity</stp>
        <stp>theta_mid_rt</stp>
        <tr r="AN9" s="2"/>
      </tp>
      <tp t="s">
        <v>#N/A Requesting Data...2694809246</v>
        <stp/>
        <stp>BDP|9823698439132005823</stp>
        <tr r="M12" s="252"/>
      </tp>
      <tp t="s">
        <v>#N/A Requesting Data...1930500013</v>
        <stp/>
        <stp>BDP|3841182258277076628</stp>
        <tr r="E32" s="2"/>
      </tp>
      <tp t="s">
        <v>#N/A Requesting Data...2898578752</v>
        <stp/>
        <stp>BDP|3019690065241065465</stp>
        <tr r="AI48" s="338"/>
        <tr r="AI49" s="338"/>
      </tp>
      <tp t="s">
        <v>#N/A Requesting Data...411502528</v>
        <stp/>
        <stp>BDP|7188757863485888551</stp>
        <tr r="G39" s="446"/>
      </tp>
      <tp t="s">
        <v>#N/A N/A</v>
        <stp/>
        <stp>BDP|7422247533576110683</stp>
        <tr r="AI43" s="1"/>
      </tp>
      <tp t="s">
        <v>#N/A Requesting Data...2756264218</v>
        <stp/>
        <stp>BDP|6357706968437215632</stp>
        <tr r="S51" s="338"/>
      </tp>
      <tp t="e">
        <v>#N/A</v>
        <stp/>
        <stp>BDH|1981391438706214106</stp>
        <tr r="AM51" s="338"/>
        <tr r="AR34" s="338"/>
        <tr r="AR35" s="338"/>
        <tr r="AR37" s="338"/>
        <tr r="AR36" s="338"/>
        <tr r="AM50" s="338"/>
      </tp>
      <tp t="s">
        <v>#N/A Requesting Data...1310309027</v>
        <stp/>
        <stp>BDP|6344868389439270954</stp>
        <tr r="D33" s="89"/>
      </tp>
      <tp t="s">
        <v>#N/A Requesting Data...3185162722</v>
        <stp/>
        <stp>BDP|2912249135106636351</stp>
        <tr r="E171" s="89"/>
      </tp>
      <tp t="s">
        <v>#N/A Requesting Data...238223371</v>
        <stp/>
        <stp>BDP|1443585917713323038</stp>
        <tr r="L30" s="338"/>
        <tr r="J30" s="338"/>
      </tp>
      <tp t="s">
        <v>#N/A Requesting Data...3920980438</v>
        <stp/>
        <stp>BDP|9040986355516417529</stp>
        <tr r="C27" s="89"/>
      </tp>
      <tp t="s">
        <v>#N/A Requesting Data...1682682902</v>
        <stp/>
        <stp>BDP|5276161858584454335</stp>
        <tr r="C195" s="89"/>
      </tp>
      <tp t="s">
        <v>#N/A Requesting Data...1894451003</v>
        <stp/>
        <stp>BDP|4646626558147768607</stp>
        <tr r="T144" s="89"/>
      </tp>
      <tp t="s">
        <v>#N/A Requesting Data...1103788358</v>
        <stp/>
        <stp>BDP|9958243614845156906</stp>
        <tr r="AK30" s="338"/>
        <tr r="AI30" s="338"/>
      </tp>
      <tp t="s">
        <v>#N/A Requesting Data...4127563417</v>
        <stp/>
        <stp>BDP|3175608666544602195</stp>
        <tr r="T171" s="89"/>
      </tp>
      <tp t="s">
        <v>#N/A N/A</v>
        <stp/>
        <stp>BDP|1658103089397436930</stp>
        <tr r="AI15" s="1"/>
      </tp>
      <tp t="s">
        <v>#N/A Requesting Data...3246540662</v>
        <stp/>
        <stp>BDP|1754575979255457051</stp>
        <tr r="G14" s="446"/>
      </tp>
      <tp t="s">
        <v>#N/A Requesting Data...550160543</v>
        <stp/>
        <stp>BDP|7065204913884869622</stp>
        <tr r="O242" s="89"/>
      </tp>
      <tp t="s">
        <v>#N/A N/A</v>
        <stp/>
        <stp>BDP|5130174576111125487</stp>
        <tr r="K37" s="1"/>
      </tp>
      <tp t="s">
        <v>#N/A Requesting Data...383805473</v>
        <stp/>
        <stp>BDP|9212972615641945606</stp>
        <tr r="AH52" s="338"/>
        <tr r="AH53" s="338"/>
        <tr r="AH54" s="338"/>
        <tr r="AJ52" s="338"/>
        <tr r="AJ53" s="338"/>
        <tr r="AJ54" s="338"/>
      </tp>
      <tp t="e">
        <v>#N/A</v>
        <stp/>
        <stp>BDH|1750507202706571496</stp>
        <tr r="AU30" s="338"/>
      </tp>
      <tp t="s">
        <v>#N/A Requesting Data...1810892503</v>
        <stp/>
        <stp>BDP|6095484704072209604</stp>
        <tr r="AJ13" s="338"/>
        <tr r="AJ34" s="338"/>
      </tp>
      <tp t="s">
        <v>#N/A Requesting Data...2957148395</v>
        <stp/>
        <stp>BDP|6921540255739678909</stp>
        <tr r="AK32" s="338"/>
        <tr r="AK46" s="338"/>
        <tr r="AK50" s="338"/>
        <tr r="AK8" s="338"/>
      </tp>
      <tp t="s">
        <v>#N/A Requesting Data...1337581817</v>
        <stp/>
        <stp>BDP|5836174453674625345</stp>
        <tr r="V34" s="338"/>
      </tp>
      <tp t="e">
        <v>#N/A</v>
        <stp/>
        <stp>BDH|8369362356028453099</stp>
        <tr r="AS13" s="338"/>
      </tp>
      <tp t="s">
        <v>#N/A Requesting Data...1529399009</v>
        <stp/>
        <stp>BDP|6914181187250139988</stp>
        <tr r="AA8" s="2"/>
        <tr r="T223" s="89"/>
      </tp>
      <tp t="s">
        <v>#N/A Requesting Data...3454603184</v>
        <stp/>
        <stp>BDP|2338594160066491111</stp>
        <tr r="AR32" s="2"/>
      </tp>
      <tp t="s">
        <v>#N/A Requesting Data...1409385502</v>
        <stp/>
        <stp>BDP|3930578222146831483</stp>
        <tr r="G43" s="446"/>
      </tp>
      <tp t="s">
        <v>#N/A Requesting Data...2343658069</v>
        <stp/>
        <stp>BDP|1796976268448721036</stp>
        <tr r="E14" s="89"/>
      </tp>
      <tp t="s">
        <v>#N/A N/A</v>
        <stp/>
        <stp>BDP|8403728728339567278</stp>
        <tr r="AC44" s="1"/>
      </tp>
      <tp t="s">
        <v>#N/A Requesting Data...3896880677</v>
        <stp/>
        <stp>BDP|9880395878588381367</stp>
        <tr r="AA188" s="89"/>
        <tr r="Z188" s="89"/>
      </tp>
      <tp t="s">
        <v>#N/A Requesting Data...4080608541</v>
        <stp/>
        <stp>BDP|3166087990788095446</stp>
        <tr r="G21" s="446"/>
      </tp>
      <tp t="s">
        <v>#N/A Requesting Data...3299130524</v>
        <stp/>
        <stp>BDP|4996607430791175657</stp>
        <tr r="T122" s="89"/>
      </tp>
      <tp t="s">
        <v>#N/A Requesting Data...2762444990</v>
        <stp/>
        <stp>BDP|3807948298497989200</stp>
        <tr r="P45" s="338"/>
      </tp>
      <tp t="s">
        <v>#N/A Requesting Data...3112593027</v>
        <stp/>
        <stp>BDP|5238012338866927602</stp>
        <tr r="C196" s="89"/>
      </tp>
      <tp t="s">
        <v>#N/A Requesting Data...409255405</v>
        <stp/>
        <stp>BDP|2924047099948422524</stp>
        <tr r="D196" s="89"/>
      </tp>
      <tp t="s">
        <v>#N/A N/A</v>
        <stp/>
        <stp>BDP|4148348666006447154</stp>
        <tr r="AF19" s="1"/>
        <tr r="AF20" s="1"/>
      </tp>
      <tp t="s">
        <v>#N/A Requesting Data...2528542546</v>
        <stp/>
        <stp>BDP|2876687939266845739</stp>
        <tr r="AA21" s="2"/>
      </tp>
      <tp t="s">
        <v>#N/A N/A</v>
        <stp/>
        <stp>BDP|9242806905375372266</stp>
        <tr r="R122" s="89"/>
        <tr r="R123" s="89"/>
      </tp>
      <tp t="s">
        <v>#N/A Requesting Data...3505426620</v>
        <stp/>
        <stp>BDP|3531676896459233342</stp>
        <tr r="G35" s="446"/>
      </tp>
      <tp t="s">
        <v>#N/A Requesting Data...3824713799</v>
        <stp/>
        <stp>BDP|9850960325197941300</stp>
        <tr r="AF16" s="338"/>
        <tr r="AF38" s="338"/>
        <tr r="AF40" s="338"/>
      </tp>
      <tp t="s">
        <v>#N/A Requesting Data...2521774929</v>
        <stp/>
        <stp>BDP|6363186864423553482</stp>
        <tr r="D205" s="89"/>
      </tp>
      <tp t="s">
        <v>#N/A Requesting Data...1772034651</v>
        <stp/>
        <stp>BDP|6405522765572861193</stp>
        <tr r="E195" s="89"/>
      </tp>
      <tp t="s">
        <v>#N/A Requesting Data...2629497987</v>
        <stp/>
        <stp>BDP|1831578601782415092</stp>
        <tr r="V18" s="338"/>
      </tp>
      <tp t="e">
        <v>#N/A</v>
        <stp/>
        <stp>BDH|2009737627661053076</stp>
        <tr r="AM36" s="338"/>
      </tp>
      <tp t="s">
        <v>#N/A Requesting Data...983551715</v>
        <stp/>
        <stp>BDP|5315552559291956278</stp>
        <tr r="AA23" s="2"/>
        <tr r="T56" s="89"/>
      </tp>
      <tp t="s">
        <v>#N/A Requesting Data...3268045262</v>
        <stp/>
        <stp>BDP|9650470625011320866</stp>
        <tr r="AA225" s="89"/>
        <tr r="Z225" s="89"/>
      </tp>
      <tp t="s">
        <v>#N/A Requesting Data...608590653</v>
        <stp/>
        <stp>BDP|9271742846914689876</stp>
        <tr r="S15" s="338"/>
        <tr r="S39" s="338"/>
      </tp>
      <tp t="s">
        <v>#N/A Requesting Data...2431542809</v>
        <stp/>
        <stp>BDP|1183356610207551274</stp>
        <tr r="T29" s="2"/>
        <tr r="T31" s="2"/>
        <tr r="O14" s="89"/>
      </tp>
      <tp t="s">
        <v>#N/A Requesting Data...1142603886</v>
        <stp/>
        <stp>BDP|3672362430114067167</stp>
        <tr r="T14" s="338"/>
      </tp>
      <tp t="s">
        <v>#N/A Requesting Data...3901691458</v>
        <stp/>
        <stp>BDP|2714917007269668409</stp>
        <tr r="M8" s="252"/>
      </tp>
      <tp t="s">
        <v>#N/A Requesting Data...3187693321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Data...1452744577</v>
        <stp/>
        <stp>BDP|8408000722589740564</stp>
        <tr r="T68" s="89"/>
      </tp>
      <tp t="s">
        <v>#N/A Requesting Data...1995002300</v>
        <stp/>
        <stp>BDP|8885961869603230210</stp>
        <tr r="AK32" s="338"/>
        <tr r="AK46" s="338"/>
        <tr r="AK50" s="338"/>
        <tr r="AK8" s="338"/>
      </tp>
      <tp t="s">
        <v>#N/A Requesting Data...529111683</v>
        <stp/>
        <stp>BDP|5769981822101030995</stp>
        <tr r="T96" s="89"/>
      </tp>
      <tp t="s">
        <v>#N/A Requesting Data...2438764691</v>
        <stp/>
        <stp>BDP|8318036623599634512</stp>
        <tr r="D225" s="89"/>
      </tp>
      <tp t="s">
        <v>#N/A Requesting Data...3113902183</v>
        <stp/>
        <stp>BDP|2700137841574069501</stp>
        <tr r="AR26" s="2"/>
      </tp>
      <tp t="s">
        <v>#N/A Requesting Data...1207592583</v>
        <stp/>
        <stp>BDP|3165250577650459020</stp>
        <tr r="AA34" s="89"/>
        <tr r="Z34" s="89"/>
      </tp>
      <tp t="s">
        <v>#N/A Requesting Data...867124159</v>
        <stp/>
        <stp>BDP|7214956164048318650</stp>
        <tr r="U34" s="338"/>
      </tp>
      <tp t="e">
        <v>#N/A</v>
        <stp/>
        <stp>BDH|1301237535116997096</stp>
        <tr r="AN39" s="338"/>
        <tr r="AS40" s="338"/>
        <tr r="AN15" s="338"/>
      </tp>
      <tp t="s">
        <v>#N/A Real Time</v>
        <stp/>
        <stp>BDP|16774619056895954310|22</stp>
        <stp>MSFT US 10/03/25 P485 Equity</stp>
        <stp>ask</stp>
        <tr r="L249" s="89"/>
      </tp>
      <tp>
        <v>612.96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-0.1369757205247879</v>
        <stp/>
        <stp>BDP|8795046347241444117|22</stp>
        <stp>AVGO US 06/18/26 C350 Equity</stp>
        <stp>theta_mid_rt</stp>
        <tr r="AN8" s="2"/>
      </tp>
      <tp t="s">
        <v>#N/A Requesting Data...1601560371</v>
        <stp/>
        <stp>BDP|4283425441594897730</stp>
        <tr r="AA170" s="89"/>
        <tr r="AA179" s="89"/>
        <tr r="Z170" s="89"/>
        <tr r="Z179" s="89"/>
      </tp>
      <tp t="s">
        <v>#N/A Requesting Data...2632103522</v>
        <stp/>
        <stp>BDP|4245799967772009077</stp>
        <tr r="D37" s="446"/>
      </tp>
      <tp t="s">
        <v>#N/A Requesting Data...2858668847</v>
        <stp/>
        <stp>BDP|8970836561946482743</stp>
        <tr r="T252" s="89"/>
      </tp>
      <tp t="s">
        <v>#N/A N/A</v>
        <stp/>
        <stp>BDP|4758516714777806016</stp>
        <tr r="AR18" s="2"/>
      </tp>
      <tp t="s">
        <v>#N/A Requesting Data...3522443852</v>
        <stp/>
        <stp>BDP|2863781781368349292</stp>
        <tr r="AJ16" s="338"/>
        <tr r="AJ38" s="338"/>
        <tr r="AJ40" s="338"/>
      </tp>
      <tp t="s">
        <v>#N/A Requesting Data...2037545549</v>
        <stp/>
        <stp>BDP|9413232260152715883</stp>
        <tr r="C197" s="89"/>
      </tp>
      <tp t="s">
        <v>#N/A Requesting Data...668641177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Data...4087603577</v>
        <stp/>
        <stp>BDP|4897361001360642018</stp>
        <tr r="T48" s="338"/>
      </tp>
      <tp t="s">
        <v>#N/A N/A</v>
        <stp/>
        <stp>BDP|6577894425722203925</stp>
        <tr r="AI37" s="1"/>
        <tr r="AI38" s="1"/>
      </tp>
      <tp t="s">
        <v>#N/A Requesting Data...4290000418</v>
        <stp/>
        <stp>BDP|5289094940154690244</stp>
        <tr r="S14" s="338"/>
      </tp>
      <tp t="s">
        <v>#N/A Requesting Data...3931343832</v>
        <stp/>
        <stp>BDP|1707015801081904771</stp>
        <tr r="S11" s="338"/>
      </tp>
      <tp t="s">
        <v>#N/A N/A</v>
        <stp/>
        <stp>BDP|5947737455944304421</stp>
        <tr r="AB37" s="1"/>
        <tr r="AB38" s="1"/>
      </tp>
      <tp t="s">
        <v>#N/A Requesting Data...4060165399</v>
        <stp/>
        <stp>BDP|7776921789917600641</stp>
        <tr r="Q41" s="338"/>
      </tp>
      <tp t="e">
        <v>#N/A</v>
        <stp/>
        <stp>BDH|7928661004137340162</stp>
        <tr r="AR42" s="338"/>
      </tp>
      <tp t="s">
        <v>#N/A Requesting Data...716291033</v>
        <stp/>
        <stp>BDP|1510584037002581204</stp>
        <tr r="T115" s="89"/>
      </tp>
      <tp t="s">
        <v>#N/A Requesting Data...2250656734</v>
        <stp/>
        <stp>BDP|2412545287880145891</stp>
        <tr r="AA249" s="89"/>
        <tr r="Z249" s="89"/>
      </tp>
      <tp t="s">
        <v>#N/A Requesting Data...2316439786</v>
        <stp/>
        <stp>BDP|6917157052941035414</stp>
        <tr r="AK54" s="338"/>
      </tp>
      <tp t="s">
        <v>#N/A Requesting Data...2101582048</v>
        <stp/>
        <stp>BDP|7903719114714371204</stp>
        <tr r="T203" s="89"/>
      </tp>
      <tp t="s">
        <v>#N/A Requesting Data...2539767075</v>
        <stp/>
        <stp>BDP|1092378379464484650</stp>
        <tr r="G9" s="446"/>
      </tp>
      <tp t="s">
        <v>#N/A Requesting Data...3200053910</v>
        <stp/>
        <stp>BDP|5346594685016575959</stp>
        <tr r="AI18" s="338"/>
        <tr r="AK18" s="338"/>
      </tp>
      <tp t="s">
        <v>#N/A Requesting Data...2778509177</v>
        <stp/>
        <stp>BDP|5675170649634239369</stp>
        <tr r="E109" s="89"/>
      </tp>
      <tp t="s">
        <v>#N/A Requesting Data...1707087734</v>
        <stp/>
        <stp>BDP|6652393212940572345</stp>
        <tr r="Z195" s="89"/>
        <tr r="AA195" s="89"/>
      </tp>
      <tp t="s">
        <v>#N/A Requesting Data...3057779068</v>
        <stp/>
        <stp>BDP|7675645627431897518</stp>
        <tr r="C28" s="2"/>
        <tr r="C30" s="2"/>
      </tp>
      <tp t="e">
        <v>#N/A</v>
        <stp/>
        <stp>BDH|8592563339851779815</stp>
        <tr r="AM42" s="338"/>
        <tr r="AM41" s="338"/>
      </tp>
      <tp t="s">
        <v>#N/A Requesting Data...1744182157</v>
        <stp/>
        <stp>BDP|3706549500372914371</stp>
        <tr r="E136" s="89"/>
      </tp>
      <tp t="s">
        <v>#N/A N/A</v>
        <stp/>
        <stp>BDP|5312075309057886586</stp>
        <tr r="AI41" s="1"/>
        <tr r="AI42" s="1"/>
      </tp>
      <tp t="s">
        <v>#N/A Requesting Data...3360892095</v>
        <stp/>
        <stp>BDP|7107626834487292286</stp>
        <tr r="L11" s="252"/>
        <tr r="L11" s="252"/>
      </tp>
      <tp t="s">
        <v>#N/A Requesting Data...1065129738</v>
        <stp/>
        <stp>BDP|8336092558638833275</stp>
        <tr r="M18" s="252"/>
      </tp>
      <tp t="s">
        <v>#N/A Requesting Data...2854820608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Data...2769282120</v>
        <stp/>
        <stp>BDP|1288906989993060491</stp>
        <tr r="X49" s="338"/>
      </tp>
      <tp t="s">
        <v>#N/A Requesting Data...1750462856</v>
        <stp/>
        <stp>BDP|1838788847701622427</stp>
        <tr r="AA27" s="89"/>
        <tr r="Z27" s="89"/>
      </tp>
      <tp t="s">
        <v>#N/A Requesting Data...1016436243</v>
        <stp/>
        <stp>BDP|6679731277588437958</stp>
        <tr r="E178" s="89"/>
      </tp>
      <tp t="s">
        <v>#N/A Requesting Data...3646186236</v>
        <stp/>
        <stp>BDP|8185611637538225266</stp>
        <tr r="C14" s="2"/>
      </tp>
      <tp t="s">
        <v>#N/A Requesting Data...613824469</v>
        <stp/>
        <stp>BDP|9702315561543798833</stp>
        <tr r="Q55" s="338"/>
      </tp>
      <tp t="s">
        <v>#N/A Requesting Data...1120038752</v>
        <stp/>
        <stp>BDP|5938177747656903132</stp>
        <tr r="S55" s="338"/>
      </tp>
      <tp t="s">
        <v>#N/A Requesting Data...2469353820</v>
        <stp/>
        <stp>BDP|1855721819082945297</stp>
        <tr r="P52" s="338"/>
      </tp>
      <tp t="s">
        <v>#N/A Requesting Data...3527208313</v>
        <stp/>
        <stp>BDP|7226011316269547804</stp>
        <tr r="Z101" s="89"/>
        <tr r="AA101" s="89"/>
      </tp>
      <tp t="s">
        <v>#N/A Requesting Data...3616477725</v>
        <stp/>
        <stp>BDP|3900760639080469025</stp>
        <tr r="AA26" s="2"/>
        <tr r="T7" s="89"/>
      </tp>
      <tp t="s">
        <v>#N/A Requesting Data...2425529482</v>
        <stp/>
        <stp>BDP|6670767722864327018</stp>
        <tr r="AH15" s="338"/>
        <tr r="AH39" s="338"/>
        <tr r="AI40" s="338"/>
        <tr r="AJ15" s="338"/>
        <tr r="AJ39" s="338"/>
        <tr r="AK40" s="338"/>
      </tp>
      <tp t="e">
        <v>#N/A</v>
        <stp/>
        <stp>BDH|8904309347670867869</stp>
        <tr r="AU49" s="338"/>
        <tr r="AU48" s="338"/>
      </tp>
      <tp t="e">
        <v>#N/A</v>
        <stp/>
        <stp>BDH|6991636468390381117</stp>
        <tr r="AP35" s="338"/>
        <tr r="AP14" s="338"/>
      </tp>
      <tp t="s">
        <v>#N/A Requesting Data...1372956623</v>
        <stp/>
        <stp>BDP|6362624963838148922</stp>
        <tr r="AF23" s="1"/>
        <tr r="AF24" s="1"/>
        <tr r="AF8" s="338"/>
        <tr r="AF9" s="338"/>
      </tp>
      <tp t="s">
        <v>#N/A Requesting Data...1150249583</v>
        <stp/>
        <stp>BDP|2907663611126652497</stp>
        <tr r="D136" s="89"/>
      </tp>
      <tp t="s">
        <v>#N/A Requesting Data...898091027</v>
        <stp/>
        <stp>BDP|7909641621027922343</stp>
        <tr r="O50" s="89"/>
      </tp>
      <tp t="s">
        <v>#N/A Requesting Data...1880056152</v>
        <stp/>
        <stp>BDP|5447413907492272417</stp>
        <tr r="AG48" s="338"/>
        <tr r="AG49" s="338"/>
      </tp>
      <tp t="e">
        <v>#N/A</v>
        <stp/>
        <stp>BDH|7595309827173003237</stp>
        <tr r="AN29" s="338"/>
        <tr r="AN30" s="338"/>
      </tp>
      <tp t="s">
        <v>#N/A Requesting Data...751790031</v>
        <stp/>
        <stp>BDP|2614909402095251903</stp>
        <tr r="L12" s="252"/>
        <tr r="L12" s="252"/>
      </tp>
      <tp t="s">
        <v>#N/A N/A</v>
        <stp/>
        <stp>BDP|4321791803795608194</stp>
        <tr r="AB178" s="89"/>
      </tp>
      <tp t="s">
        <v>#N/A Requesting Data...1456692990</v>
        <stp/>
        <stp>BDP|5476793879341768354</stp>
        <tr r="AK30" s="338"/>
      </tp>
      <tp t="s">
        <v>#N/A Requesting Data...359613779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Data...1629428580</v>
        <stp/>
        <stp>BDP|9356568301399407276</stp>
        <tr r="L29" s="338"/>
        <tr r="J29" s="338"/>
      </tp>
      <tp t="s">
        <v>#N/A Requesting Data...988457741</v>
        <stp/>
        <stp>BDP|7057279456164256342</stp>
        <tr r="S32" s="338"/>
      </tp>
      <tp t="s">
        <v>#N/A Requesting Data...2039430364</v>
        <stp/>
        <stp>BDP|7250845338122873916</stp>
        <tr r="D16" s="2"/>
      </tp>
      <tp t="s">
        <v>#N/A Requesting Data...1772972373</v>
        <stp/>
        <stp>BDP|5679496740627876502</stp>
        <tr r="N20" s="252"/>
        <tr r="N20" s="252"/>
      </tp>
      <tp t="s">
        <v>#N/A Requesting Data...1978032820</v>
        <stp/>
        <stp>BDP|7775425857631476016</stp>
        <tr r="X53" s="338"/>
      </tp>
      <tp t="s">
        <v>#N/A Requesting Data...2362907441</v>
        <stp/>
        <stp>BDP|6730519311327945299</stp>
        <tr r="AK11" s="338"/>
      </tp>
      <tp t="s">
        <v>#N/A Requesting Data...920552393</v>
        <stp/>
        <stp>BDP|7034052966182144450</stp>
        <tr r="G7" s="446"/>
      </tp>
      <tp t="e">
        <v>#N/A</v>
        <stp/>
        <stp>BDH|3626648867271713550</stp>
        <tr r="AP15" s="338"/>
        <tr r="AU40" s="338"/>
        <tr r="AP39" s="338"/>
      </tp>
      <tp t="e">
        <v>#N/A</v>
        <stp/>
        <stp>BDH|7542468933504074371</stp>
        <tr r="AN38" s="338"/>
        <tr r="AN40" s="338"/>
        <tr r="AN16" s="338"/>
      </tp>
      <tp t="s">
        <v>#N/A Requesting Data...596237536</v>
        <stp/>
        <stp>BDP|5264049846531072744</stp>
        <tr r="Z95" s="89"/>
        <tr r="AA95" s="89"/>
      </tp>
      <tp t="e">
        <v>#N/A</v>
        <stp/>
        <stp>BDH|6300794622046811244</stp>
        <tr r="AS9" s="338"/>
      </tp>
      <tp t="s">
        <v>#N/A Requesting Data...1666566233</v>
        <stp/>
        <stp>BDP|7817792651205133748</stp>
        <tr r="U30" s="338"/>
      </tp>
      <tp t="s">
        <v>#N/A Requesting Data...3436074109</v>
        <stp/>
        <stp>BDP|1636158366620394139</stp>
        <tr r="V160" s="89"/>
      </tp>
      <tp t="s">
        <v>#N/A Requesting Data...3746511811</v>
        <stp/>
        <stp>BDP|7130911573469165773</stp>
        <tr r="AD8" s="2"/>
        <tr r="V223" s="89"/>
      </tp>
      <tp t="s">
        <v>#N/A Requesting Data...3786139373</v>
        <stp/>
        <stp>BDP|2820896106728671546</stp>
        <tr r="E235" s="89"/>
      </tp>
      <tp t="s">
        <v>#N/A Requesting Data...3758237227</v>
        <stp/>
        <stp>BDP|4266068674933073757</stp>
        <tr r="E9" s="2"/>
      </tp>
      <tp>
        <v>9.9</v>
        <stp/>
        <stp>BDP|10774823622952007575|22</stp>
        <stp>AMAT US 02/06/26 C340 Equity</stp>
        <stp>ask</stp>
        <tr r="L3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231.3</v>
        <stp/>
        <stp>BDP|4344863504285541564|22</stp>
        <stp>AMZN Equity</stp>
        <stp>LAST_PRICE</stp>
        <tr r="I21" s="1"/>
      </tp>
      <tp t="s">
        <v>USD</v>
        <stp/>
        <stp>BDP|14842741635741696790|22</stp>
        <stp>META US 07/17/26 C620 Equity</stp>
        <stp>QUOTED_CURRENCY_REALTIME</stp>
        <tr r="F233" s="89"/>
      </tp>
      <tp t="s">
        <v>#N/A Requesting Data...3804394932</v>
        <stp/>
        <stp>BDP|7888925895296536105</stp>
        <tr r="D195" s="89"/>
      </tp>
      <tp t="s">
        <v>#N/A Requesting Data...1136923878</v>
        <stp/>
        <stp>BDP|9478381283761550308</stp>
        <tr r="AD28" s="2"/>
        <tr r="AD30" s="2"/>
        <tr r="V13" s="89"/>
      </tp>
      <tp t="s">
        <v>#N/A Requesting Data...3346872201</v>
        <stp/>
        <stp>BDP|3454753217493992655</stp>
        <tr r="AB36" s="1"/>
        <tr r="F36" s="446"/>
      </tp>
      <tp t="s">
        <v>#N/A N/A</v>
        <stp/>
        <stp>BDP|8148908707662517398</stp>
        <tr r="AG22" s="1"/>
      </tp>
      <tp t="s">
        <v>#N/A Requesting Data...376382718</v>
        <stp/>
        <stp>BDP|1189172247476298290</stp>
        <tr r="O7" s="252"/>
      </tp>
      <tp t="s">
        <v>#N/A Requesting Data...2695342026</v>
        <stp/>
        <stp>BDP|6955622269271151797</stp>
        <tr r="T4" s="2"/>
        <tr r="T5" s="2"/>
      </tp>
      <tp t="e">
        <v>#N/A</v>
        <stp/>
        <stp>BDH|6300508665442857747</stp>
        <tr r="J20" s="252"/>
      </tp>
      <tp t="s">
        <v>#N/A Requesting Data...3013400605</v>
        <stp/>
        <stp>BDP|7581312139944399354</stp>
        <tr r="V251" s="89"/>
      </tp>
      <tp t="s">
        <v>#N/A Requesting Data...3594246951</v>
        <stp/>
        <stp>BDP|2073373381748750195</stp>
        <tr r="F25" s="446"/>
      </tp>
      <tp t="s">
        <v>#N/A Requesting Data...3593631808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Data...1389673416</v>
        <stp/>
        <stp>BDP|2827341875365968396</stp>
        <tr r="O33" s="89"/>
      </tp>
      <tp t="s">
        <v>#N/A Requesting Data...2061930753</v>
        <stp/>
        <stp>BDP|5045073666933003089</stp>
        <tr r="V9" s="338"/>
      </tp>
      <tp t="s">
        <v>#N/A Requesting Data...4106108753</v>
        <stp/>
        <stp>BDP|7131418634293998332</stp>
        <tr r="T16" s="2"/>
      </tp>
      <tp t="s">
        <v>#N/A Requesting Data...2769971294</v>
        <stp/>
        <stp>BDP|4874875695403262667</stp>
        <tr r="O169" s="89"/>
      </tp>
      <tp t="s">
        <v>#N/A N/A</v>
        <stp/>
        <stp>BDP|3833608477975887782</stp>
        <tr r="AC10" s="2"/>
        <tr r="AC11" s="2"/>
      </tp>
      <tp t="s">
        <v>#N/A Requesting Data...1820260084</v>
        <stp/>
        <stp>BDP|3872713712930116557</stp>
        <tr r="V186" s="89"/>
      </tp>
      <tp t="s">
        <v>#N/A Requesting Data...2638700932</v>
        <stp/>
        <stp>BDP|5526635939431875188</stp>
        <tr r="AI29" s="338"/>
      </tp>
      <tp t="s">
        <v>#N/A Requesting Data...564488183</v>
        <stp/>
        <stp>BDP|5959149956824211564</stp>
        <tr r="G38" s="446"/>
      </tp>
      <tp t="s">
        <v>#N/A Requesting Data...1221348326</v>
        <stp/>
        <stp>BDP|5381969730908949709</stp>
        <tr r="AD4" s="2"/>
        <tr r="AD5" s="2"/>
      </tp>
      <tp t="s">
        <v>#N/A Requesting Data...747385308</v>
        <stp/>
        <stp>BDP|8739029094357904654</stp>
        <tr r="O20" s="89"/>
      </tp>
      <tp t="s">
        <v>#N/A Requesting Data...1119178372</v>
        <stp/>
        <stp>BDP|5230765798593402855</stp>
        <tr r="Q8" s="338"/>
      </tp>
      <tp t="s">
        <v>#N/A Requesting Data...867151034</v>
        <stp/>
        <stp>BDP|3572723856414756549</stp>
        <tr r="D6" s="2"/>
        <tr r="D7" s="2"/>
        <tr r="C222" s="89"/>
      </tp>
      <tp t="s">
        <v>#N/A Requesting Data...1756118101</v>
        <stp/>
        <stp>BDP|1905590006853613726</stp>
        <tr r="E169" s="89"/>
      </tp>
      <tp t="s">
        <v>#N/A Requesting Data...888615507</v>
        <stp/>
        <stp>BDP|6445880414707894829</stp>
        <tr r="AA33" s="89"/>
        <tr r="Z33" s="89"/>
      </tp>
      <tp t="s">
        <v>#N/A Requesting Data...3152346119</v>
        <stp/>
        <stp>BDP|8781859390611325836</stp>
        <tr r="X12" s="338"/>
      </tp>
      <tp t="s">
        <v>#N/A Requesting Data...3556768976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6" s="2"/>
        <tr r="AQ7" s="2"/>
        <tr r="AQ8" s="2"/>
        <tr r="AB222" s="89"/>
        <tr r="AB223" s="89"/>
        <tr r="AB224" s="89"/>
        <tr r="AB225" s="89"/>
        <tr r="AB254" s="89"/>
      </tp>
      <tp t="s">
        <v>#N/A Requesting Data...1112607484</v>
        <stp/>
        <stp>BDP|9421627465539513045</stp>
        <tr r="E24" s="2"/>
        <tr r="E25" s="2"/>
        <tr r="D154" s="89"/>
      </tp>
      <tp t="s">
        <v>#N/A N/A</v>
        <stp/>
        <stp>BDP|2925650370332906175</stp>
        <tr r="AI29" s="1"/>
        <tr r="AI30" s="1"/>
      </tp>
      <tp t="s">
        <v>#N/A Requesting Data...3822179885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Data...3922177216</v>
        <stp/>
        <stp>BDP|6737719904352055316</stp>
        <tr r="AR9" s="2"/>
      </tp>
      <tp t="s">
        <v>#N/A Requesting Data...2547005027</v>
        <stp/>
        <stp>BDP|4552037620785435316</stp>
        <tr r="P33" s="338"/>
      </tp>
      <tp t="s">
        <v>#N/A Requesting Data...481710408</v>
        <stp/>
        <stp>BDP|7331318208674227083</stp>
        <tr r="Q17" s="338"/>
      </tp>
      <tp t="s">
        <v>#N/A N/A</v>
        <stp/>
        <stp>BDP|7522224882638423511</stp>
        <tr r="AF18" s="1"/>
      </tp>
      <tp t="s">
        <v>#N/A Requesting Data...2284051770</v>
        <stp/>
        <stp>BDP|1912350260220949454</stp>
        <tr r="AJ29" s="338"/>
        <tr r="AJ30" s="338"/>
      </tp>
      <tp t="s">
        <v>#N/A Requesting Data...3853507856</v>
        <stp/>
        <stp>BDP|5137251643354744701</stp>
        <tr r="L36" s="338"/>
        <tr r="H36" s="338"/>
      </tp>
      <tp t="s">
        <v>#N/A Requesting Data...3983986461</v>
        <stp/>
        <stp>BDP|6283111272633911397</stp>
        <tr r="AJ14" s="338"/>
        <tr r="AJ35" s="338"/>
      </tp>
      <tp t="e">
        <v>#N/A</v>
        <stp/>
        <stp>BDH|3187496916143966565</stp>
        <tr r="AU50" s="338"/>
        <tr r="AU46" s="338"/>
        <tr r="AU32" s="338"/>
        <tr r="AU8" s="338"/>
      </tp>
      <tp t="s">
        <v>#N/A Requesting Data...568068222</v>
        <stp/>
        <stp>BDP|7112967104169217777</stp>
        <tr r="P30" s="338"/>
      </tp>
      <tp t="s">
        <v>#N/A Requesting Data...1376459743</v>
        <stp/>
        <stp>BDP|5682063267492381124</stp>
        <tr r="S12" s="338"/>
      </tp>
      <tp t="s">
        <v>#N/A Requesting Data...2200047820</v>
        <stp/>
        <stp>BDP|1018734111515407205</stp>
        <tr r="F18" s="252"/>
      </tp>
      <tp t="s">
        <v>#N/A Requesting Data...4155087446</v>
        <stp/>
        <stp>BDP|4028930726656593970</stp>
        <tr r="AJ16" s="338"/>
        <tr r="AJ38" s="338"/>
        <tr r="AJ40" s="338"/>
      </tp>
      <tp t="s">
        <v>#N/A Requesting Data...3567938575</v>
        <stp/>
        <stp>BDP|9163195119900175972</stp>
        <tr r="C188" s="89"/>
      </tp>
      <tp t="s">
        <v>#N/A Requesting Data...2259100112</v>
        <stp/>
        <stp>BDP|1494500509740882420</stp>
        <tr r="D96" s="89"/>
      </tp>
      <tp t="s">
        <v>#N/A Requesting Data...3234890924</v>
        <stp/>
        <stp>BDP|8313925844516597346</stp>
        <tr r="AA40" s="89"/>
        <tr r="Z40" s="89"/>
      </tp>
      <tp t="s">
        <v>#N/A Requesting Data...1973808293</v>
        <stp/>
        <stp>BDP|3485044105441809296</stp>
        <tr r="L12" s="338"/>
        <tr r="J12" s="338"/>
      </tp>
      <tp t="s">
        <v>#N/A Requesting Data...2168402020</v>
        <stp/>
        <stp>BDP|7774064174301905182</stp>
        <tr r="T49" s="89"/>
      </tp>
      <tp t="s">
        <v>#N/A Requesting Data...2049537094</v>
        <stp/>
        <stp>BDP|6637641837380428351</stp>
        <tr r="D89" s="89"/>
      </tp>
      <tp t="e">
        <v>#N/A</v>
        <stp/>
        <stp>BDH|3603115523734174414</stp>
        <tr r="AN37" s="338"/>
      </tp>
      <tp t="s">
        <v>#N/A Requesting Data...634742178</v>
        <stp/>
        <stp>BDP|5822594247364117028</stp>
        <tr r="AD9" s="2"/>
        <tr r="V26" s="89"/>
      </tp>
      <tp t="s">
        <v>#N/A Requesting Data...3516139393</v>
        <stp/>
        <stp>BDP|2723076874625349028</stp>
        <tr r="M7" s="252"/>
      </tp>
      <tp t="s">
        <v>#N/A Requesting Data...1009476535</v>
        <stp/>
        <stp>BDP|6151840591302328521</stp>
        <tr r="V213" s="89"/>
      </tp>
      <tp t="s">
        <v>#N/A Real Time</v>
        <stp/>
        <stp>BDP|3543716739682864733|22</stp>
        <stp>MP US 09/19/25 C50 Equity</stp>
        <stp>QUOTED_CURRENCY_REALTIME</stp>
        <tr r="F242" s="89"/>
      </tp>
      <tp>
        <v>33.35</v>
        <stp/>
        <stp>BDP|14709653448625040347|22</stp>
        <stp>TSM US 07/17/26 C340 Equity</stp>
        <stp>ask</stp>
        <tr r="L19" s="89"/>
      </tp>
      <tp>
        <v>-7.1091055870056152E-2</v>
        <stp/>
        <stp>BDP|9340851764495106938|22</stp>
        <stp>AMAT US 01/23/26 P280 Equity</stp>
        <stp>theta_mid_rt</stp>
        <tr r="AN23" s="2"/>
      </tp>
      <tp>
        <v>15.83</v>
        <stp/>
        <stp>BDP|13708122924811862625|22</stp>
        <stp>TSM US 06/18/26 C380 Equity</stp>
        <stp>mid</stp>
        <tr r="L31" s="2"/>
        <tr r="L29" s="2"/>
      </tp>
      <tp>
        <v>199.4</v>
        <stp/>
        <stp>BDP|17027429052585223577|22</stp>
        <stp>RSP EQUITY</stp>
        <stp>LAST_PRICE</stp>
        <tr r="I5" s="1"/>
      </tp>
      <tp>
        <v>64.650000000000006</v>
        <stp/>
        <stp>BDP|18172808545737565366|22</stp>
        <stp>MP US Equity</stp>
        <stp>LAST_PRICE</stp>
        <tr r="S242" s="89"/>
        <tr r="S243" s="89"/>
      </tp>
      <tp t="s">
        <v>USD</v>
        <stp/>
        <stp>BDP|18426495895033002022|22</stp>
        <stp>NFLX US 03/20/26 P80 Equity</stp>
        <stp>QUOTED_CURRENCY_REALTIME</stp>
        <tr r="F188" s="89"/>
      </tp>
      <tp>
        <v>-0.24897412955760956</v>
        <stp/>
        <stp>BDP|12332095747128456494|22</stp>
        <stp>1OG6P 24700 Index</stp>
        <stp>DELTA_MID_RT</stp>
        <tr r="W153" s="89"/>
      </tp>
      <tp t="s">
        <v>#N/A Requesting Data...3284114101</v>
        <stp/>
        <stp>BDP|5033376349836196559</stp>
        <tr r="X29" s="338"/>
      </tp>
      <tp t="s">
        <v>#N/A Requesting Data...1903261596</v>
        <stp/>
        <stp>BDP|5906347697766862884</stp>
        <tr r="C21" s="2"/>
      </tp>
      <tp t="s">
        <v>#N/A Requesting Data...821738544</v>
        <stp/>
        <stp>BDP|3552512649496298558</stp>
        <tr r="M14" s="252"/>
      </tp>
      <tp t="s">
        <v>#N/A N/A</v>
        <stp/>
        <stp>BDP|6512582705651116331</stp>
        <tr r="D17" s="2"/>
        <tr r="C62" s="89"/>
      </tp>
      <tp t="s">
        <v>#N/A Requesting Data...4141770093</v>
        <stp/>
        <stp>BDP|8548403483194970146</stp>
        <tr r="AD22" s="2"/>
        <tr r="V55" s="89"/>
      </tp>
      <tp t="e">
        <v>#N/A</v>
        <stp/>
        <stp>BDH|3506691105474060025</stp>
        <tr r="AM9" s="338"/>
        <tr r="AM8" s="338"/>
      </tp>
      <tp t="s">
        <v>#N/A Requesting Data...383326876</v>
        <stp/>
        <stp>BDP|3243861311373893853</stp>
        <tr r="E27" s="2"/>
      </tp>
      <tp t="s">
        <v>#N/A Requesting Data...1840300436</v>
        <stp/>
        <stp>BDP|9570666606426496899</stp>
        <tr r="T26" s="2"/>
        <tr r="O7" s="89"/>
      </tp>
      <tp t="s">
        <v>#N/A Requesting Data...2184174575</v>
        <stp/>
        <stp>BDP|3758548566115413498</stp>
        <tr r="F13" s="2"/>
      </tp>
      <tp t="s">
        <v>#N/A N/A</v>
        <stp/>
        <stp>BDP|5889104764011396273</stp>
        <tr r="AI33" s="1"/>
        <tr r="AI34" s="1"/>
        <tr r="AI35" s="1"/>
      </tp>
      <tp t="s">
        <v>#N/A Requesting Data...3738321352</v>
        <stp/>
        <stp>BDP|5256432133392845134</stp>
        <tr r="C101" s="89"/>
      </tp>
      <tp t="s">
        <v>#N/A Requesting Data...1620274349</v>
        <stp/>
        <stp>BDP|7551465529835272566</stp>
        <tr r="N9" s="252"/>
        <tr r="N9" s="252"/>
      </tp>
      <tp t="s">
        <v>#N/A Requesting Data...2485626551</v>
        <stp/>
        <stp>BDP|1897815793981176051</stp>
        <tr r="AR16" s="2"/>
      </tp>
      <tp t="s">
        <v>#N/A N/A</v>
        <stp/>
        <stp>BDP|9828973103046090731</stp>
        <tr r="C82" s="89"/>
      </tp>
      <tp t="s">
        <v>#N/A Requesting Data...950245317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Data...3491106603</v>
        <stp/>
        <stp>BDP|7601159166158268985</stp>
        <tr r="S16" s="252"/>
      </tp>
      <tp t="s">
        <v>#N/A Requesting Data...1955101794</v>
        <stp/>
        <stp>BDP|3235511292777879969</stp>
        <tr r="X11" s="338"/>
      </tp>
      <tp t="s">
        <v>#N/A Requesting Data...2167194183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Data...3860188588</v>
        <stp/>
        <stp>BDP|1748256233439783899</stp>
        <tr r="T15" s="338"/>
        <tr r="T39" s="338"/>
      </tp>
      <tp t="s">
        <v>#N/A Requesting Data...684156161</v>
        <stp/>
        <stp>BDP|7660636101386198693</stp>
        <tr r="P15" s="338"/>
        <tr r="P39" s="338"/>
      </tp>
      <tp t="s">
        <v>#N/A Requesting Data...2453251588</v>
        <stp/>
        <stp>BDP|2272232279947205164</stp>
        <tr r="C254" s="89"/>
      </tp>
      <tp t="s">
        <v>#N/A Requesting Data...1191086744</v>
        <stp/>
        <stp>BDP|8463094131499939398</stp>
        <tr r="X18" s="338"/>
      </tp>
      <tp t="s">
        <v>#N/A Requesting Data...2914454639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Data...3489230475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Data...3069140147</v>
        <stp/>
        <stp>BDP|6241899226908646569</stp>
        <tr r="D42" s="446"/>
      </tp>
      <tp t="s">
        <v>#N/A Requesting Data...1278333386</v>
        <stp/>
        <stp>BDP|2974198673022627786</stp>
        <tr r="AK48" s="338"/>
        <tr r="AK49" s="338"/>
      </tp>
      <tp t="s">
        <v>#N/A Requesting Data...1500940102</v>
        <stp/>
        <stp>BDP|5183368778820171035</stp>
        <tr r="F45" s="446"/>
      </tp>
      <tp t="s">
        <v>#N/A Requesting Data...1683265225</v>
        <stp/>
        <stp>BDP|5678783394829319341</stp>
        <tr r="F29" s="2"/>
        <tr r="F31" s="2"/>
      </tp>
      <tp t="s">
        <v>#N/A N/A</v>
        <stp/>
        <stp>BDP|5223714776062803600</stp>
        <tr r="AC13" s="1"/>
      </tp>
      <tp t="s">
        <v>#N/A Requesting Data...3126161984</v>
        <stp/>
        <stp>BDP|3451935198061445399</stp>
        <tr r="E21" s="2"/>
      </tp>
      <tp t="s">
        <v>#N/A Requesting Data...3240959618</v>
        <stp/>
        <stp>BDP|7603021556517835487</stp>
        <tr r="AH52" s="338"/>
        <tr r="AH53" s="338"/>
        <tr r="AH54" s="338"/>
      </tp>
      <tp t="s">
        <v>#N/A Requesting Data...1416050597</v>
        <stp/>
        <stp>BDP|4388333855843269056</stp>
        <tr r="P10" s="252"/>
      </tp>
      <tp t="s">
        <v>#N/A Requesting Data...2871149427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Data...2780206995</v>
        <stp/>
        <stp>BDP|2790133807587110508</stp>
        <tr r="O10" s="252"/>
      </tp>
      <tp t="s">
        <v>#N/A Requesting Data...3881333419</v>
        <stp/>
        <stp>BDP|7819572028302453313</stp>
        <tr r="AA213" s="89"/>
        <tr r="Z213" s="89"/>
      </tp>
      <tp t="s">
        <v>#N/A Requesting Data...3749662836</v>
        <stp/>
        <stp>BDP|7513670475916134150</stp>
        <tr r="AG18" s="338"/>
      </tp>
      <tp t="s">
        <v>#N/A N/A</v>
        <stp/>
        <stp>BDP|5135037260523416154</stp>
        <tr r="AC22" s="2"/>
        <tr r="AC23" s="2"/>
      </tp>
      <tp t="s">
        <v>#N/A N/A</v>
        <stp/>
        <stp>BDP|9633924773914414208</stp>
        <tr r="AC4" s="2"/>
        <tr r="AC5" s="2"/>
      </tp>
      <tp t="s">
        <v>#N/A Requesting Data...1913076116</v>
        <stp/>
        <stp>BDP|9843491038236897916</stp>
        <tr r="C20" s="89"/>
      </tp>
      <tp t="s">
        <v>#N/A N/A</v>
        <stp/>
        <stp>BDP|9739406253298596110</stp>
        <tr r="AI19" s="1"/>
        <tr r="AI20" s="1"/>
      </tp>
      <tp t="e">
        <v>#N/A</v>
        <stp/>
        <stp>BDH|5006636946094386264</stp>
        <tr r="AN32" s="338"/>
        <tr r="AN31" s="338"/>
      </tp>
      <tp t="s">
        <v>#N/A N/A</v>
        <stp/>
        <stp>BDP|1821230040030393694</stp>
        <tr r="AQ18" s="2"/>
        <tr r="AQ17" s="2"/>
        <tr r="AQ16" s="2"/>
        <tr r="AQ15" s="2"/>
        <tr r="AB63" s="89"/>
        <tr r="AB62" s="89"/>
      </tp>
      <tp t="s">
        <v>#N/A Requesting Data...1638046748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8" s="2"/>
        <tr r="AQ30" s="2"/>
        <tr r="AQ29" s="2"/>
        <tr r="AQ31" s="2"/>
        <tr r="AQ32" s="2"/>
        <tr r="AB13" s="89"/>
        <tr r="AB14" s="89"/>
        <tr r="AB19" s="89"/>
        <tr r="AB195" s="89"/>
        <tr r="AB196" s="89"/>
        <tr r="AB197" s="89"/>
        <tr r="AB20" s="89"/>
      </tp>
      <tp t="s">
        <v>#N/A Requesting Data...3478424014</v>
        <stp/>
        <stp>BDP|8707806237397902583</stp>
        <tr r="S11" s="252"/>
      </tp>
      <tp t="s">
        <v>#N/A Requesting Data...897925656</v>
        <stp/>
        <stp>BDP|9939228331380883944</stp>
        <tr r="G11" s="446"/>
      </tp>
      <tp t="s">
        <v>#N/A N/A</v>
        <stp/>
        <stp>BDP|7072033161838356860</stp>
        <tr r="O75" s="89"/>
      </tp>
      <tp t="s">
        <v>#N/A Requesting Data...2460782074</v>
        <stp/>
        <stp>BDP|2267087599569280367</stp>
        <tr r="P34" s="338"/>
      </tp>
      <tp t="s">
        <v>#N/A Requesting Data...2111663566</v>
        <stp/>
        <stp>BDP|2620429521461757456</stp>
        <tr r="AK42" s="338"/>
      </tp>
      <tp t="s">
        <v>#N/A Requesting Data...650733667</v>
        <stp/>
        <stp>BDP|3955054348870254619</stp>
        <tr r="O27" s="89"/>
      </tp>
      <tp t="s">
        <v>#N/A Requesting Data...3139044668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Data...618637959</v>
        <stp/>
        <stp>BDP|8674052291765069567</stp>
        <tr r="Q50" s="338"/>
      </tp>
      <tp t="s">
        <v>#N/A Requesting Data...549627932</v>
        <stp/>
        <stp>BDP|1064581251341971141</stp>
        <tr r="C9" s="2"/>
      </tp>
      <tp t="e">
        <v>#N/A</v>
        <stp/>
        <stp>BDH|7115008845337432548</stp>
        <tr r="AU18" s="338"/>
      </tp>
      <tp t="s">
        <v>#N/A Requesting Data...437308485</v>
        <stp/>
        <stp>BDP|4452676106120108316</stp>
        <tr r="AA254" s="89"/>
        <tr r="Z254" s="89"/>
      </tp>
      <tp t="s">
        <v>#N/A N/A</v>
        <stp/>
        <stp>BDP|9167736870381302945</stp>
        <tr r="AV9" s="2"/>
        <tr r="R26" s="89"/>
      </tp>
      <tp>
        <v>16.5</v>
        <stp/>
        <stp>BDP|11372581848729563069|22</stp>
        <stp>META US 04/17/26 C690 Equity</stp>
        <stp>mid</stp>
        <tr r="L12" s="2"/>
      </tp>
      <tp>
        <v>31.52</v>
        <stp/>
        <stp>BDP|16757164580454265033|22</stp>
        <stp>MSFT US 03/20/26 P465 Equity</stp>
        <stp>mid</stp>
        <tr r="L21" s="2"/>
      </tp>
      <tp>
        <v>0.05</v>
        <stp/>
        <stp>BDP|10072792451967782103|22</stp>
        <stp>ASML US 01/23/26 P1200 Equity</stp>
        <stp>bid</stp>
        <tr r="K49" s="89"/>
      </tp>
      <tp t="s">
        <v>#N/A Requesting Data...1354598488</v>
        <stp/>
        <stp>BDP|3688604139137001352</stp>
        <tr r="O204" s="89"/>
      </tp>
      <tp t="s">
        <v>#N/A Requesting Data...1789439708</v>
        <stp/>
        <stp>BDP|6219652639352291374</stp>
        <tr r="D55" s="89"/>
      </tp>
      <tp t="s">
        <v>#N/A Requesting Data...2126935749</v>
        <stp/>
        <stp>BDP|7964758820092579227</stp>
        <tr r="AJ52" s="338"/>
        <tr r="AJ53" s="338"/>
        <tr r="AJ54" s="338"/>
      </tp>
      <tp t="s">
        <v>#N/A N/A</v>
        <stp/>
        <stp>BDP|6976223375119574839</stp>
        <tr r="K40" s="1"/>
      </tp>
      <tp t="s">
        <v>#N/A Requesting Data...2538527911</v>
        <stp/>
        <stp>BDP|9060205111721083990</stp>
        <tr r="AI48" s="338"/>
        <tr r="AI49" s="338"/>
        <tr r="AK48" s="338"/>
        <tr r="AK49" s="338"/>
      </tp>
      <tp t="s">
        <v>#N/A Requesting Data...3373144874</v>
        <stp/>
        <stp>BDP|8644058243408809607</stp>
        <tr r="V49" s="338"/>
      </tp>
      <tp t="s">
        <v>#N/A Requesting Data...663576353</v>
        <stp/>
        <stp>BDP|2721287269476965276</stp>
        <tr r="V35" s="338"/>
      </tp>
      <tp t="s">
        <v>#N/A Requesting Data...2618850828</v>
        <stp/>
        <stp>BDP|1927755561564288678</stp>
        <tr r="G45" s="446"/>
      </tp>
      <tp t="s">
        <v>#N/A Requesting Data...3094134540</v>
        <stp/>
        <stp>BDP|3284843281913962260</stp>
        <tr r="C8" s="2"/>
      </tp>
      <tp t="s">
        <v>#N/A Requesting Data...1746732710</v>
        <stp/>
        <stp>BDP|5871188314703840456</stp>
        <tr r="L11" s="338"/>
        <tr r="J11" s="338"/>
      </tp>
      <tp t="s">
        <v>#N/A Requesting Data...4212851314</v>
        <stp/>
        <stp>BDP|5728718823292467081</stp>
        <tr r="N62" s="89"/>
        <tr r="S17" s="2"/>
        <tr r="N63" s="89"/>
        <tr r="S18" s="2"/>
        <tr r="S4" s="2"/>
        <tr r="S6" s="2"/>
        <tr r="S8" s="2"/>
        <tr r="S10" s="2"/>
        <tr r="S12" s="2"/>
        <tr r="S13" s="2"/>
        <tr r="S14" s="2"/>
        <tr r="S15" s="2"/>
        <tr r="S16" s="2"/>
        <tr r="S19" s="2"/>
        <tr r="S21" s="2"/>
        <tr r="S22" s="2"/>
        <tr r="S23" s="2"/>
        <tr r="S24" s="2"/>
        <tr r="S30" s="2"/>
        <tr r="S31" s="2"/>
        <tr r="S32" s="2"/>
        <tr r="S26" s="2"/>
        <tr r="S27" s="2"/>
        <tr r="S25" s="2"/>
        <tr r="S28" s="2"/>
        <tr r="S29" s="2"/>
        <tr r="S9" s="2"/>
        <tr r="S5" s="2"/>
        <tr r="S7" s="2"/>
        <tr r="S20" s="2"/>
        <tr r="S11" s="2"/>
        <tr r="L17" s="1"/>
        <tr r="L12" s="1"/>
        <tr r="L13" s="1"/>
        <tr r="L14" s="1"/>
        <tr r="L15" s="1"/>
        <tr r="L16" s="1"/>
        <tr r="L18" s="1"/>
        <tr r="L19" s="1"/>
        <tr r="L20" s="1"/>
        <tr r="L21" s="1"/>
        <tr r="L22" s="1"/>
        <tr r="L23" s="1"/>
        <tr r="L24" s="1"/>
        <tr r="L27" s="1"/>
        <tr r="L28" s="1"/>
        <tr r="L29" s="1"/>
        <tr r="L30" s="1"/>
        <tr r="L31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N81" s="89"/>
        <tr r="N75" s="89"/>
        <tr r="N101" s="89"/>
        <tr r="N102" s="89"/>
        <tr r="N160" s="89"/>
        <tr r="N76" s="89"/>
        <tr r="N82" s="89"/>
        <tr r="N95" s="89"/>
        <tr r="N178" s="89"/>
        <tr r="N7" s="89"/>
        <tr r="N8" s="89"/>
        <tr r="N13" s="89"/>
        <tr r="N14" s="89"/>
        <tr r="N19" s="89"/>
        <tr r="N20" s="89"/>
        <tr r="N26" s="89"/>
        <tr r="N33" s="89"/>
        <tr r="N34" s="89"/>
        <tr r="N39" s="89"/>
        <tr r="N40" s="89"/>
        <tr r="N49" s="89"/>
        <tr r="N50" s="89"/>
        <tr r="N55" s="89"/>
        <tr r="N56" s="89"/>
        <tr r="N68" s="89"/>
        <tr r="N69" s="89"/>
        <tr r="N153" s="89"/>
        <tr r="N154" s="89"/>
        <tr r="N169" s="89"/>
        <tr r="N170" s="89"/>
        <tr r="N171" s="89"/>
        <tr r="N179" s="89"/>
        <tr r="N180" s="89"/>
        <tr r="N186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</tp>
      <tp t="s">
        <v>#N/A Requesting Data...3390665241</v>
        <stp/>
        <stp>BDP|5145625159843494775</stp>
        <tr r="P10" s="338"/>
      </tp>
      <tp t="s">
        <v>#N/A Requesting Data...3738098538</v>
        <stp/>
        <stp>BDP|9919677548080032985</stp>
        <tr r="G44" s="446"/>
      </tp>
      <tp t="s">
        <v>#N/A Requesting Data...2239851057</v>
        <stp/>
        <stp>BDP|6059442769123214510</stp>
        <tr r="O249" s="89"/>
      </tp>
      <tp t="s">
        <v>#N/A Requesting Data...4250295254</v>
        <stp/>
        <stp>BDP|3371693940045698635</stp>
        <tr r="V123" s="89"/>
      </tp>
      <tp t="s">
        <v>#N/A Requesting Data...1980427165</v>
        <stp/>
        <stp>BDP|8428913731466273690</stp>
        <tr r="L8" s="252"/>
        <tr r="L8" s="252"/>
      </tp>
      <tp t="s">
        <v>#N/A Requesting Data...3634527671</v>
        <stp/>
        <stp>BDP|6223131064210098392</stp>
        <tr r="V14" s="338"/>
      </tp>
      <tp t="s">
        <v>#N/A Requesting Data...2903648856</v>
        <stp/>
        <stp>BDP|3910223521378009966</stp>
        <tr r="N11" s="252"/>
        <tr r="N11" s="252"/>
      </tp>
      <tp t="s">
        <v>#N/A Requesting Data...1499831831</v>
        <stp/>
        <stp>BDP|7626683210287428574</stp>
        <tr r="T212" s="89"/>
      </tp>
      <tp t="s">
        <v>#N/A Requesting Data...1455220296</v>
        <stp/>
        <stp>BDP|5024341343609931931</stp>
        <tr r="AJ41" s="338"/>
        <tr r="AJ42" s="338"/>
      </tp>
      <tp t="s">
        <v>#N/A Requesting Data...583272065</v>
        <stp/>
        <stp>BDP|2109542547769740886</stp>
        <tr r="AI29" s="338"/>
        <tr r="AK29" s="338"/>
      </tp>
      <tp t="s">
        <v>#N/A Requesting Data...4128556297</v>
        <stp/>
        <stp>BDP|3213171497998766175</stp>
        <tr r="E69" s="89"/>
      </tp>
      <tp t="s">
        <v>#N/A N/A</v>
        <stp/>
        <stp>BDP|6172070853435387447</stp>
        <tr r="AB31" s="1"/>
        <tr r="AB32" s="1"/>
      </tp>
      <tp t="s">
        <v>#N/A Requesting Data...4037404374</v>
        <stp/>
        <stp>BDP|4570633414290062103</stp>
        <tr r="E26" s="2"/>
      </tp>
      <tp t="s">
        <v>#N/A Requesting Data...2267847754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Data...4215918392</v>
        <stp/>
        <stp>BDP|5838195133865121000</stp>
        <tr r="C211" s="89"/>
      </tp>
      <tp t="s">
        <v>#N/A Requesting Data...1708045379</v>
        <stp/>
        <stp>BDP|8497933515926378424</stp>
        <tr r="C22" s="2"/>
      </tp>
      <tp t="s">
        <v>#N/A Requesting Data...2554607889</v>
        <stp/>
        <stp>BDP|9949348843808982448</stp>
        <tr r="E153" s="89"/>
      </tp>
      <tp t="s">
        <v>#N/A Requesting Data...1562007239</v>
        <stp/>
        <stp>BDP|4880433377190901556</stp>
        <tr r="E115" s="89"/>
      </tp>
      <tp t="s">
        <v>#N/A N/A</v>
        <stp/>
        <stp>BDP|9807525995856747186</stp>
        <tr r="R178" s="89"/>
      </tp>
      <tp t="s">
        <v>#N/A N/A</v>
        <stp/>
        <stp>BDP|1404583355913893002</stp>
        <tr r="AB18" s="1"/>
      </tp>
      <tp t="s">
        <v>#N/A Requesting Data...3794661066</v>
        <stp/>
        <stp>BDP|3519061147724655148</stp>
        <tr r="AJ31" s="338"/>
        <tr r="AJ32" s="338"/>
      </tp>
      <tp t="s">
        <v>#N/A Requesting Data...2985242661</v>
        <stp/>
        <stp>BDP|6539167047850003131</stp>
        <tr r="V235" s="89"/>
      </tp>
      <tp t="s">
        <v>#N/A Requesting Data...2798738507</v>
        <stp/>
        <stp>BDP|3213624428062740781</stp>
        <tr r="T34" s="89"/>
      </tp>
      <tp t="s">
        <v>#N/A Requesting Data...1047264908</v>
        <stp/>
        <stp>BDP|9125333988758543887</stp>
        <tr r="AJ17" s="338"/>
        <tr r="AJ18" s="338"/>
      </tp>
      <tp t="s">
        <v>#N/A Requesting Data...2695905580</v>
        <stp/>
        <stp>BDP|6725335069146326790</stp>
        <tr r="AR21" s="2"/>
      </tp>
      <tp t="s">
        <v>#N/A Requesting Data...1131614901</v>
        <stp/>
        <stp>BDP|7134890756011396990</stp>
        <tr r="L45" s="338"/>
        <tr r="J45" s="338"/>
      </tp>
      <tp t="s">
        <v>#N/A Requesting Data...4012504959</v>
        <stp/>
        <stp>BDP|2307633905712170406</stp>
        <tr r="P46" s="338"/>
      </tp>
      <tp t="e">
        <v>#N/A</v>
        <stp/>
        <stp>BDH|2062790643532638181</stp>
        <tr r="AS48" s="338"/>
        <tr r="AS49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35.6</v>
        <stp/>
        <stp>BDP|14184441232848248848|22</stp>
        <stp>TSM US 03/20/26 C300 Equity</stp>
        <stp>bid</stp>
        <tr r="P32" s="2"/>
      </tp>
      <tp t="s">
        <v>USD</v>
        <stp/>
        <stp>BDP|13391010946162052310|22</stp>
        <stp>META US 04/17/26 P600 Equity</stp>
        <stp>QUOTED_CURRENCY_REALTIME</stp>
        <tr r="G13" s="2"/>
        <tr r="F180" s="89"/>
      </tp>
      <tp t="s">
        <v>#N/A N/A</v>
        <stp/>
        <stp>BDP|1658139149095212240</stp>
        <tr r="AC15" s="1"/>
      </tp>
      <tp t="s">
        <v>#N/A Requesting Data...2282189297</v>
        <stp/>
        <stp>BDP|2288489672854050620</stp>
        <tr r="E12" s="2"/>
      </tp>
      <tp t="s">
        <v>#N/A N/A</v>
        <stp/>
        <stp>BDP|4669365388388290407</stp>
        <tr r="K5" s="1"/>
      </tp>
      <tp t="s">
        <v>#N/A Requesting Data...2324010399</v>
        <stp/>
        <stp>BDP|1294995983457020437</stp>
        <tr r="E222" s="89"/>
      </tp>
      <tp t="s">
        <v>#N/A Requesting Data...498960974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Requesting Data...1402439654</v>
        <stp/>
        <stp>BDP|7919916036548158668</stp>
        <tr r="AI9" s="338"/>
        <tr r="AK9" s="338"/>
      </tp>
      <tp t="s">
        <v>#N/A Requesting Data...976258082</v>
        <stp/>
        <stp>BDP|5970596063913968630</stp>
        <tr r="AG30" s="338"/>
      </tp>
      <tp t="s">
        <v>#N/A Requesting Data...2778720583</v>
        <stp/>
        <stp>BDP|6103121895225663895</stp>
        <tr r="D8" s="89"/>
      </tp>
      <tp t="s">
        <v>#N/A Requesting Data...2092016108</v>
        <stp/>
        <stp>BDP|7170630364126625297</stp>
        <tr r="S52" s="338"/>
      </tp>
      <tp t="s">
        <v>#N/A N/A</v>
        <stp/>
        <stp>BDP|7115677759757668004</stp>
        <tr r="AC37" s="1"/>
        <tr r="AC38" s="1"/>
      </tp>
      <tp t="s">
        <v>#N/A Requesting Data...3116993307</v>
        <stp/>
        <stp>BDP|3754293213215371607</stp>
        <tr r="AB17" s="1"/>
        <tr r="AB16" s="1"/>
        <tr r="F5" s="446"/>
        <tr r="F6" s="446"/>
      </tp>
      <tp t="s">
        <v>#N/A Requesting Data...2126869922</v>
        <stp/>
        <stp>BDP|2213180314153111209</stp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Data...1523847825</v>
        <stp/>
        <stp>BDP|9390709548618762108</stp>
        <tr r="N6" s="252"/>
        <tr r="N6" s="252"/>
      </tp>
      <tp t="s">
        <v>#N/A Requesting Data...1936626227</v>
        <stp/>
        <stp>BDP|7796453577674837314</stp>
        <tr r="U44" s="338"/>
      </tp>
      <tp t="s">
        <v>#N/A Requesting Data...3989639641</v>
        <stp/>
        <stp>BDP|7961266924697349349</stp>
        <tr r="X36" s="338"/>
      </tp>
      <tp t="s">
        <v>#N/A Requesting Data...1965238115</v>
        <stp/>
        <stp>BDP|7659781264157478228</stp>
        <tr r="D95" s="89"/>
      </tp>
      <tp t="s">
        <v>#N/A Requesting Data...2183854528</v>
        <stp/>
        <stp>BDP|7777047645317887721</stp>
        <tr r="V145" s="89"/>
      </tp>
      <tp t="s">
        <v>#N/A Requesting Data...1215220921</v>
        <stp/>
        <stp>BDP|2793585885519216544</stp>
        <tr r="L19" s="252"/>
        <tr r="L19" s="252"/>
      </tp>
      <tp t="s">
        <v>#N/A Requesting Data...1863496810</v>
        <stp/>
        <stp>BDP|8230930209200509213</stp>
        <tr r="X30" s="338"/>
      </tp>
      <tp t="s">
        <v>#N/A Requesting Data...2351937996</v>
        <stp/>
        <stp>BDP|2534386141217605163</stp>
        <tr r="V233" s="89"/>
      </tp>
      <tp t="s">
        <v>#N/A Requesting Data...3019738518</v>
        <stp/>
        <stp>BDP|1490948379404500803</stp>
        <tr r="D153" s="89"/>
      </tp>
      <tp t="e">
        <v>#N/A</v>
        <stp/>
        <stp>BDH|4845256059166898609</stp>
        <tr r="AP54" s="338"/>
        <tr r="AP53" s="338"/>
        <tr r="AP52" s="338"/>
      </tp>
      <tp t="s">
        <v>#N/A N/A</v>
        <stp/>
        <stp>BDP|2987243114927275566</stp>
        <tr r="E63" s="89"/>
      </tp>
      <tp t="s">
        <v>#N/A Requesting Data...1847134408</v>
        <stp/>
        <stp>BDP|6169555274102368514</stp>
        <tr r="S10" s="338"/>
      </tp>
      <tp t="s">
        <v>#N/A Requesting Data...1282825821</v>
        <stp/>
        <stp>BDP|2465258476870377467</stp>
        <tr r="AA122" s="89"/>
        <tr r="Z122" s="89"/>
      </tp>
      <tp t="s">
        <v>#N/A Requesting Data...3444574609</v>
        <stp/>
        <stp>BDP|8020332285295353568</stp>
        <tr r="P32" s="338"/>
      </tp>
      <tp t="s">
        <v>#N/A N/A</v>
        <stp/>
        <stp>BDP|3712593953265415595</stp>
        <tr r="K19" s="1"/>
      </tp>
      <tp t="s">
        <v>#N/A Requesting Data...3123487819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Data...2223332472</v>
        <stp/>
        <stp>BDP|5888175656914033689</stp>
        <tr r="AA28" s="2"/>
        <tr r="AA30" s="2"/>
        <tr r="T13" s="89"/>
      </tp>
      <tp t="s">
        <v>#N/A Requesting Data...2458668425</v>
        <stp/>
        <stp>BDP|2411087539537646522</stp>
        <tr r="AD32" s="2"/>
      </tp>
      <tp t="s">
        <v>#N/A Requesting Data...4126691861</v>
        <stp/>
        <stp>BDP|5670533016900091220</stp>
        <tr r="C34" s="89"/>
      </tp>
      <tp t="s">
        <v>#N/A Requesting Data...4270872891</v>
        <stp/>
        <stp>BDP|6109913190467097261</stp>
        <tr r="AG32" s="338"/>
        <tr r="AG46" s="338"/>
        <tr r="AG50" s="338"/>
        <tr r="AG8" s="338"/>
      </tp>
      <tp t="s">
        <v>#N/A Requesting Data...2708679552</v>
        <stp/>
        <stp>BDP|5764387578793708167</stp>
        <tr r="M20" s="252"/>
      </tp>
      <tp t="s">
        <v>#N/A N/A</v>
        <stp/>
        <stp>BDP|6515604110606525460</stp>
        <tr r="AC43" s="1"/>
      </tp>
      <tp t="s">
        <v>#N/A Requesting Data...912226901</v>
        <stp/>
        <stp>BDP|3944606729323768717</stp>
        <tr r="D39" s="89"/>
      </tp>
      <tp t="s">
        <v>#N/A Requesting Data...2793541310</v>
        <stp/>
        <stp>BDP|2834421045940985100</stp>
        <tr r="E186" s="89"/>
      </tp>
      <tp t="s">
        <v>#N/A Requesting Data...3374682602</v>
        <stp/>
        <stp>BDP|3469315206342563101</stp>
        <tr r="AA251" s="89"/>
        <tr r="Z251" s="89"/>
      </tp>
      <tp t="s">
        <v>#N/A Requesting Data...3737007191</v>
        <stp/>
        <stp>BDP|6555173421444373279</stp>
        <tr r="AI13" s="338"/>
      </tp>
      <tp t="s">
        <v>#N/A Requesting Data...2780458159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Data...2453044978</v>
        <stp/>
        <stp>BDP|6247087616267870331</stp>
        <tr r="AH29" s="338"/>
        <tr r="AH30" s="338"/>
      </tp>
      <tp t="s">
        <v>#N/A Requesting Data...3586658805</v>
        <stp/>
        <stp>BDP|4307029492407618910</stp>
        <tr r="AK45" s="338"/>
      </tp>
      <tp t="s">
        <v>#N/A Requesting Data...1911403304</v>
        <stp/>
        <stp>BDP|8245865345547421013</stp>
        <tr r="AC23" s="1"/>
        <tr r="AC24" s="1"/>
        <tr r="D30" s="446"/>
      </tp>
      <tp t="s">
        <v>#N/A Requesting Data...3795303008</v>
        <stp/>
        <stp>BDP|4355758138881380299</stp>
        <tr r="T178" s="89"/>
      </tp>
      <tp t="s">
        <v>#N/A Requesting Data...3872515502</v>
        <stp/>
        <stp>BDP|7283217290158408739</stp>
        <tr r="T249" s="89"/>
      </tp>
      <tp t="s">
        <v>#N/A Requesting Data...3373780251</v>
        <stp/>
        <stp>BDP|1133269159056923320</stp>
        <tr r="Q42" s="338"/>
      </tp>
      <tp t="s">
        <v>#N/A N/A</v>
        <stp/>
        <stp>BDP|8680549524655746940</stp>
        <tr r="R250" s="89"/>
      </tp>
      <tp>
        <v>73.81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444.11</v>
        <stp/>
        <stp>BDP|9988051122657863096|22</stp>
        <stp>MSFT US Equity</stp>
        <stp>LAST_PRICE</stp>
        <tr r="Z21" s="2"/>
        <tr r="Z19" s="2"/>
        <tr r="Z20" s="2"/>
        <tr r="S235" s="89"/>
        <tr r="S249" s="89"/>
      </tp>
      <tp>
        <v>36.5</v>
        <stp/>
        <stp>BDP|680728060256356434|22</stp>
        <stp>TSM US 03/20/26 C300 Equity</stp>
        <stp>ask</stp>
        <tr r="Q32" s="2"/>
      </tp>
      <tp>
        <v>0.01</v>
        <stp/>
        <stp>BDP|15651630444215172509|22</stp>
        <stp>TSM US 01/16/26 P315 Equity</stp>
        <stp>ask</stp>
        <tr r="L197" s="89"/>
      </tp>
      <tp>
        <v>-0.10561688244342804</v>
        <stp/>
        <stp>BDP|12098786877158670568|22</stp>
        <stp>TSM US 06/18/26 C340 Equity</stp>
        <stp>theta_mid_rt</stp>
        <tr r="AN30" s="2"/>
        <tr r="AN28" s="2"/>
      </tp>
      <tp>
        <v>444.11</v>
        <stp/>
        <stp>BDP|1720488993946020104|22</stp>
        <stp>MSFT Equity</stp>
        <stp>LAST PRICE</stp>
        <tr r="G8" s="338"/>
        <tr r="G9" s="338"/>
      </tp>
      <tp>
        <v>83.97</v>
        <stp/>
        <stp>BDP|8547520241916509834|22</stp>
        <stp>COPX Equity</stp>
        <stp>LAST_PRICE</stp>
        <tr r="I18" s="1"/>
      </tp>
      <tp>
        <v>0.04</v>
        <stp/>
        <stp>BDP|12642213475526475226|22</stp>
        <stp>QQQ US 01/21/26 P616 Equity</stp>
        <stp>bid</stp>
        <tr r="K76" s="89"/>
        <tr r="K81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5" s="2"/>
      </tp>
      <tp t="s">
        <v>USD</v>
        <stp/>
        <stp>BDP|17268974826636663743|22</stp>
        <stp>RKT US 05/15/26 C25 Equity</stp>
        <stp>QUOTED_CURRENCY_REALTIME</stp>
        <tr r="F39" s="89"/>
      </tp>
      <tp>
        <v>32.479999999999997</v>
        <stp/>
        <stp>BDP|12595944397153100458|22</stp>
        <stp>META US 04/17/26 P600 Equity</stp>
        <stp>mid</stp>
        <tr r="L13" s="2"/>
      </tp>
      <tp>
        <v>9122.9500000000007</v>
        <stp/>
        <stp>BDP|8345363860153837789|22</stp>
        <stp>HSCEI Index</stp>
        <stp>LAST_PRICE</stp>
        <tr r="H19" s="252"/>
        <tr r="H19" s="252"/>
      </tp>
      <tp>
        <v>2.57</v>
        <stp/>
        <stp>BDP|16635244585526588457|22</stp>
        <stp>MRVL US 03/20/26 P70 Equity</stp>
        <stp>mid</stp>
        <tr r="L18" s="2"/>
      </tp>
      <tp>
        <v>17.25</v>
        <stp/>
        <stp>BDP|11549499930516457816|22</stp>
        <stp>AVGO US 06/18/26 C410 Equity</stp>
        <stp>bid</stp>
        <tr r="P6" s="2"/>
        <tr r="P7" s="2"/>
        <tr r="K222" s="89"/>
      </tp>
      <tp>
        <v>8.82</v>
        <stp/>
        <stp>BDP|16199323523634865039|22</stp>
        <stp>MRVL US 03/20/26 P85 Equity</stp>
        <stp>mid</stp>
        <tr r="L15" s="2"/>
      </tp>
      <tp>
        <v>34.799999999999997</v>
        <stp/>
        <stp>BDP|17652529992752880187|22</stp>
        <stp>AVGO US 06/18/26 C350 Equity</stp>
        <stp>bid</stp>
        <tr r="P8" s="2"/>
        <tr r="K223" s="89"/>
      </tp>
      <tp t="s">
        <v>#N/A N/A</v>
        <stp/>
        <stp>BDP|12982360288409292275|22</stp>
        <stp>QQQ US 01/21/26 P614 Equity</stp>
        <stp>bid</stp>
        <tr r="K82" s="89"/>
      </tp>
      <tp>
        <v>0.3</v>
        <stp/>
        <stp>BDP|15901604230708554053|22</stp>
        <stp>ASHR US 02/20/26 C35 Equity</stp>
        <stp>mid</stp>
        <tr r="L5" s="2"/>
        <tr r="L4" s="2"/>
      </tp>
      <tp>
        <v>5.8</v>
        <stp/>
        <stp>BDP|18169547819762494862|22</stp>
        <stp>MSFT US 03/20/26 C490 Equity</stp>
        <stp>mid</stp>
        <tr r="L19" s="2"/>
        <tr r="L20" s="2"/>
      </tp>
      <tp t="s">
        <v>#N/A Real Time</v>
        <stp/>
        <stp>BDP|12739925640024976755|22</stp>
        <stp>NVDA US 10/03/25 P160 Equity</stp>
        <stp>QUOTED_CURRENCY_REALTIME</stp>
        <tr r="F253" s="89"/>
      </tp>
      <tp t="s">
        <v>USD</v>
        <stp/>
        <stp>BDP|14649358559893085324|22</stp>
        <stp>AVGO US 06/18/26 C350 Equity</stp>
        <stp>QUOTED_CURRENCY_REALTIME</stp>
        <tr r="G8" s="2"/>
        <tr r="F223" s="89"/>
      </tp>
      <tp>
        <v>21.02</v>
        <stp/>
        <stp>BDP|13045517909567750209|22</stp>
        <stp>META US 04/17/26 P570 Equity</stp>
        <stp>mid</stp>
        <tr r="L14" s="2"/>
      </tp>
      <tp>
        <v>2.61</v>
        <stp/>
        <stp>BDP|15925931344332195569|22</stp>
        <stp>MRVL US 03/20/26 P70 Equity</stp>
        <stp>ask</stp>
        <tr r="L63" s="89"/>
        <tr r="Q18" s="2"/>
      </tp>
      <tp>
        <v>8.75</v>
        <stp/>
        <stp>BDP|10246542437065037496|22</stp>
        <stp>MRVL US 03/20/26 P85 Equity</stp>
        <stp>bid</stp>
        <tr r="P15" s="2"/>
      </tp>
      <tp>
        <v>0.01</v>
        <stp/>
        <stp>BDP|12180772487662365704|22</stp>
        <stp>QQQ US 01/21/26 P614 Equity</stp>
        <stp>ask</stp>
        <tr r="L82" s="89"/>
      </tp>
      <tp>
        <v>1.66</v>
        <stp/>
        <stp>BDP|10445519633806217931|22</stp>
        <stp>QQQ US 01/15/26 P623 Equity</stp>
        <stp>bid</stp>
        <tr r="K68" s="89"/>
      </tp>
      <tp>
        <v>15.3</v>
        <stp/>
        <stp>BDP|982929759879592273|22</stp>
        <stp>TSM US 06/18/26 C380 Equity</stp>
        <stp>bid</stp>
        <tr r="P31" s="2"/>
        <tr r="P29" s="2"/>
        <tr r="K14" s="89"/>
      </tp>
      <tp>
        <v>6.1</v>
        <stp/>
        <stp>BDP|12289700020985263311|22</stp>
        <stp>MRVL US 03/20/26 P80 Equity</stp>
        <stp>bid</stp>
        <tr r="K62" s="89"/>
        <tr r="P17" s="2"/>
      </tp>
      <tp>
        <v>685.95180000000005</v>
        <stp/>
        <stp>BDP|12318182968788510555|22</stp>
        <stp>NDEUCHF Index</stp>
        <stp>LAST_PRICE</stp>
        <tr r="H16" s="252"/>
        <tr r="H16" s="252"/>
      </tp>
      <tp>
        <v>0.09</v>
        <stp/>
        <stp>BDP|17948842076370571403|22</stp>
        <stp>AMAT US 01/23/26 P280 Equity</stp>
        <stp>mid</stp>
        <tr r="L23" s="2"/>
      </tp>
      <tp t="s">
        <v>#N/A Real Time</v>
        <stp/>
        <stp>BDP|6010746088935642482|22</stp>
        <stp>MP US 09/19/25 P46 Equity</stp>
        <stp>QUOTED_CURRENCY_REALTIME</stp>
        <tr r="F243" s="89"/>
      </tp>
      <tp t="s">
        <v>#N/A Real Time</v>
        <stp/>
        <stp>BDP|16404463340027044899|22</stp>
        <stp>META US 10/03/25 P730 Equity</stp>
        <stp>ask</stp>
        <tr r="L252" s="89"/>
      </tp>
      <tp>
        <v>444.11</v>
        <stp/>
        <stp>BDP|1912830234697829517|22</stp>
        <stp>MSFT Equity</stp>
        <stp>LAST_PRICE</stp>
        <tr r="I23" s="1"/>
        <tr r="I24" s="1"/>
      </tp>
      <tp>
        <v>2.72</v>
        <stp/>
        <stp>BDP|13025211079997579337|22</stp>
        <stp>QQQ US 01/23/26 P615 Equity</stp>
        <stp>ask</stp>
        <tr r="L75" s="89"/>
      </tp>
      <tp>
        <v>12.8</v>
        <stp/>
        <stp>BDP|10919516749140731717|22</stp>
        <stp>GDX US 09/18/26 C105 Equity</stp>
        <stp>bid</stp>
        <tr r="P26" s="2"/>
        <tr r="K7" s="89"/>
      </tp>
      <tp>
        <v>104.5</v>
        <stp/>
        <stp>BDP|11511261369815685982|22</stp>
        <stp>QQQE EQUITY</stp>
        <stp>LAST_PRICE</stp>
        <tr r="I7" s="1"/>
      </tp>
      <tp>
        <v>85.36</v>
        <stp/>
        <stp>BDP|8263106965958046051|22</stp>
        <stp>NFLX US Equity</stp>
        <stp>LAST_PRICE</stp>
        <tr r="S186" s="89"/>
        <tr r="S187" s="89"/>
        <tr r="S188" s="89"/>
      </tp>
      <tp>
        <v>6.95</v>
        <stp/>
        <stp>BDP|12374218908081165086|22</stp>
        <stp>NFLX US 03/20/26 P90 Equity</stp>
        <stp>ask</stp>
        <tr r="L187" s="89"/>
      </tp>
      <tp>
        <v>-0.27440023422241211</v>
        <stp/>
        <stp>BDP|6852050318923921669|22</stp>
        <stp>NFLX US 03/20/26 P80 Equity</stp>
        <stp>DELTA_MID_RT</stp>
        <tr r="W188" s="89"/>
      </tp>
      <tp t="s">
        <v>#N/A N/A</v>
        <stp/>
        <stp>BDP|13983178372231211717|22</stp>
        <stp>TSM US 01/16/26 P315 Equity</stp>
        <stp>bid</stp>
        <tr r="K197" s="89"/>
      </tp>
      <tp t="s">
        <v>#N/A N/A</v>
        <stp/>
        <stp>BDP|47883857911709246</stp>
        <tr r="AV26" s="2"/>
        <tr r="AV27" s="2"/>
        <tr r="R7" s="89"/>
        <tr r="R8" s="89"/>
      </tp>
      <tp t="s">
        <v>#N/A Requesting Data...918294760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BDP|12112331533799678762|22</stp>
        <stp>SNDK US 02/20/26 C500 Equity</stp>
        <stp>QUOTED_CURRENCY_REALTIME</stp>
        <tr r="G9" s="2"/>
        <tr r="F26" s="89"/>
      </tp>
      <tp>
        <v>20.9</v>
        <stp/>
        <stp>BDP|10240673035974561197|22</stp>
        <stp>META US 04/17/26 P570 Equity</stp>
        <stp>bid</stp>
        <tr r="P14" s="2"/>
      </tp>
      <tp>
        <v>-3.0881360173225403E-2</v>
        <stp/>
        <stp>BDP|7284956293389292495|22</stp>
        <stp>ASML US 01/23/26 P1100 Equity</stp>
        <stp>DELTA_MID_RT</stp>
        <tr r="W50" s="89"/>
      </tp>
      <tp>
        <v>4.13</v>
        <stp/>
        <stp>BDP|14841963169371507253|22</stp>
        <stp>MRVL US 03/20/26 P75 Equity</stp>
        <stp>mid</stp>
        <tr r="L16" s="2"/>
      </tp>
      <tp>
        <v>247.65</v>
        <stp/>
        <stp>BDP|13852632459561529635|22</stp>
        <stp>AAPL EQUITY</stp>
        <stp>LAST_PRICE</stp>
        <tr r="C6" s="1"/>
      </tp>
      <tp>
        <v>36811.67</v>
        <stp/>
        <stp>BDP|4029547894834693880|22</stp>
        <stp>TXIN0UNU Index</stp>
        <stp>LAST_PRICE</stp>
        <tr r="H10" s="252"/>
        <tr r="H10" s="252"/>
      </tp>
      <tp>
        <v>-13.912442207336426</v>
        <stp/>
        <stp>BDP|4785474549008730410|22</stp>
        <stp>1OG6P 25000 Index</stp>
        <stp>theta_mid_rt</stp>
        <tr r="AN24" s="2"/>
        <tr r="AN25" s="2"/>
      </tp>
      <tp t="s">
        <v>#N/A Real Time</v>
        <stp/>
        <stp>BDP|12302441145117000313|22</stp>
        <stp>MSFT US 10/03/25 P485 Equity</stp>
        <stp>QUOTED_CURRENCY_REALTIME</stp>
        <tr r="F249" s="89"/>
      </tp>
      <tp>
        <v>173.88</v>
        <stp/>
        <stp>BDP|8523820006929361112|22</stp>
        <stp>ORCL US Equity</stp>
        <stp>LAST_PRICE</stp>
        <tr r="S250" s="89"/>
      </tp>
      <tp>
        <v>527.57000000000005</v>
        <stp/>
        <stp>BDP|9828940858298145952|22</stp>
        <stp>MA Equity</stp>
        <stp>LAST PRICE</stp>
        <tr r="G16" s="338"/>
        <tr r="G38" s="338"/>
        <tr r="G40" s="338"/>
      </tp>
      <tp>
        <v>162.28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BDP|13270901624241508025|22</stp>
        <stp>AMAT US 01/23/26 P280 Equity</stp>
        <stp>QUOTED_CURRENCY_REALTIME</stp>
        <tr r="G23" s="2"/>
        <tr r="F56" s="89"/>
      </tp>
      <tp>
        <v>4.2</v>
        <stp/>
        <stp>BDP|17311283871303777118|22</stp>
        <stp>MRVL US 03/20/26 P75 Equity</stp>
        <stp>ask</stp>
        <tr r="Q16" s="2"/>
      </tp>
      <tp>
        <v>0.31</v>
        <stp/>
        <stp>BDP|11546932509834899026|22</stp>
        <stp>AMAT US 01/23/26 P290 Equity</stp>
        <stp>ask</stp>
        <tr r="Q22" s="2"/>
        <tr r="L55" s="89"/>
      </tp>
      <tp>
        <v>17.600000000000001</v>
        <stp/>
        <stp>BDP|13407383351402000483|22</stp>
        <stp>AVGO US 06/18/26 C410 Equity</stp>
        <stp>ask</stp>
        <tr r="Q6" s="2"/>
        <tr r="Q7" s="2"/>
        <tr r="L222" s="89"/>
      </tp>
      <tp>
        <v>17.43</v>
        <stp/>
        <stp>BDP|14577375391089989808|22</stp>
        <stp>AVGO US 06/18/26 C410 Equity</stp>
        <stp>mid</stp>
        <tr r="L6" s="2"/>
        <tr r="L7" s="2"/>
      </tp>
      <tp>
        <v>183.18</v>
        <stp/>
        <stp>BDP|2630581548609766860|22</stp>
        <stp>NVDA US Equity</stp>
        <stp>LAST_PRICE</stp>
        <tr r="S253" s="89"/>
      </tp>
      <tp>
        <v>328.38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6" s="2"/>
        <tr r="G7" s="2"/>
        <tr r="F222" s="89"/>
      </tp>
      <tp>
        <v>483.83</v>
        <stp/>
        <stp>BDP|16804995271076659285|22</stp>
        <stp>BRK/B Equity</stp>
        <stp>LAST PRICE</stp>
        <tr r="I18" s="338"/>
      </tp>
      <tp>
        <v>1.6</v>
        <stp/>
        <stp>BDP|2563613657122572105|22</stp>
        <stp>RKT US 05/15/26 C25 Equity</stp>
        <stp>bid</stp>
        <tr r="K39" s="89"/>
      </tp>
      <tp>
        <v>8.9</v>
        <stp/>
        <stp>BDP|13966874951199659074|22</stp>
        <stp>MRVL US 03/20/26 P85 Equity</stp>
        <stp>ask</stp>
        <tr r="Q15" s="2"/>
      </tp>
      <tp>
        <v>32.35</v>
        <stp/>
        <stp>BDP|14266615157817866347|22</stp>
        <stp>META US 04/17/26 P600 Equity</stp>
        <stp>bid</stp>
        <tr r="P13" s="2"/>
        <tr r="K180" s="89"/>
      </tp>
      <tp>
        <v>35.25</v>
        <stp/>
        <stp>BDP|16021407028720881249|22</stp>
        <stp>AVGO US 06/18/26 C350 Equity</stp>
        <stp>ask</stp>
        <tr r="Q8" s="2"/>
        <tr r="L223" s="89"/>
      </tp>
      <tp>
        <v>183.41</v>
        <stp/>
        <stp>BDP|6290765801174780597|22</stp>
        <stp>WDAY Equity</stp>
        <stp>LAST PRICE</stp>
        <tr r="L10" s="446"/>
      </tp>
      <tp>
        <v>28.4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51" s="89"/>
      </tp>
      <tp>
        <v>6874.29</v>
        <stp/>
        <stp>BDP|2596990609892593565|22</stp>
        <stp>SPX Index</stp>
        <stp>LAST_PRICE</stp>
        <tr r="S160" s="89"/>
      </tp>
      <tp>
        <v>1.8</v>
        <stp/>
        <stp>BDP|17731858862065377261|22</stp>
        <stp>QQQ US 01/15/26 P623 Equity</stp>
        <stp>ask</stp>
        <tr r="L68" s="89"/>
      </tp>
      <tp t="s">
        <v>#N/A Requesting Data...3845639047</v>
        <stp/>
        <stp>BDP|58362587440124964</stp>
        <tr r="C250" s="89"/>
      </tp>
      <tp t="s">
        <v>#N/A Requesting Data...2922997142</v>
        <stp/>
        <stp>BDP|59276486191482942</stp>
        <tr r="T211" s="89"/>
      </tp>
      <tp>
        <v>7982.83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51" s="89"/>
      </tp>
      <tp t="s">
        <v>USD</v>
        <stp/>
        <stp>BDP|13423161030167041152|22</stp>
        <stp>MSFT US 07/17/26 C450 Equity</stp>
        <stp>QUOTED_CURRENCY_REALTIME</stp>
        <tr r="F235" s="89"/>
      </tp>
      <tp>
        <v>35.1</v>
        <stp/>
        <stp>BDP|15332030210231912538|22</stp>
        <stp>MSFT US 07/17/26 C450 Equity</stp>
        <stp>ask</stp>
        <tr r="L235" s="89"/>
      </tp>
      <tp>
        <v>34.9</v>
        <stp/>
        <stp>BDP|16230059539641585796|22</stp>
        <stp>MSFT US 07/17/26 C450 Equity</stp>
        <stp>bid</stp>
        <tr r="K235" s="89"/>
      </tp>
      <tp>
        <v>231.3</v>
        <stp/>
        <stp>BDP|12911088506019095722|22</stp>
        <stp>AMZN EQUITY</stp>
        <stp>LAST_PRICE</stp>
        <tr r="C5" s="1"/>
      </tp>
      <tp t="s">
        <v>#N/A Requesting Data...2114877614</v>
        <stp/>
        <stp>BDP|83230031180787509</stp>
        <tr r="T33" s="89"/>
      </tp>
      <tp>
        <v>5.3166000000000002</v>
        <stp/>
        <stp>BDP|10515480241315630363|22</stp>
        <stp>brl Curncy</stp>
        <stp>LAST_PRICE</stp>
        <tr r="AC3" s="1"/>
      </tp>
      <tp t="s">
        <v>#N/A Requesting Data...980121599</v>
        <stp/>
        <stp>BDP|71070930486218271</stp>
        <tr r="C234" s="89"/>
      </tp>
      <tp t="s">
        <v>USD</v>
        <stp/>
        <stp>BDP|13998573931045965631|22</stp>
        <stp>MSFT US 03/20/26 P465 Equity</stp>
        <stp>QUOTED_CURRENCY_REALTIME</stp>
        <tr r="G21" s="2"/>
      </tp>
      <tp>
        <v>5.85</v>
        <stp/>
        <stp>BDP|10156068293807054847|22</stp>
        <stp>MSFT US 03/20/26 C490 Equity</stp>
        <stp>ask</stp>
        <tr r="Q19" s="2"/>
        <tr r="Q20" s="2"/>
      </tp>
      <tp>
        <v>2.06</v>
        <stp/>
        <stp>BDP|11810525163719928784|22</stp>
        <stp>NFLX US 03/20/26 P80 Equity</stp>
        <stp>ask</stp>
        <tr r="L188" s="89"/>
      </tp>
      <tp>
        <v>183.18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5.0999999999999996</v>
        <stp/>
        <stp>BDP|13189131659115691548|22</stp>
        <stp>QQQ US 01/23/26 P620 Equity</stp>
        <stp>bid</stp>
        <tr r="K213" s="89"/>
      </tp>
      <tp t="s">
        <v>#N/A Real Time</v>
        <stp/>
        <stp>BDP|17873404787619933773|22</stp>
        <stp>IMBWK5C4 5840 Index</stp>
        <stp>DELTA_MID_RT</stp>
        <tr r="W89" s="89"/>
      </tp>
      <tp>
        <v>31.2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Data...1950108064</v>
        <stp/>
        <stp>BDP|751520279507684047</stp>
        <tr r="X40" s="338"/>
      </tp>
      <tp t="s">
        <v>#N/A Requesting Data...3008310542</v>
        <stp/>
        <stp>BDP|196285167087372652</stp>
        <tr r="O19" s="89"/>
      </tp>
      <tp t="s">
        <v>#N/A Requesting Data...4076006722</v>
        <stp/>
        <stp>BDP|486395361935198594</stp>
        <tr r="O195" s="89"/>
      </tp>
      <tp t="s">
        <v>#N/A Requesting Data...3107962475</v>
        <stp/>
        <stp>BDP|711948671629350257</stp>
        <tr r="E19" s="89"/>
      </tp>
      <tp t="s">
        <v>#N/A Requesting Data...1039972610</v>
        <stp/>
        <stp>BDP|520527012585306457</stp>
        <tr r="G18" s="446"/>
      </tp>
      <tp t="s">
        <v>#N/A Requesting Data...2305177209</v>
        <stp/>
        <stp>BDP|430169056667283651</stp>
        <tr r="T153" s="89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50" s="89"/>
      </tp>
      <tp>
        <v>210.13</v>
        <stp/>
        <stp>BDP|15031025441735979532|22</stp>
        <stp>RDDT Equity</stp>
        <stp>LAST PRICE</stp>
        <tr r="L11" s="446"/>
      </tp>
      <tp>
        <v>18.95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Data...3074877187</v>
        <stp/>
        <stp>BDP|608595985359488024</stp>
        <tr r="AH13" s="338"/>
        <tr r="AH34" s="338"/>
        <tr r="AJ13" s="338"/>
        <tr r="AJ34" s="338"/>
      </tp>
      <tp t="s">
        <v>#N/A Requesting Data...3363520680</v>
        <stp/>
        <stp>BDP|654074041248648893</stp>
        <tr r="D13" s="89"/>
      </tp>
      <tp t="s">
        <v>#N/A N/A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Data...947525538</v>
        <stp/>
        <stp>BDP|686234847331911027</stp>
        <tr r="G17" s="446"/>
      </tp>
      <tp t="s">
        <v>#N/A Requesting Data...2387128778</v>
        <stp/>
        <stp>BDP|845945561529258153</stp>
        <tr r="X37" s="338"/>
      </tp>
      <tp t="s">
        <v>#N/A Requesting Data...3012822651</v>
        <stp/>
        <stp>BDP|719080694298469649</stp>
        <tr r="F12" s="2"/>
      </tp>
      <tp t="s">
        <v>#N/A Requesting Data...1999565034</v>
        <stp/>
        <stp>BDP|408762416568436914</stp>
        <tr r="T116" s="89"/>
      </tp>
      <tp t="e">
        <v>#N/A</v>
        <stp/>
        <stp>BDH|826951281661913771</stp>
        <tr r="AS45" s="338"/>
      </tp>
      <tp t="s">
        <v>#N/A Requesting Data...794042969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5746.3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F205" s="89"/>
      </tp>
      <tp>
        <v>685.4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Data...1154722368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Data...2002640923</v>
        <stp/>
        <stp>BDP|575304639910340627</stp>
        <tr r="AR6" s="2"/>
        <tr r="AR7" s="2"/>
      </tp>
      <tp t="s">
        <v>#N/A Requesting Data...1990842194</v>
        <stp/>
        <stp>BDP|619052234926942338</stp>
        <tr r="O49" s="89"/>
      </tp>
      <tp t="s">
        <v>#N/A N/A</v>
        <stp/>
        <stp>BDP|703780504329627859</stp>
        <tr r="AI22" s="1"/>
      </tp>
      <tp t="s">
        <v>#N/A Requesting Data...1025530994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N/A</v>
        <stp/>
        <stp>BDP|294565388632351941</stp>
        <tr r="V75" s="89"/>
      </tp>
      <tp t="s">
        <v>#N/A Requesting Data...3773260473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173.88</v>
        <stp/>
        <stp>BDP|7132801475716187902|22</stp>
        <stp>ORCL EQUITY</stp>
        <stp>LAST_PRICE</stp>
        <tr r="C10" s="1"/>
      </tp>
      <tp t="s">
        <v>#N/A Requesting Data...1031335465</v>
        <stp/>
        <stp>BDP|930699410161740793</stp>
        <tr r="D28" s="2"/>
        <tr r="D30" s="2"/>
        <tr r="C13" s="89"/>
      </tp>
      <tp t="s">
        <v>#N/A Requesting Data...2821300149</v>
        <stp/>
        <stp>BDP|517543108217561323</stp>
        <tr r="P53" s="338"/>
      </tp>
      <tp t="s">
        <v>#N/A Requesting Data...863389928</v>
        <stp/>
        <stp>BDP|396321637909819818</stp>
        <tr r="Q15" s="338"/>
        <tr r="Q39" s="338"/>
      </tp>
      <tp t="s">
        <v>#N/A Requesting Data...1903325061</v>
        <stp/>
        <stp>BDP|117329048412368473</stp>
        <tr r="Q52" s="338"/>
      </tp>
      <tp t="s">
        <v>#N/A Requesting Data...2484552536</v>
        <stp/>
        <stp>BDP|244764414260319781</stp>
        <tr r="O18" s="252"/>
      </tp>
      <tp t="s">
        <v>#N/A Requesting Data...4220920364</v>
        <stp/>
        <stp>BDP|896518566545118787</stp>
        <tr r="Z102" s="89"/>
        <tr r="AA102" s="89"/>
      </tp>
      <tp>
        <v>254</v>
        <stp/>
        <stp>BDP|6927728524882210324|22</stp>
        <stp>1OG6P 25000 Index</stp>
        <stp>bid</stp>
        <tr r="P24" s="2"/>
        <tr r="K154" s="89"/>
        <tr r="P25" s="2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</tp>
      <tp t="s">
        <v>#N/A N/A</v>
        <stp/>
        <stp>BDP|7187799250672940682|22</stp>
        <stp>QQQ US 01/16/26 C633 Equity</stp>
        <stp>bid</stp>
        <tr r="K204" s="89"/>
      </tp>
      <tp t="s">
        <v>#N/A Real Time</v>
        <stp/>
        <stp>BDP|17952725581329286127|22</stp>
        <stp>SCH5C   6150 Index</stp>
        <stp>bid</stp>
        <tr r="K95" s="89"/>
      </tp>
      <tp t="e">
        <v>#N/A</v>
        <stp/>
        <stp>BDH|276309645792863527</stp>
        <tr r="AN36" s="338"/>
      </tp>
      <tp t="s">
        <v>#N/A Requesting Data...3183338666</v>
        <stp/>
        <stp>BDP|999131207671054040</stp>
        <tr r="P55" s="338"/>
      </tp>
      <tp t="s">
        <v>#N/A Requesting Data...3207880001</v>
        <stp/>
        <stp>BDP|969726204681693639</stp>
        <tr r="C39" s="89"/>
      </tp>
      <tp t="s">
        <v>#N/A N/A</v>
        <stp/>
        <stp>BDP|798980087638306908</stp>
        <tr r="K4" s="1"/>
      </tp>
      <tp t="s">
        <v>#N/A Requesting Data...4260636684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1.65</v>
        <stp/>
        <stp>BDP|15424449240272503460|22</stp>
        <stp>RKT US 05/15/26 C25 Equity</stp>
        <stp>ask</stp>
        <tr r="L39" s="89"/>
      </tp>
      <tp>
        <v>199.4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Data...2100412863</v>
        <stp/>
        <stp>BDP|980575772465495456</stp>
        <tr r="V196" s="89"/>
      </tp>
      <tp t="s">
        <v>#N/A N/A</v>
        <stp/>
        <stp>BDP|400489739133855744</stp>
        <tr r="AF25" s="1"/>
        <tr r="AF26" s="1"/>
      </tp>
      <tp t="s">
        <v>#N/A Requesting Data...3291843432</v>
        <stp/>
        <stp>BDP|103387833183780070</stp>
        <tr r="AA108" s="89"/>
        <tr r="Z108" s="89"/>
      </tp>
      <tp t="s">
        <v>#N/A Requesting Data...1959903712</v>
        <stp/>
        <stp>BDP|655700844775013544</stp>
        <tr r="Q46" s="338"/>
      </tp>
      <tp>
        <v>86.23</v>
        <stp/>
        <stp>BDP|6244681688337820540|22</stp>
        <stp>KBWB EQUITY</stp>
        <stp>LAST_PRICE</stp>
        <tr r="I1" s="1"/>
      </tp>
      <tp>
        <v>17.25</v>
        <stp/>
        <stp>BDP|11593899381746563402|22</stp>
        <stp>RIOT Equity</stp>
        <stp>LAST_PRICE</stp>
        <tr r="I40" s="1"/>
        <tr r="I39" s="1"/>
      </tp>
      <tp>
        <v>0.01</v>
        <stp/>
        <stp>BDP|5446023781941606213|22</stp>
        <stp>QQQ US 01/16/26 C635 Equity</stp>
        <stp>ask</stp>
        <tr r="L203" s="89"/>
      </tp>
      <tp>
        <v>16.350000000000001</v>
        <stp/>
        <stp>BDP|7303697284640564666|22</stp>
        <stp>TSM US 06/18/26 C380 Equity</stp>
        <stp>ask</stp>
        <tr r="Q31" s="2"/>
        <tr r="Q29" s="2"/>
        <tr r="L14" s="89"/>
      </tp>
      <tp>
        <v>20.25</v>
        <stp/>
        <stp>BDP|3151677417243031834|22</stp>
        <stp>TSM US 07/17/26 C380 Equity</stp>
        <stp>ask</stp>
        <tr r="L20" s="89"/>
      </tp>
      <tp t="s">
        <v>#N/A Requesting Data...2070702943</v>
        <stp/>
        <stp>BDP|800460114691746600</stp>
        <tr r="O197" s="89"/>
      </tp>
      <tp t="s">
        <v>#N/A N/A</v>
        <stp/>
        <stp>BDP|450712038053400567</stp>
        <tr r="AG12" s="1"/>
      </tp>
      <tp>
        <v>189.5</v>
        <stp/>
        <stp>BDP|7820913280735072569|22</stp>
        <stp>1OG6P 24700 Index</stp>
        <stp>ask</stp>
        <tr r="L153" s="89"/>
      </tp>
      <tp t="s">
        <v>#N/A N/A</v>
        <stp/>
        <stp>BDP|908193390539320353</stp>
        <tr r="Z62" s="89"/>
        <tr r="AA62" s="89"/>
      </tp>
      <tp t="e">
        <v>#N/A</v>
        <stp/>
        <stp>BDH|277259446486664200</stp>
        <tr r="AP45" s="338"/>
        <tr r="AU47" s="338"/>
        <tr r="AU41" s="338"/>
        <tr r="AU31" s="338"/>
        <tr r="AP49" s="338"/>
        <tr r="AU33" s="338"/>
        <tr r="AP46" s="338"/>
        <tr r="AU51" s="338"/>
      </tp>
      <tp t="e">
        <v>#N/A</v>
        <stp/>
        <stp>BDH|207964185466440549</stp>
        <tr r="AN46" s="338"/>
        <tr r="AS51" s="338"/>
        <tr r="AS47" s="338"/>
        <tr r="AS33" s="338"/>
        <tr r="AS31" s="338"/>
        <tr r="AN45" s="338"/>
        <tr r="AN49" s="338"/>
        <tr r="AS41" s="338"/>
      </tp>
      <tp t="s">
        <v>#N/A Requesting Data...1882243277</v>
        <stp/>
        <stp>BDP|310378113498032857</stp>
        <tr r="F9" s="446"/>
      </tp>
      <tp>
        <v>-0.63041204214096069</v>
        <stp/>
        <stp>BDP|3113404587360388424|22</stp>
        <stp>MSFT US 03/20/26 P465 Equity</stp>
        <stp>DELTA_MID_RT</stp>
        <tr r="AF21" s="2"/>
      </tp>
      <tp t="s">
        <v>USD</v>
        <stp/>
        <stp>BDP|7916740187460441225|22</stp>
        <stp>TSM US 01/16/26 P325 Equity</stp>
        <stp>QUOTED_CURRENCY_REALTIME</stp>
        <tr r="F196" s="89"/>
      </tp>
      <tp>
        <v>-0.21286797523498535</v>
        <stp/>
        <stp>BDP|5551973401497312809|22</stp>
        <stp>AVGO US 06/18/26 P270 Equity</stp>
        <stp>DELTA_MID_RT</stp>
        <tr r="W225" s="89"/>
      </tp>
      <tp>
        <v>36.049999999999997</v>
        <stp/>
        <stp>BDP|4064819158649726562|22</stp>
        <stp>TSM US 03/20/26 C300 Equity</stp>
        <stp>mid</stp>
        <tr r="L32" s="2"/>
      </tp>
      <tp>
        <v>0.37</v>
        <stp/>
        <stp>BDP|5739524147831647299|22</stp>
        <stp>QQQ US 01/23/26 C627 Equity</stp>
        <stp>ask</stp>
        <tr r="L212" s="89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Data...1165362178</v>
        <stp/>
        <stp>BDP|630836919334916088</stp>
        <tr r="X10" s="338"/>
      </tp>
      <tp t="s">
        <v>#N/A N/A</v>
        <stp/>
        <stp>BDP|894652130481491978</stp>
        <tr r="AC12" s="2"/>
        <tr r="AC13" s="2"/>
        <tr r="AC14" s="2"/>
      </tp>
      <tp t="s">
        <v>#N/A Requesting Data...1473104064</v>
        <stp/>
        <stp>BDP|270487313100359854</stp>
        <tr r="V17" s="338"/>
      </tp>
      <tp>
        <v>685.4</v>
        <stp/>
        <stp>BDP|13189918054944550299|22</stp>
        <stp>SPY Equity</stp>
        <stp>LAST_PRICE</stp>
        <tr r="X3" s="1"/>
      </tp>
      <tp>
        <v>0.37303623557090759</v>
        <stp/>
        <stp>BDP|4583293167647768346|22</stp>
        <stp>AMAT US 02/06/26 C340 Equity</stp>
        <stp>DELTA_MID_RT</stp>
        <tr r="W33" s="89"/>
      </tp>
      <tp>
        <v>-6.3085637986660004E-2</v>
        <stp/>
        <stp>BDP|3178362372691625299|22</stp>
        <stp>MRVL US 03/20/26 P80 Equity</stp>
        <stp>theta_mid_rt</stp>
        <tr r="AN17" s="2"/>
      </tp>
      <tp>
        <v>110.39</v>
        <stp/>
        <stp>BDP|11864909502198122066|22</stp>
        <stp>W US Equity</stp>
        <stp>LAST_PRICE</stp>
        <tr r="S40" s="89"/>
      </tp>
      <tp t="s">
        <v>USD</v>
        <stp/>
        <stp>BDP|5899528920965095514|22</stp>
        <stp>QQQ US 01/15/26 P622 Equity</stp>
        <stp>QUOTED_CURRENCY_REALTIME</stp>
        <tr r="F69" s="89"/>
      </tp>
      <tp>
        <v>348.14</v>
        <stp/>
        <stp>BDP|14332915070053504036|22</stp>
        <stp>SOXX Equity</stp>
        <stp>LAST PRICE</stp>
        <tr r="I13" s="338"/>
      </tp>
      <tp>
        <v>0.01</v>
        <stp/>
        <stp>BDP|3663508821472831217|22</stp>
        <stp>QQQ US 01/16/26 C633 Equity</stp>
        <stp>ask</stp>
        <tr r="L204" s="89"/>
      </tp>
      <tp>
        <v>8.5</v>
        <stp/>
        <stp>BDP|9488167050605200857|22</stp>
        <stp>TSM US 01/16/26 C335 Equity</stp>
        <stp>ask</stp>
        <tr r="L195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Data...1842090439</v>
        <stp/>
        <stp>BDP|127253274771311898</stp>
        <tr r="AG11" s="338"/>
      </tp>
      <tp t="s">
        <v>#N/A Requesting Data...2058489957</v>
        <stp/>
        <stp>BDP|827675090525898604</stp>
        <tr r="AF41" s="338"/>
        <tr r="AF42" s="338"/>
      </tp>
      <tp t="s">
        <v>#N/A Requesting Data...2785336484</v>
        <stp/>
        <stp>BDP|782705090920373269</stp>
        <tr r="D129" s="89"/>
      </tp>
      <tp t="s">
        <v>USD</v>
        <stp/>
        <stp>BDP|3262944486371544022|22</stp>
        <stp>QQQ US 01/21/26 P616 Equity</stp>
        <stp>QUOTED_CURRENCY_REALTIME</stp>
        <tr r="F81" s="89"/>
      </tp>
      <tp t="s">
        <v>#N/A Requesting Data...1660943101</v>
        <stp/>
        <stp>BDP|404252579678701218</stp>
        <tr r="T15" s="2"/>
      </tp>
      <tp t="s">
        <v>#N/A Requesting Data...1711398198</v>
        <stp/>
        <stp>BDP|747191926384069867</stp>
        <tr r="L15" s="252"/>
        <tr r="L15" s="252"/>
      </tp>
      <tp t="s">
        <v>#N/A Requesting Data...4038778975</v>
        <stp/>
        <stp>BDP|250232642990829947</stp>
        <tr r="D27" s="2"/>
        <tr r="C8" s="89"/>
      </tp>
      <tp t="s">
        <v>#N/A Requesting Data...2223256561</v>
        <stp/>
        <stp>BDP|176347289857022339</stp>
        <tr r="S17" s="252"/>
      </tp>
      <tp t="s">
        <v>#N/A Requesting Data...1333257072</v>
        <stp/>
        <stp>BDP|209347099407616211</stp>
        <tr r="AA197" s="89"/>
        <tr r="Z197" s="89"/>
      </tp>
      <tp t="s">
        <v>#N/A Requesting Data...2940516720</v>
        <stp/>
        <stp>BDP|278537766618564487</stp>
        <tr r="U17" s="338"/>
      </tp>
      <tp t="s">
        <v>#N/A Requesting Data...2808856230</v>
        <stp/>
        <stp>BDP|985943877960620174</stp>
        <tr r="AD10" s="2"/>
        <tr r="AD11" s="2"/>
      </tp>
      <tp t="s">
        <v>#N/A N/A</v>
        <stp/>
        <stp>BDP|987924063845804559</stp>
        <tr r="E4" s="1"/>
      </tp>
      <tp t="s">
        <v>#N/A Requesting Data...3740465571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612.96</v>
        <stp/>
        <stp>BDP|3305523752982270676|22</stp>
        <stp>META EQUITY</stp>
        <stp>LAST_PRICE</stp>
        <tr r="C9" s="1"/>
      </tp>
      <tp>
        <v>-2.4811664596199989E-2</v>
        <stp/>
        <stp>BDP|4448489992068111945|22</stp>
        <stp>AMAT US 01/23/26 P290 Equity</stp>
        <stp>DELTA_MID_RT</stp>
        <tr r="AF22" s="2"/>
        <tr r="W55" s="89"/>
      </tp>
      <tp t="s">
        <v>#N/A Real Time</v>
        <stp/>
        <stp>BDP|8535644726168334880|22</stp>
        <stp>AVGO US 10/03/25 P330 Equity</stp>
        <stp>DELTA_MID_RT</stp>
        <tr r="W254" s="89"/>
      </tp>
      <tp>
        <v>-3.6972232162952423E-2</v>
        <stp/>
        <stp>BDP|11616585170366627845|22</stp>
        <stp>ASML US 01/23/26 P1200 Equity</stp>
        <stp>DELTA_MID_RT</stp>
        <tr r="W49" s="89"/>
      </tp>
      <tp t="s">
        <v>#N/A N/A</v>
        <stp/>
        <stp>BDP|887987616640012698</stp>
        <tr r="AB12" s="1"/>
      </tp>
      <tp t="s">
        <v>#N/A Requesting Data...2973878903</v>
        <stp/>
        <stp>BDP|250048024809964501</stp>
        <tr r="T253" s="89"/>
      </tp>
      <tp t="s">
        <v>#N/A Requesting Data...2319363937</v>
        <stp/>
        <stp>BDP|364330932177526925</stp>
        <tr r="S37" s="338"/>
      </tp>
      <tp t="s">
        <v>#N/A N/A</v>
        <stp/>
        <stp>BDP|308105164449948089</stp>
        <tr r="K28" s="1"/>
      </tp>
      <tp t="s">
        <v>#N/A N/A</v>
        <stp/>
        <stp>BDP|629699598025628435</stp>
        <tr r="D82" s="89"/>
      </tp>
      <tp>
        <v>33.729999999999997</v>
        <stp/>
        <stp>BDP|18329643987132492211|22</stp>
        <stp>ASHR Equity</stp>
        <stp>LAST_PRICE</stp>
        <tr r="H6" s="252"/>
        <tr r="H6" s="252"/>
        <tr r="I14" s="1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Data...3371535880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Data...1594658523</v>
        <stp/>
        <stp>BDP|321567796020124549</stp>
        <tr r="F43" s="446"/>
      </tp>
      <tp t="s">
        <v>#N/A Requesting Data...4061330651</v>
        <stp/>
        <stp>BDP|443202683742019110</stp>
        <tr r="D34" s="89"/>
      </tp>
      <tp t="s">
        <v>#N/A Requesting Data...3609067909</v>
        <stp/>
        <stp>BDP|748281786590893378</stp>
        <tr r="Z160" s="89"/>
        <tr r="AA160" s="89"/>
      </tp>
      <tp t="s">
        <v>USD</v>
        <stp/>
        <stp>BDP|1731871426539960425|22</stp>
        <stp>QQQ US 01/15/26 P623 Equity</stp>
        <stp>QUOTED_CURRENCY_REALTIME</stp>
        <tr r="F68" s="89"/>
      </tp>
      <tp>
        <v>43.02</v>
        <stp/>
        <stp>BDP|16955313478604069014|22</stp>
        <stp>XLU Equity</stp>
        <stp>LAST PRICE</stp>
        <tr r="I42" s="338"/>
      </tp>
      <tp t="e">
        <v>#N/A</v>
        <stp/>
        <stp>BDH|195329117118813200</stp>
        <tr r="AN10" s="338"/>
        <tr r="AN33" s="338"/>
        <tr r="AN11" s="338"/>
      </tp>
      <tp t="s">
        <v>#N/A Requesting Data...1439638564</v>
        <stp/>
        <stp>BDP|938081193165986446</stp>
        <tr r="U46" s="338"/>
      </tp>
      <tp>
        <v>101.29</v>
        <stp/>
        <stp>BDP|12455594618882884319|22</stp>
        <stp>GDX Equity</stp>
        <stp>LAST_PRICE</stp>
        <tr r="I16" s="1"/>
        <tr r="I17" s="1"/>
      </tp>
      <tp t="s">
        <v>#N/A Requesting Data...3228707613</v>
        <stp/>
        <stp>BDP|345620769730348823</stp>
        <tr r="G20" s="446"/>
      </tp>
      <tp t="s">
        <v>#N/A N/A</v>
        <stp/>
        <stp>BDP|493910466490440711</stp>
        <tr r="T18" s="2"/>
        <tr r="O63" s="89"/>
      </tp>
      <tp t="s">
        <v>#N/A N/A</v>
        <stp/>
        <stp>BDP|771655587750732627</stp>
        <tr r="AI21" s="1"/>
      </tp>
      <tp t="s">
        <v>#N/A Requesting Data...845080396</v>
        <stp/>
        <stp>BDP|602924412615549500</stp>
        <tr r="V178" s="89"/>
      </tp>
      <tp>
        <v>186.5</v>
        <stp/>
        <stp>BDP|3417945712509211367|22</stp>
        <stp>1OG6P 24700 Index</stp>
        <stp>bid</stp>
        <tr r="K153" s="89"/>
      </tp>
      <tp>
        <v>0.21591834723949432</v>
        <stp/>
        <stp>BDP|1525054646503839834|22</stp>
        <stp>MSFT US 03/20/26 C490 Equity</stp>
        <stp>DELTA_MID_RT</stp>
        <tr r="AF19" s="2"/>
        <tr r="AF20" s="2"/>
      </tp>
      <tp t="s">
        <v>USD</v>
        <stp/>
        <stp>BDP|5876029209403858680|22</stp>
        <stp>TSM US 06/18/26 C340 Equity</stp>
        <stp>QUOTED_CURRENCY_REALTIME</stp>
        <tr r="G30" s="2"/>
        <tr r="G28" s="2"/>
        <tr r="F13" s="89"/>
      </tp>
      <tp>
        <v>-1.0987383313477039E-2</v>
        <stp/>
        <stp>BDP|1593024835823764098|22</stp>
        <stp>AMAT US 01/23/26 P280 Equity</stp>
        <stp>DELTA_MID_RT</stp>
        <tr r="AF23" s="2"/>
        <tr r="W56" s="89"/>
      </tp>
      <tp t="s">
        <v>#N/A Invalid Security</v>
        <stp/>
        <stp>BDP|17632138480766488098|22</stp>
        <stp>KLAC US 02/06/26 C1600 Equity</stp>
        <stp>DELTA_MID_RT</stp>
        <tr r="W27" s="89"/>
      </tp>
      <tp>
        <v>95.4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25" s="1"/>
        <tr r="AB26" s="1"/>
      </tp>
      <tp t="s">
        <v>#N/A Requesting Data...931548954</v>
        <stp/>
        <stp>BDP|764078797243992127</stp>
        <tr r="D56" s="89"/>
      </tp>
      <tp t="e">
        <v>#N/A</v>
        <stp/>
        <stp>BDH|267896873686469230</stp>
        <tr r="AM32" s="338"/>
        <tr r="AM31" s="338"/>
      </tp>
      <tp t="s">
        <v>#N/A Requesting Data...3807005363</v>
        <stp/>
        <stp>BDP|237201852408926413</stp>
        <tr r="U35" s="338"/>
      </tp>
      <tp t="s">
        <v>#N/A Requesting Data...2727598253</v>
        <stp/>
        <stp>BDP|410647168382881996</stp>
        <tr r="V54" s="338"/>
      </tp>
      <tp t="e">
        <v>#N/A</v>
        <stp/>
        <stp>BDH|702132527809898111</stp>
        <tr r="AM14" s="338"/>
        <tr r="AM35" s="338"/>
      </tp>
      <tp t="s">
        <v>#N/A Requesting Data...1483677124</v>
        <stp/>
        <stp>BDP|981114986491900309</stp>
        <tr r="F8" s="252"/>
      </tp>
      <tp t="s">
        <v>#N/A Requesting Data...2908704928</v>
        <stp/>
        <stp>BDP|612746655750406928</stp>
        <tr r="S16" s="338"/>
        <tr r="S38" s="338"/>
      </tp>
      <tp>
        <v>0.57013523578643799</v>
        <stp/>
        <stp>BDP|7992672974784364845|22</stp>
        <stp>SNDK US 02/20/26 C500 Equity</stp>
        <stp>DELTA_MID_RT</stp>
        <tr r="AF9" s="2"/>
        <tr r="W26" s="89"/>
      </tp>
      <tp t="e">
        <v>#N/A</v>
        <stp/>
        <stp>BDH|174748123866999973</stp>
        <tr r="AU11" s="338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F197" s="89"/>
      </tp>
      <tp>
        <v>328.8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82.55</v>
        <stp/>
        <stp>BDP|15428137786848034213|22</stp>
        <stp>MRVL Equity</stp>
        <stp>LAST PRICE</stp>
        <tr r="G37" s="338"/>
      </tp>
      <tp>
        <v>0.9</v>
        <stp/>
        <stp>BDP|9263322211361926051|22</stp>
        <stp>EWT US 01/16/26 C66.2 Equity</stp>
        <stp>bid</stp>
        <tr r="K178" s="89"/>
      </tp>
      <tp>
        <v>39.340000000000003</v>
        <stp/>
        <stp>BDP|15189910301226923788|22</stp>
        <stp>FXI Equity</stp>
        <stp>LAST_PRICE</stp>
        <tr r="H9" s="252"/>
        <tr r="H9" s="252"/>
      </tp>
      <tp>
        <v>4.2717419564723969E-2</v>
        <stp/>
        <stp>BDP|15007819276399730693|22</stp>
        <stp>QQQ US 01/23/26 C630 Equity</stp>
        <stp>DELTA_MID_RT</stp>
        <tr r="W211" s="89"/>
      </tp>
      <tp>
        <v>-3.8300000596791506E-3</v>
        <stp/>
        <stp>BDP|14709293869565824739|22</stp>
        <stp>TSM US 01/16/26 P325 Equity</stp>
        <stp>DELTA_MID_RT</stp>
        <tr r="W196" s="89"/>
      </tp>
      <tp>
        <v>82.55</v>
        <stp/>
        <stp>BDP|14735743812855208855|22</stp>
        <stp>MRVL Equity</stp>
        <stp>LAST_PRICE</stp>
        <tr r="I37" s="1"/>
        <tr r="I38" s="1"/>
      </tp>
      <tp>
        <v>14.35</v>
        <stp/>
        <stp>BDP|2947614605786602114|22</stp>
        <stp>GDX US 09/18/26 C105 Equity</stp>
        <stp>ask</stp>
        <tr r="Q26" s="2"/>
        <tr r="L7" s="89"/>
      </tp>
      <tp>
        <v>183.18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3" s="89"/>
      </tp>
      <tp>
        <v>6.2</v>
        <stp/>
        <stp>BDP|1603579272794795324|22</stp>
        <stp>MRVL US 03/20/26 P80 Equity</stp>
        <stp>mid</stp>
        <tr r="L17" s="2"/>
      </tp>
      <tp>
        <v>1.01</v>
        <stp/>
        <stp>BDP|7681200647090738046|22</stp>
        <stp>QQQ US 01/16/26 P622 Equity</stp>
        <stp>bid</stp>
        <tr r="K205" s="89"/>
      </tp>
      <tp t="s">
        <v>#N/A Real Time</v>
        <stp/>
        <stp>BDP|8340553546063687451|22</stp>
        <stp>4OK5C 21650 Index</stp>
        <stp>DELTA_MID_RT</stp>
        <tr r="W116" s="89"/>
      </tp>
      <tp>
        <v>183.18</v>
        <stp/>
        <stp>BDP|10556089213855348182|22</stp>
        <stp>NVDA Equity</stp>
        <stp>LAST_PRICE</stp>
        <tr r="I36" s="1"/>
      </tp>
      <tp t="s">
        <v>USD</v>
        <stp/>
        <stp>BDP|4232577079069091557|22</stp>
        <stp>GDX US 09/18/26 C105 Equity</stp>
        <stp>QUOTED_CURRENCY_REALTIME</stp>
        <tr r="G26" s="2"/>
        <tr r="F7" s="89"/>
      </tp>
      <tp>
        <v>0.46397572755813599</v>
        <stp/>
        <stp>BDP|3367401678798717289|22</stp>
        <stp>W US 05/15/26 C125 Equity</stp>
        <stp>DELTA_MID_RT</stp>
        <tr r="W40" s="89"/>
      </tp>
      <tp>
        <v>104.5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53.46</v>
        <stp/>
        <stp>BDP|11210988692762470107|22</stp>
        <stp>XLF Equity</stp>
        <stp>LAST_PRICE</stp>
        <tr r="I41" s="1"/>
        <tr r="I42" s="1"/>
      </tp>
      <tp>
        <v>3.4509999677538872E-3</v>
        <stp/>
        <stp>BDP|12492272964442043253|22</stp>
        <stp>QQQ US 01/16/26 C635 Equity</stp>
        <stp>DELTA_MID_RT</stp>
        <tr r="W203" s="89"/>
      </tp>
      <tp t="s">
        <v>#N/A Real Time</v>
        <stp/>
        <stp>BDP|7909497283026172618|22</stp>
        <stp>4OK5C 21300 Index</stp>
        <stp>DELTA_MID_RT</stp>
        <tr r="W115" s="89"/>
      </tp>
      <tp>
        <v>-1.0073964484035969E-2</v>
        <stp/>
        <stp>BDP|5598166511208398697|22</stp>
        <stp>ASHR US 02/20/26 C35 Equity</stp>
        <stp>theta_mid_rt</stp>
        <tr r="AN4" s="2"/>
        <tr r="AN5" s="2"/>
      </tp>
      <tp>
        <v>168.67</v>
        <stp/>
        <stp>BDP|16076910053857732698|22</stp>
        <stp>BABA Equity</stp>
        <stp>LAST_PRICE</stp>
        <tr r="I12" s="1"/>
      </tp>
      <tp>
        <v>0.81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67.72</v>
        <stp/>
        <stp>BDP|16675559367525942243|22</stp>
        <stp>TTE Equity</stp>
        <stp>LAST PRICE</stp>
        <tr r="I29" s="338"/>
      </tp>
      <tp>
        <v>0.50634253025054932</v>
        <stp/>
        <stp>BDP|16687792746206833445|22</stp>
        <stp>TSM US 06/18/26 C340 Equity</stp>
        <stp>DELTA_MID_RT</stp>
        <tr r="AF30" s="2"/>
        <tr r="AF28" s="2"/>
        <tr r="W13" s="89"/>
      </tp>
      <tp>
        <v>4116.9409999999998</v>
        <stp/>
        <stp>BDP|8077747707676540560|22</stp>
        <stp>SHCOMP Index</stp>
        <stp>LAST_PRICE</stp>
        <tr r="H20" s="252"/>
        <tr r="H20" s="252"/>
      </tp>
      <tp>
        <v>0.7</v>
        <stp/>
        <stp>BDP|9553145545070053911|22</stp>
        <stp>QQQ US 01/15/26 P622 Equity</stp>
        <stp>bid</stp>
        <tr r="K69" s="89"/>
      </tp>
      <tp>
        <v>105.92</v>
        <stp/>
        <stp>BDP|11576966289528241643|22</stp>
        <stp>HOOD Equity</stp>
        <stp>LAST PRICE</stp>
        <tr r="L5" s="446"/>
        <tr r="L6" s="446"/>
      </tp>
      <tp>
        <v>0.51980346441268921</v>
        <stp/>
        <stp>BDP|15150595801257451367|22</stp>
        <stp>TSM US 07/17/26 C340 Equity</stp>
        <stp>DELTA_MID_RT</stp>
        <tr r="W19" s="89"/>
      </tp>
      <tp>
        <v>362.44</v>
        <stp/>
        <stp>BDP|13530810646219131800|22</stp>
        <stp>LITE Equity</stp>
        <stp>LAST_PRICE</stp>
        <tr r="I29" s="1"/>
        <tr r="I30" s="1"/>
      </tp>
      <tp>
        <v>0.01</v>
        <stp/>
        <stp>BDP|4962749215526977152|22</stp>
        <stp>TSM US 01/16/26 P325 Equity</stp>
        <stp>ask</stp>
        <tr r="L196" s="89"/>
      </tp>
      <tp>
        <v>0.06</v>
        <stp/>
        <stp>BDP|4848892117196030665|22</stp>
        <stp>QQQ US 01/21/26 P616 Equity</stp>
        <stp>ask</stp>
        <tr r="L76" s="89"/>
        <tr r="L81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280.72000000000003</v>
        <stp/>
        <stp>BDP|13659659385475398852|22</stp>
        <stp>ACN Equity</stp>
        <stp>LAST PRICE</stp>
        <tr r="L8" s="446"/>
      </tp>
      <tp>
        <v>6.3</v>
        <stp/>
        <stp>BDP|8734482328934403813|22</stp>
        <stp>MRVL US 03/20/26 P80 Equity</stp>
        <stp>ask</stp>
        <tr r="L62" s="89"/>
        <tr r="Q17" s="2"/>
      </tp>
      <tp>
        <v>2</v>
        <stp/>
        <stp>BDP|8993060904794494053|22</stp>
        <stp>NFLX US 03/20/26 P80 Equity</stp>
        <stp>bid</stp>
        <tr r="K188" s="89"/>
      </tp>
      <tp>
        <v>1.53</v>
        <stp/>
        <stp>BDP|7163798778722749172|22</stp>
        <stp>QQQ US 01/16/26 P622 Equity</stp>
        <stp>ask</stp>
        <tr r="L205" s="89"/>
      </tp>
      <tp>
        <v>10.43</v>
        <stp/>
        <stp>BDP|5153940913904664797|22</stp>
        <stp>GDX US 09/18/26 C115 Equity</stp>
        <stp>mid</stp>
        <tr r="L27" s="2"/>
      </tp>
      <tp>
        <v>328.8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-0.22857695817947388</v>
        <stp/>
        <stp>BDP|13660853806395269308|22</stp>
        <stp>QQQ US 01/21/26 P616 Equity</stp>
        <stp>DELTA_MID_RT</stp>
        <tr r="W76" s="89"/>
        <tr r="W81" s="89"/>
      </tp>
      <tp>
        <v>83.97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3" s="89"/>
      </tp>
      <tp>
        <v>13.57</v>
        <stp/>
        <stp>BDP|9235179415749059917|22</stp>
        <stp>GDX US 09/18/26 C105 Equity</stp>
        <stp>mid</stp>
        <tr r="L26" s="2"/>
      </tp>
      <tp>
        <v>0.14384268224239349</v>
        <stp/>
        <stp>BDP|9935221880457496648|22</stp>
        <stp>META US 04/17/26 C750 Equity</stp>
        <stp>DELTA_MID_RT</stp>
        <tr r="W169" s="89"/>
      </tp>
      <tp>
        <v>0.55891048908233643</v>
        <stp/>
        <stp>BDP|7485566054065890842|22</stp>
        <stp>META US 07/17/26 C620 Equity</stp>
        <stp>DELTA_MID_RT</stp>
        <tr r="W233" s="89"/>
      </tp>
      <tp>
        <v>5163.6099999999997</v>
        <stp/>
        <stp>BDP|13402169581729532440|22</stp>
        <stp>BKNG Equity</stp>
        <stp>LAST PRICE</stp>
        <tr r="G12" s="338"/>
      </tp>
      <tp>
        <v>-0.77941399812698364</v>
        <stp/>
        <stp>BDP|15758321286058819892|22</stp>
        <stp>QQQ US 01/16/26 P622 Equity</stp>
        <stp>DELTA_MID_RT</stp>
        <tr r="W205" s="89"/>
      </tp>
      <tp>
        <v>0.33336749672889709</v>
        <stp/>
        <stp>BDP|17478839230977938286|22</stp>
        <stp>TSM US 06/18/26 C380 Equity</stp>
        <stp>DELTA_MID_RT</stp>
        <tr r="AF31" s="2"/>
        <tr r="AF29" s="2"/>
        <tr r="W14" s="89"/>
      </tp>
      <tp>
        <v>0.74611926078796387</v>
        <stp/>
        <stp>BDP|16089778845299134572|22</stp>
        <stp>TSM US 03/20/26 C300 Equity</stp>
        <stp>DELTA_MID_RT</stp>
        <tr r="AF32" s="2"/>
      </tp>
      <tp>
        <v>6.75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27" s="2"/>
        <tr r="F8" s="89"/>
      </tp>
      <tp>
        <v>221.58</v>
        <stp/>
        <stp>BDP|18434337130911834676|22</stp>
        <stp>CRM Equity</stp>
        <stp>LAST PRICE</stp>
        <tr r="G31" s="338"/>
        <tr r="G32" s="338"/>
        <tr r="L9" s="446"/>
      </tp>
      <tp>
        <v>326.12</v>
        <stp/>
        <stp>BDP|13113113388917834281|22</stp>
        <stp>TSM Equity</stp>
        <stp>LAST_PRICE</stp>
        <tr r="I33" s="1"/>
        <tr r="I34" s="1"/>
        <tr r="I35" s="1"/>
      </tp>
      <tp>
        <v>-0.55367797613143921</v>
        <stp/>
        <stp>BDP|16744070427508501583|22</stp>
        <stp>QQQ US 01/15/26 P622 Equity</stp>
        <stp>DELTA_MID_RT</stp>
        <tr r="W69" s="89"/>
      </tp>
      <tp>
        <v>328.38</v>
        <stp/>
        <stp>BDP|16760158171648826820|22</stp>
        <stp>GOOG Equity</stp>
        <stp>LAST_PRICE</stp>
        <tr r="I19" s="1"/>
        <tr r="I20" s="1"/>
      </tp>
      <tp>
        <v>0.2</v>
        <stp/>
        <stp>BDP|9704315770915911503|22</stp>
        <stp>ASHR US 02/20/26 C35 Equity</stp>
        <stp>bid</stp>
        <tr r="P4" s="2"/>
        <tr r="P5" s="2"/>
      </tp>
      <tp>
        <v>-0.36297774314880371</v>
        <stp/>
        <stp>BDP|4306646786803793992|22</stp>
        <stp>META US 04/17/26 P590 Equity</stp>
        <stp>DELTA_MID_RT</stp>
        <tr r="W171" s="89"/>
      </tp>
      <tp t="s">
        <v>#N/A N/A</v>
        <stp/>
        <stp>BDP|9153761627908789010|22</stp>
        <stp>TSM US 01/16/26 P325 Equity</stp>
        <stp>bid</stp>
        <tr r="K196" s="89"/>
      </tp>
      <tp>
        <v>5.13</v>
        <stp/>
        <stp>BDP|3594311825168290582|22</stp>
        <stp>QQQ US 01/23/26 P620 Equity</stp>
        <stp>ask</stp>
        <tr r="L213" s="89"/>
      </tp>
      <tp>
        <v>9.65</v>
        <stp/>
        <stp>BDP|7029302373160148016|22</stp>
        <stp>GDX US 09/18/26 C115 Equity</stp>
        <stp>bid</stp>
        <tr r="P27" s="2"/>
        <tr r="K8" s="89"/>
      </tp>
      <tp t="s">
        <v>#N/A Real Time</v>
        <stp/>
        <stp>BDP|3703572431849033805|22</stp>
        <stp>3OF5C    22500 Index</stp>
        <stp>DELTA_MID_RT</stp>
        <tr r="W109" s="89"/>
      </tp>
      <tp>
        <v>22.4</v>
        <stp/>
        <stp>BDP|12167170999494993919|22</stp>
        <stp>KHC Equity</stp>
        <stp>LAST_PRICE</stp>
        <tr r="I43" s="1"/>
      </tp>
      <tp>
        <v>5752</v>
        <stp/>
        <stp>BDP|18259571086573127790|22</stp>
        <stp>HCTA Index</stp>
        <stp>LAST PRICE</stp>
        <tr r="L12" s="446"/>
      </tp>
      <tp>
        <v>2.54</v>
        <stp/>
        <stp>BDP|5295851568697877083|22</stp>
        <stp>MRVL US 03/20/26 P70 Equity</stp>
        <stp>bid</stp>
        <tr r="K63" s="89"/>
        <tr r="P18" s="2"/>
      </tp>
      <tp>
        <v>2.7</v>
        <stp/>
        <stp>BDP|6711845542581076228|22</stp>
        <stp>QQQ US 01/23/26 P615 Equity</stp>
        <stp>bid</stp>
        <tr r="K75" s="89"/>
      </tp>
      <tp>
        <v>-0.68131428956985474</v>
        <stp/>
        <stp>BDP|16967601055027963942|22</stp>
        <stp>QQQ US 01/23/26 P620 Equity</stp>
        <stp>DELTA_MID_RT</stp>
        <tr r="W213" s="89"/>
      </tp>
      <tp>
        <v>0.4</v>
        <stp/>
        <stp>BDP|8465872380432047250|22</stp>
        <stp>ASHR US 02/20/26 C35 Equity</stp>
        <stp>ask</stp>
        <tr r="Q4" s="2"/>
        <tr r="Q5" s="2"/>
      </tp>
      <tp>
        <v>326.12</v>
        <stp/>
        <stp>BDP|18226792745994375460|22</stp>
        <stp>TSM Equity</stp>
        <stp>LAST PRICE</stp>
        <tr r="G13" s="338"/>
        <tr r="G34" s="338"/>
      </tp>
      <tp>
        <v>3.9510000497102737E-3</v>
        <stp/>
        <stp>BDP|11292885437955738515|22</stp>
        <stp>QQQ US 01/16/26 C633 Equity</stp>
        <stp>DELTA_MID_RT</stp>
        <tr r="W204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0.36480006575584412</v>
        <stp/>
        <stp>BDP|18231477560940764707|22</stp>
        <stp>TSM US 07/17/26 C380 Equity</stp>
        <stp>DELTA_MID_RT</stp>
        <tr r="W20" s="89"/>
      </tp>
      <tp>
        <v>4723.07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P&amp;L'!$B$12:$B$44</c:f>
              <c:strCache>
                <c:ptCount val="3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1OH6</c:v>
                </c:pt>
                <c:pt idx="4">
                  <c:v>GDX</c:v>
                </c:pt>
                <c:pt idx="5">
                  <c:v>GDX</c:v>
                </c:pt>
                <c:pt idx="6">
                  <c:v>COPX</c:v>
                </c:pt>
                <c:pt idx="7">
                  <c:v>GOOG</c:v>
                </c:pt>
                <c:pt idx="8">
                  <c:v>GOOG</c:v>
                </c:pt>
                <c:pt idx="9">
                  <c:v>AMZN</c:v>
                </c:pt>
                <c:pt idx="10">
                  <c:v>META</c:v>
                </c:pt>
                <c:pt idx="11">
                  <c:v>MSFT</c:v>
                </c:pt>
                <c:pt idx="12">
                  <c:v>MSFT</c:v>
                </c:pt>
                <c:pt idx="13">
                  <c:v>000660 KP</c:v>
                </c:pt>
                <c:pt idx="14">
                  <c:v>000660 KP</c:v>
                </c:pt>
                <c:pt idx="15">
                  <c:v>SNDK</c:v>
                </c:pt>
                <c:pt idx="16">
                  <c:v>EWY</c:v>
                </c:pt>
                <c:pt idx="17">
                  <c:v>LITE</c:v>
                </c:pt>
                <c:pt idx="18">
                  <c:v>LITE</c:v>
                </c:pt>
                <c:pt idx="19">
                  <c:v>AVGO</c:v>
                </c:pt>
                <c:pt idx="20">
                  <c:v>AVGO</c:v>
                </c:pt>
                <c:pt idx="21">
                  <c:v>TSM</c:v>
                </c:pt>
                <c:pt idx="22">
                  <c:v>TSM</c:v>
                </c:pt>
                <c:pt idx="23">
                  <c:v>TSM</c:v>
                </c:pt>
                <c:pt idx="24">
                  <c:v>NVDA</c:v>
                </c:pt>
                <c:pt idx="25">
                  <c:v>MRVL</c:v>
                </c:pt>
                <c:pt idx="26">
                  <c:v>MRVL</c:v>
                </c:pt>
                <c:pt idx="27">
                  <c:v>RIOT</c:v>
                </c:pt>
                <c:pt idx="28">
                  <c:v>RIOT</c:v>
                </c:pt>
                <c:pt idx="29">
                  <c:v>XLF</c:v>
                </c:pt>
                <c:pt idx="30">
                  <c:v>XLF</c:v>
                </c:pt>
                <c:pt idx="31">
                  <c:v>KHC</c:v>
                </c:pt>
                <c:pt idx="32">
                  <c:v>XLP</c:v>
                </c:pt>
              </c:strCache>
            </c:strRef>
          </c:cat>
          <c:val>
            <c:numRef>
              <c:f>'Master P&amp;L'!$J$12:$J$44</c:f>
              <c:numCache>
                <c:formatCode>0.00%</c:formatCode>
                <c:ptCount val="33"/>
                <c:pt idx="0">
                  <c:v>3.8672332040150303E-2</c:v>
                </c:pt>
                <c:pt idx="1">
                  <c:v>8.1722437008398874E-2</c:v>
                </c:pt>
                <c:pt idx="2">
                  <c:v>7.4671445639187262E-3</c:v>
                </c:pt>
                <c:pt idx="3">
                  <c:v>1.4514957668852135E-2</c:v>
                </c:pt>
                <c:pt idx="4">
                  <c:v>-1.449698384899778E-2</c:v>
                </c:pt>
                <c:pt idx="5">
                  <c:v>-3.947498272969252E-4</c:v>
                </c:pt>
                <c:pt idx="6">
                  <c:v>4.9066539013882249E-3</c:v>
                </c:pt>
                <c:pt idx="7">
                  <c:v>1.9307176558231776E-2</c:v>
                </c:pt>
                <c:pt idx="8">
                  <c:v>4.9577671685641089E-3</c:v>
                </c:pt>
                <c:pt idx="9">
                  <c:v>1.2987012987013546E-3</c:v>
                </c:pt>
                <c:pt idx="10">
                  <c:v>1.4632854399788231E-2</c:v>
                </c:pt>
                <c:pt idx="11">
                  <c:v>-2.290328258382468E-2</c:v>
                </c:pt>
                <c:pt idx="12">
                  <c:v>-1.8519746292735784E-2</c:v>
                </c:pt>
                <c:pt idx="13">
                  <c:v>-4.0376850605652326E-3</c:v>
                </c:pt>
                <c:pt idx="14">
                  <c:v>-1.2016021361815787E-2</c:v>
                </c:pt>
                <c:pt idx="15">
                  <c:v>0.10630737994350281</c:v>
                </c:pt>
                <c:pt idx="16">
                  <c:v>4.2263674867081269E-2</c:v>
                </c:pt>
                <c:pt idx="17">
                  <c:v>1.5721772272510703E-2</c:v>
                </c:pt>
                <c:pt idx="18">
                  <c:v>3.7664783427495685E-3</c:v>
                </c:pt>
                <c:pt idx="19">
                  <c:v>-1.1425135297654876E-2</c:v>
                </c:pt>
                <c:pt idx="20">
                  <c:v>1.7365871492551754E-3</c:v>
                </c:pt>
                <c:pt idx="21">
                  <c:v>-3.1788727228267977E-3</c:v>
                </c:pt>
                <c:pt idx="22">
                  <c:v>-1.3640625472582601E-2</c:v>
                </c:pt>
                <c:pt idx="23">
                  <c:v>-1.0708327013499108E-2</c:v>
                </c:pt>
                <c:pt idx="24">
                  <c:v>2.8696579996630556E-2</c:v>
                </c:pt>
                <c:pt idx="25">
                  <c:v>3.4461152882205415E-2</c:v>
                </c:pt>
                <c:pt idx="26">
                  <c:v>-1.6910801476717863E-2</c:v>
                </c:pt>
                <c:pt idx="27">
                  <c:v>1.1607661056296514E-3</c:v>
                </c:pt>
                <c:pt idx="28">
                  <c:v>-4.6961325966850875E-2</c:v>
                </c:pt>
                <c:pt idx="29">
                  <c:v>4.8872180451127178E-3</c:v>
                </c:pt>
                <c:pt idx="30">
                  <c:v>-4.8399106478034248E-3</c:v>
                </c:pt>
                <c:pt idx="31">
                  <c:v>-5.7239057239057312E-2</c:v>
                </c:pt>
                <c:pt idx="32">
                  <c:v>6.6779990286547353E-4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178592</xdr:colOff>
      <xdr:row>8</xdr:row>
      <xdr:rowOff>190500</xdr:rowOff>
    </xdr:from>
    <xdr:to>
      <xdr:col>30</xdr:col>
      <xdr:colOff>142873</xdr:colOff>
      <xdr:row>48</xdr:row>
      <xdr:rowOff>39143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82936" y="1821656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0</xdr:rowOff>
    </xdr:from>
    <xdr:to>
      <xdr:col>21</xdr:col>
      <xdr:colOff>0</xdr:colOff>
      <xdr:row>46</xdr:row>
      <xdr:rowOff>44223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94094" y="2250281"/>
          <a:ext cx="4786312" cy="75213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43.748523726848" createdVersion="8" refreshedVersion="8" minRefreshableVersion="3" recordCount="33" xr:uid="{C35D4399-4CEF-409A-AF8E-A02DC4C552E4}">
  <cacheSource type="worksheet">
    <worksheetSource name="Tabelad"/>
  </cacheSource>
  <cacheFields count="34">
    <cacheField name="Ticker" numFmtId="172">
      <sharedItems containsBlank="1" count="182">
        <s v="BABA"/>
        <s v="BIDU"/>
        <s v="ASHR"/>
        <s v="1OH6"/>
        <s v="GDX"/>
        <s v="COPX"/>
        <s v="GOOG"/>
        <s v="AMZN"/>
        <s v="META"/>
        <s v="MSFT"/>
        <s v="000660 KP"/>
        <s v="SNDK"/>
        <s v="EWY"/>
        <s v="LITE"/>
        <s v="AVGO"/>
        <s v="TSM"/>
        <s v="NVDA"/>
        <s v="MRVL"/>
        <s v="RIOT"/>
        <s v="XLF"/>
        <s v="KHC"/>
        <s v="XLP"/>
        <s v="000660 KS" u="1"/>
        <s v="KMH6" u="1"/>
        <s v="AMAT" u="1"/>
        <s v="GDX " u="1"/>
        <s v="QQQE" u="1"/>
        <s v="QQQ" u="1"/>
        <s v="RSP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2000"/>
    </cacheField>
    <cacheField name="Price Today" numFmtId="43">
      <sharedItems containsSemiMixedTypes="0" containsString="0" containsNumber="1" minValue="17.215" maxValue="740000"/>
    </cacheField>
    <cacheField name="% Chg" numFmtId="10">
      <sharedItems containsSemiMixedTypes="0" containsString="0" containsNumber="1" minValue="-5.787037037037035E-2" maxValue="0.10530323093220328"/>
    </cacheField>
    <cacheField name="Price Yest" numFmtId="43">
      <sharedItems containsSemiMixedTypes="0" containsString="0" containsNumber="1" minValue="17.23" maxValue="749000"/>
    </cacheField>
    <cacheField name="FX" numFmtId="168">
      <sharedItems containsSemiMixedTypes="0" containsString="0" containsNumber="1" minValue="1" maxValue="1465.8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265725" maxValue="4854570"/>
    </cacheField>
    <cacheField name="D1 Exp %" numFmtId="198">
      <sharedItems containsSemiMixedTypes="0" containsString="0" containsNumber="1" minValue="-9.4556336701923701E-4" maxValue="2.025975594845172E-3"/>
    </cacheField>
    <cacheField name="D1 P&amp;L bps" numFmtId="170">
      <sharedItems containsSemiMixedTypes="0" containsString="0" containsNumber="1" minValue="-0.23387379795764368" maxValue="0.80891788469182502"/>
    </cacheField>
    <cacheField name="Options Exp USD (delta adj)" numFmtId="166">
      <sharedItems containsString="0" containsBlank="1" containsNumber="1" minValue="-1710510.745434463" maxValue="8767742.6688194275"/>
    </cacheField>
    <cacheField name="Option Exp %" numFmtId="10">
      <sharedItems containsString="0" containsBlank="1" containsNumber="1" minValue="-7.1385375532140749E-4" maxValue="3.659074370935188E-3"/>
    </cacheField>
    <cacheField name="Options P&amp;L bps" numFmtId="170">
      <sharedItems containsString="0" containsBlank="1" containsNumber="1" minValue="-0.37069664710185168" maxValue="9.7656082658972979E-2"/>
    </cacheField>
    <cacheField name="Exp" numFmtId="166">
      <sharedItems containsSemiMixedTypes="0" containsString="0" containsNumber="1" minValue="-2265725" maxValue="11701202.668819427"/>
    </cacheField>
    <cacheField name="Exp %" numFmtId="173">
      <sharedItems containsSemiMixedTypes="0" containsString="0" containsNumber="1" minValue="-9.4556336701923701E-4" maxValue="4.8833060471607896E-3"/>
    </cacheField>
    <cacheField name="P&amp;L bps" numFmtId="170">
      <sharedItems containsSemiMixedTypes="0" containsString="0" containsNumber="1" minValue="-0.46138075319286931" maxValue="0.80891788469182502"/>
    </cacheField>
    <cacheField name="xx" numFmtId="166">
      <sharedItems containsSemiMixedTypes="0" containsString="0" containsNumber="1" minValue="0.4705603931541687" maxValue="13919.0479581760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9089.415967464447"/>
    </cacheField>
    <cacheField name="Beta Adj" numFmtId="170">
      <sharedItems containsSemiMixedTypes="0" containsString="0" containsNumber="1" minValue="-0.22412072746985268" maxValue="1.2327083577834475"/>
    </cacheField>
    <cacheField name="Expo Beta Adj" numFmtId="10">
      <sharedItems containsMixedTypes="1" containsNumber="1" minValue="-1.3814552456852109E-3" maxValue="7.1867799088122485E-3"/>
    </cacheField>
    <cacheField name="Vol 10d" numFmtId="43">
      <sharedItems containsSemiMixedTypes="0" containsString="0" containsNumber="1" minValue="13.274774623569821" maxValue="114.18848225234608"/>
    </cacheField>
    <cacheField name="Beta Adj2" numFmtId="43">
      <sharedItems containsMixedTypes="1" containsNumber="1" minValue="0.36644059419631958" maxValue="2.0538508892059326"/>
    </cacheField>
    <cacheField name="Daily P&amp;L" numFmtId="166">
      <sharedItems containsSemiMixedTypes="0" containsString="0" containsNumber="1" minValue="-52528.875169921448" maxValue="181685.79361502195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3.6007060000000004E-3" maxValue="2.7484869999999998E-2"/>
    </cacheField>
    <cacheField name="Column4" numFmtId="170">
      <sharedItems containsMixedTypes="1" containsNumber="1" minValue="-6.3572650270723993E-2" maxValue="0.5568367584749222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m/>
    <s v="USD"/>
    <s v="Long"/>
    <m/>
    <n v="3378"/>
    <n v="168.68"/>
    <n v="3.8733912186711184E-2"/>
    <n v="162.38999999999999"/>
    <n v="1"/>
    <n v="1"/>
    <n v="569801.04"/>
    <n v="2.3779716863849893E-4"/>
    <n v="8.8673475855831338E-2"/>
    <n v="0"/>
    <n v="0"/>
    <n v="0"/>
    <n v="569801.04"/>
    <n v="2.3779716863849893E-4"/>
    <n v="8.8673475855831338E-2"/>
    <n v="1420.538360208679"/>
    <m/>
    <n v="1182.3"/>
    <n v="9.8929444934371003E-2"/>
    <n v="2.0300536924877912E-4"/>
    <n v="66.563917813345739"/>
    <n v="0.85369127988815308"/>
    <n v="19916.37363736485"/>
    <m/>
    <s v="20/02/2026"/>
    <e v="#VALUE!"/>
    <e v="#VALUE!"/>
    <s v="12/06/2025"/>
  </r>
  <r>
    <x v="1"/>
    <x v="0"/>
    <m/>
    <s v="USD"/>
    <s v="Long"/>
    <m/>
    <n v="3510"/>
    <n v="162.06"/>
    <n v="8.0255965871217194E-2"/>
    <n v="150.02000000000001"/>
    <n v="1"/>
    <n v="1"/>
    <n v="568830.6"/>
    <n v="2.3739217133569732E-4"/>
    <n v="0.17636688528210501"/>
    <n v="0"/>
    <n v="0"/>
    <n v="0"/>
    <n v="568830.6"/>
    <n v="2.3739217133569732E-4"/>
    <n v="0.17636688528210501"/>
    <n v="1478.5660286313712"/>
    <m/>
    <n v="1228.4999999999998"/>
    <n v="8.9719423577687557E-2"/>
    <n v="2.4577670337287683E-4"/>
    <n v="60.470013360846629"/>
    <n v="1.0353193283081055"/>
    <n v="39612.620917754088"/>
    <m/>
    <s v="17/02/2026"/>
    <e v="#VALUE!"/>
    <e v="#VALUE!"/>
    <s v="#N/A Field Not Applicable"/>
  </r>
  <r>
    <x v="2"/>
    <x v="0"/>
    <m/>
    <s v="USD"/>
    <s v="Long"/>
    <m/>
    <m/>
    <n v="33.729999999999997"/>
    <n v="7.4671445639187262E-3"/>
    <n v="33.479999999999997"/>
    <n v="1"/>
    <n v="1"/>
    <n v="0"/>
    <n v="0"/>
    <n v="0"/>
    <n v="1839674.287378788"/>
    <n v="7.6775805245235073E-4"/>
    <n v="1.5821159644733837E-2"/>
    <n v="1839674.287378788"/>
    <n v="7.6775805245235073E-4"/>
    <n v="1.5821159644733837E-2"/>
    <n v="7103.9552505188267"/>
    <m/>
    <n v="19089.415967464447"/>
    <n v="7.2052893470282403E-2"/>
    <n v="8.7897257760039134E-4"/>
    <n v="15.015749972821906"/>
    <n v="1.1448562145233154"/>
    <n v="0"/>
    <m/>
    <s v="#N/A N/A"/>
    <n v="5.6749890000000001E-3"/>
    <n v="4.3570185023285128E-2"/>
    <s v="19/12/2025"/>
  </r>
  <r>
    <x v="3"/>
    <x v="1"/>
    <m/>
    <s v="USD"/>
    <s v="Short"/>
    <m/>
    <m/>
    <n v="25460.75"/>
    <n v="1.3191798402260257E-2"/>
    <n v="25129.25"/>
    <n v="1"/>
    <n v="20"/>
    <n v="0"/>
    <n v="0"/>
    <n v="0"/>
    <n v="-1710510.745434463"/>
    <n v="-7.1385375532140749E-4"/>
    <n v="-0.1333464595350215"/>
    <n v="-1710510.745434463"/>
    <n v="-7.1385375532140749E-4"/>
    <n v="-0.1333464595350215"/>
    <n v="0.4705603931541687"/>
    <m/>
    <n v="-23.513791263103485"/>
    <n v="-8.3602929289927103E-2"/>
    <e v="#VALUE!"/>
    <n v="18.738388061523438"/>
    <s v="#N/A Field Not Applicable"/>
    <n v="0"/>
    <m/>
    <s v="#N/A Field Not Applicable"/>
    <e v="#VALUE!"/>
    <e v="#VALUE!"/>
    <s v="#N/A Field Not Applicable"/>
  </r>
  <r>
    <x v="4"/>
    <x v="2"/>
    <m/>
    <s v="USD"/>
    <m/>
    <m/>
    <n v="12300"/>
    <n v="101.34"/>
    <n v="-1.4010507880910628E-2"/>
    <n v="102.78"/>
    <n v="1"/>
    <n v="1"/>
    <n v="1246482"/>
    <n v="5.2019892831163214E-4"/>
    <n v="-7.3918142566484019E-2"/>
    <n v="1088912.2778177261"/>
    <n v="4.5443977526042037E-4"/>
    <n v="-0.19969416902700177"/>
    <n v="2335394.2778177261"/>
    <n v="9.7463870357205251E-4"/>
    <n v="-0.27361231159348576"/>
    <n v="2364.4800730215115"/>
    <m/>
    <n v="8065.7982754707336"/>
    <n v="0.20916567634408756"/>
    <n v="9.6520277478960126E-4"/>
    <n v="34.337347873010991"/>
    <n v="0.99031853675842285"/>
    <n v="-16602.274036574661"/>
    <m/>
    <s v="#N/A N/A"/>
    <n v="2.062661E-2"/>
    <n v="0.20103492429486333"/>
    <s v="22/12/2025"/>
  </r>
  <r>
    <x v="4"/>
    <x v="2"/>
    <m/>
    <s v="USD"/>
    <m/>
    <m/>
    <n v="2500"/>
    <n v="101.34"/>
    <n v="3.9486673247779436E-4"/>
    <n v="101.3"/>
    <n v="1"/>
    <n v="1"/>
    <n v="253350"/>
    <n v="1.0573148949423416E-4"/>
    <n v="4.1733368657687265E-4"/>
    <m/>
    <m/>
    <m/>
    <n v="253350"/>
    <n v="1.0573148949423416E-4"/>
    <n v="4.1733368657687265E-4"/>
    <n v="2364.4800730215115"/>
    <m/>
    <n v="874.99999999999977"/>
    <n v="2.2690868349344532E-2"/>
    <n v="1.0470785396521854E-4"/>
    <n v="34.337347873010991"/>
    <n v="0.99031853675842285"/>
    <n v="93.734609510937688"/>
    <m/>
    <s v="#N/A N/A"/>
    <n v="2.062661E-2"/>
    <n v="2.1808821985166652E-2"/>
    <s v="22/12/2025"/>
  </r>
  <r>
    <x v="5"/>
    <x v="2"/>
    <m/>
    <s v="USD"/>
    <m/>
    <m/>
    <n v="6000"/>
    <n v="84.01"/>
    <n v="5.5056852184320881E-3"/>
    <n v="83.55"/>
    <n v="1"/>
    <n v="1"/>
    <n v="504060.00000000006"/>
    <n v="2.1036121805590558E-4"/>
    <n v="1.1518409749520083E-2"/>
    <m/>
    <m/>
    <m/>
    <n v="504060.00000000006"/>
    <n v="2.1036121805590558E-4"/>
    <n v="1.1518409749520083E-2"/>
    <n v="2852.2367646708722"/>
    <m/>
    <n v="2100"/>
    <n v="3.8100217314758572E-2"/>
    <n v="2.1608143480770283E-4"/>
    <n v="28.978890817894438"/>
    <n v="1.0271923542022705"/>
    <n v="2587.0752225015203"/>
    <m/>
    <s v="#N/A N/A"/>
    <e v="#VALUE!"/>
    <e v="#VALUE!"/>
    <s v="30/12/2025"/>
  </r>
  <r>
    <x v="6"/>
    <x v="3"/>
    <m/>
    <s v="USD"/>
    <s v="Long"/>
    <m/>
    <n v="7400"/>
    <n v="328.25"/>
    <n v="1.8903650360069468E-2"/>
    <n v="322.16000000000003"/>
    <n v="1"/>
    <n v="1"/>
    <n v="2429050"/>
    <n v="1.0137243913793941E-3"/>
    <n v="0.18807559919270331"/>
    <n v="0"/>
    <n v="0"/>
    <n v="0"/>
    <n v="2429050"/>
    <n v="1.0137243913793941E-3"/>
    <n v="0.18807559919270331"/>
    <n v="729.98144889565879"/>
    <m/>
    <n v="2590"/>
    <n v="0.14294451142579065"/>
    <n v="1.0329258738803581E-3"/>
    <n v="22.561479256709344"/>
    <n v="1.0189415216445923"/>
    <n v="42242.439122192416"/>
    <m/>
    <s v="04/02/2026"/>
    <n v="-3.6007060000000004E-3"/>
    <n v="-3.6501234983861333E-2"/>
    <s v="08/12/2025"/>
  </r>
  <r>
    <x v="6"/>
    <x v="3"/>
    <m/>
    <s v="USD"/>
    <s v="Long"/>
    <m/>
    <n v="7400"/>
    <n v="328.25"/>
    <n v="4.55992165503738E-3"/>
    <n v="326.76"/>
    <n v="1"/>
    <n v="1"/>
    <n v="2429050"/>
    <n v="1.0137243913793941E-3"/>
    <n v="4.6015212281959074E-2"/>
    <m/>
    <m/>
    <m/>
    <n v="2429050"/>
    <n v="1.0137243913793941E-3"/>
    <n v="4.6015212281959074E-2"/>
    <n v="729.98144889565879"/>
    <m/>
    <n v="2590"/>
    <n v="0.14294451142579065"/>
    <n v="1.0329258738803581E-3"/>
    <n v="22.561479256709344"/>
    <n v="1.0189415216445923"/>
    <n v="10335.178044674438"/>
    <m/>
    <s v="04/02/2026"/>
    <n v="-3.6007060000000004E-3"/>
    <n v="-3.6501234983861333E-2"/>
    <s v="08/12/2025"/>
  </r>
  <r>
    <x v="7"/>
    <x v="3"/>
    <m/>
    <s v="USD"/>
    <s v="Long"/>
    <m/>
    <n v="11435"/>
    <n v="231.27"/>
    <n v="1.1688311688311526E-3"/>
    <n v="231"/>
    <n v="1"/>
    <n v="1"/>
    <n v="2644572.4500000002"/>
    <n v="1.1036691699779599E-3"/>
    <n v="1.2884968906216132E-2"/>
    <n v="0"/>
    <n v="0"/>
    <n v="0"/>
    <n v="2644572.4500000002"/>
    <n v="1.1036691699779599E-3"/>
    <n v="1.2884968906216132E-2"/>
    <n v="1036.0894651273404"/>
    <m/>
    <n v="4002.2500000000005"/>
    <n v="0.18839078493120429"/>
    <n v="1.4118248705286148E-3"/>
    <n v="27.311196515160997"/>
    <n v="1.2792102098464966"/>
    <n v="2894.0092013451035"/>
    <m/>
    <s v="06/02/2026"/>
    <n v="8.659858E-5"/>
    <n v="9.5576182909869959E-4"/>
    <s v="#N/A Field Not Applicable"/>
  </r>
  <r>
    <x v="8"/>
    <x v="3"/>
    <m/>
    <s v="USD"/>
    <s v="Long"/>
    <m/>
    <n v="6000"/>
    <n v="612.33000000000004"/>
    <n v="1.3590015228762464E-2"/>
    <n v="604.12"/>
    <n v="1"/>
    <n v="1"/>
    <n v="3673980.0000000005"/>
    <n v="1.5332756178094591E-3"/>
    <n v="0.20557857400773627"/>
    <n v="1166795.2132630348"/>
    <n v="4.8694294783123459E-4"/>
    <n v="5.6381781056526768E-2"/>
    <n v="4840775.2132630348"/>
    <n v="2.0202185656406934E-3"/>
    <n v="0.26196035506426302"/>
    <n v="391.31907729492264"/>
    <m/>
    <n v="2766.9252276420589"/>
    <n v="0.33707270089996993"/>
    <n v="2.4536892486097237E-3"/>
    <n v="26.695939271744727"/>
    <n v="1.2145662307739258"/>
    <n v="46173.668645080892"/>
    <m/>
    <s v="28/01/2026"/>
    <e v="#VALUE!"/>
    <e v="#VALUE!"/>
    <s v="15/12/2025"/>
  </r>
  <r>
    <x v="9"/>
    <x v="3"/>
    <m/>
    <s v="USD"/>
    <s v="Long"/>
    <m/>
    <n v="4610"/>
    <n v="443.73"/>
    <n v="-2.3739329402446496E-2"/>
    <n v="454.52"/>
    <n v="1"/>
    <n v="1"/>
    <n v="2045595.3"/>
    <n v="8.5369582779319046E-4"/>
    <n v="-0.20758970504334828"/>
    <n v="2023477.9304824769"/>
    <n v="8.4446550443506097E-4"/>
    <n v="-0.25379104814952103"/>
    <n v="4069073.2304824768"/>
    <n v="1.6981613322282513E-3"/>
    <n v="-0.46138075319286931"/>
    <n v="540.00498185833726"/>
    <m/>
    <n v="3209.5545279085636"/>
    <n v="0.17318214692566197"/>
    <n v="1.736531571394655E-3"/>
    <n v="16.317144303213652"/>
    <n v="1.0225951671600342"/>
    <n v="-46625.375728313673"/>
    <m/>
    <s v="28/01/2026"/>
    <e v="#VALUE!"/>
    <e v="#VALUE!"/>
    <s v="19/02/2026"/>
  </r>
  <r>
    <x v="9"/>
    <x v="3"/>
    <m/>
    <s v="USD"/>
    <s v="Long"/>
    <m/>
    <n v="-1392"/>
    <n v="443.73"/>
    <n v="-1.5617720788872247E-2"/>
    <n v="450.77"/>
    <n v="1"/>
    <n v="1"/>
    <n v="-617672.16"/>
    <n v="-2.5777539962865966E-4"/>
    <n v="4.0897365816729876E-2"/>
    <m/>
    <m/>
    <m/>
    <n v="-617672.16"/>
    <n v="-2.5777539962865966E-4"/>
    <n v="4.0897365816729876E-2"/>
    <n v="540.00498185833726"/>
    <m/>
    <n v="-487.2"/>
    <n v="-2.6288489959746295E-2"/>
    <n v="-2.6359987787301386E-4"/>
    <n v="16.317144303213652"/>
    <n v="1.0225951671600342"/>
    <n v="9185.6917813199761"/>
    <m/>
    <s v="28/01/2026"/>
    <e v="#VALUE!"/>
    <e v="#VALUE!"/>
    <s v="19/02/2026"/>
  </r>
  <r>
    <x v="10"/>
    <x v="4"/>
    <m/>
    <s v="KRW"/>
    <s v="Long"/>
    <m/>
    <n v="1500"/>
    <n v="740000"/>
    <n v="-4.0376850605652326E-3"/>
    <n v="743000"/>
    <n v="1465.85"/>
    <n v="1"/>
    <n v="757239.82672169735"/>
    <n v="3.1602168850854883E-4"/>
    <n v="-1.28116900746709E-2"/>
    <n v="0"/>
    <n v="0"/>
    <n v="0"/>
    <n v="757239.82672169735"/>
    <n v="3.1602168850854883E-4"/>
    <n v="-1.28116900746709E-2"/>
    <n v="474.65096686217566"/>
    <m/>
    <n v="0.35815397209810013"/>
    <n v="4.4713079150142235E-2"/>
    <n v="5.0225832589365278E-4"/>
    <n v="22.637979999999999"/>
    <n v="1.589316"/>
    <n v="-2877.5505188058378"/>
    <m/>
    <s v="29/01/2026"/>
    <e v="#VALUE!"/>
    <e v="#VALUE!"/>
    <s v="27/11/2025"/>
  </r>
  <r>
    <x v="10"/>
    <x v="4"/>
    <m/>
    <s v="KRW"/>
    <s v="Long"/>
    <m/>
    <n v="900"/>
    <n v="740000"/>
    <n v="-1.2016021361815787E-2"/>
    <n v="749000"/>
    <n v="1465.85"/>
    <n v="1"/>
    <n v="454343.89603301842"/>
    <n v="1.896130131051293E-4"/>
    <n v="-2.3061042134407617E-2"/>
    <n v="0"/>
    <n v="0"/>
    <n v="0"/>
    <n v="454343.89603301842"/>
    <n v="1.896130131051293E-4"/>
    <n v="-2.3061042134407617E-2"/>
    <n v="474.65096686217566"/>
    <m/>
    <n v="0.21489238325886006"/>
    <n v="2.6827847490085346E-2"/>
    <n v="3.0135499553619167E-4"/>
    <n v="22.637979999999999"/>
    <n v="1.589316"/>
    <n v="-5179.5909338505071"/>
    <m/>
    <s v="29/01/2026"/>
    <e v="#VALUE!"/>
    <e v="#VALUE!"/>
    <s v="27/11/2025"/>
  </r>
  <r>
    <x v="11"/>
    <x v="4"/>
    <m/>
    <s v="USD"/>
    <s v="Long"/>
    <m/>
    <m/>
    <n v="500.83499999999998"/>
    <n v="0.10530323093220328"/>
    <n v="453.12"/>
    <n v="1"/>
    <n v="1"/>
    <n v="0"/>
    <n v="0"/>
    <n v="0"/>
    <n v="285152.02136456966"/>
    <n v="1.1900354431090441E-4"/>
    <n v="8.530300553629945E-2"/>
    <n v="285152.02136456966"/>
    <n v="1.1900354431090441E-4"/>
    <n v="8.530300553629945E-2"/>
    <n v="478.43383669272316"/>
    <m/>
    <n v="199.27362799644467"/>
    <n v="6.8325217857828871E-2"/>
    <e v="#VALUE!"/>
    <n v="91.863103074409082"/>
    <s v="#N/A N/A"/>
    <n v="0"/>
    <m/>
    <s v="29/01/2026"/>
    <n v="2.2687140000000001E-2"/>
    <n v="2.6998500702776922E-2"/>
    <s v="#N/A N/A"/>
  </r>
  <r>
    <x v="12"/>
    <x v="4"/>
    <m/>
    <s v="USD"/>
    <s v="Long"/>
    <m/>
    <n v="42000"/>
    <n v="115.58499999999999"/>
    <n v="4.1587816526989174E-2"/>
    <n v="110.97"/>
    <n v="1"/>
    <n v="1"/>
    <n v="4854570"/>
    <n v="2.025975594845172E-3"/>
    <n v="0.80891788469182502"/>
    <n v="0"/>
    <n v="0"/>
    <n v="0"/>
    <n v="4854570"/>
    <n v="2.025975594845172E-3"/>
    <n v="0.80891788469182502"/>
    <n v="2073.0753177315396"/>
    <m/>
    <n v="14700"/>
    <n v="0.35814066269780498"/>
    <n v="1.8836451849033864E-3"/>
    <n v="28.283907356755666"/>
    <n v="0.92974722385406494"/>
    <n v="181685.79361502195"/>
    <m/>
    <s v="#N/A N/A"/>
    <n v="2.7484869999999998E-2"/>
    <n v="0.5568367584749222"/>
    <s v="16/12/2025"/>
  </r>
  <r>
    <x v="13"/>
    <x v="5"/>
    <m/>
    <s v="USD"/>
    <s v="Long"/>
    <m/>
    <n v="-1876"/>
    <n v="362.82499999999999"/>
    <n v="1.6800717428467449E-2"/>
    <n v="356.83"/>
    <n v="1"/>
    <n v="1"/>
    <n v="-680659.7"/>
    <n v="-2.8406222190526377E-4"/>
    <n v="-4.6935933861284571E-2"/>
    <n v="1477756.4833782613"/>
    <n v="6.1671756107102842E-4"/>
    <n v="9.7656082658972979E-2"/>
    <n v="797096.78337826137"/>
    <n v="3.3265533916576471E-4"/>
    <n v="5.0720148797688408E-2"/>
    <n v="660.41868834837737"/>
    <m/>
    <n v="768.92130967378614"/>
    <n v="0.23740880182798804"/>
    <n v="6.7211938737043141E-4"/>
    <n v="114.18848225234608"/>
    <n v="2.0204677581787109"/>
    <n v="-10541.97534017738"/>
    <m/>
    <s v="03/02/2026"/>
    <e v="#VALUE!"/>
    <e v="#VALUE!"/>
    <s v="#N/A N/A"/>
  </r>
  <r>
    <x v="13"/>
    <x v="5"/>
    <m/>
    <s v="USD"/>
    <s v="Long"/>
    <m/>
    <n v="1876"/>
    <n v="362.82499999999999"/>
    <n v="4.8327240500720681E-3"/>
    <n v="361.08"/>
    <n v="1"/>
    <n v="1"/>
    <n v="680659.7"/>
    <n v="2.8406222190526377E-4"/>
    <n v="1.366191903051572E-2"/>
    <m/>
    <m/>
    <m/>
    <n v="680659.7"/>
    <n v="2.8406222190526377E-4"/>
    <n v="1.366191903051572E-2"/>
    <n v="660.41868834837737"/>
    <m/>
    <n v="656.59999999999991"/>
    <n v="0.20272896240369503"/>
    <n v="5.7393856067619185E-4"/>
    <n v="114.18848225234608"/>
    <n v="2.0204677581787109"/>
    <n v="3068.5149238714871"/>
    <m/>
    <s v="03/02/2026"/>
    <e v="#VALUE!"/>
    <e v="#VALUE!"/>
    <s v="#N/A N/A"/>
  </r>
  <r>
    <x v="14"/>
    <x v="6"/>
    <m/>
    <s v="USD"/>
    <s v="Long"/>
    <m/>
    <n v="12000"/>
    <n v="327.93"/>
    <n v="-1.4040889957907421E-2"/>
    <n v="332.6"/>
    <n v="1"/>
    <n v="1"/>
    <n v="3935160"/>
    <n v="1.6422748300695897E-3"/>
    <n v="-0.23387379795764368"/>
    <n v="569297.31392338872"/>
    <n v="2.3758694677792188E-4"/>
    <n v="-4.4028703933853268E-2"/>
    <n v="4504457.3139233887"/>
    <n v="1.8798617768475115E-3"/>
    <n v="-0.27790250189149696"/>
    <n v="730.69377794041407"/>
    <m/>
    <n v="4807.6115630567074"/>
    <n v="0.61570594337413986"/>
    <n v="3.7951429788580363E-3"/>
    <n v="52.40435874230419"/>
    <n v="2.0188415050506592"/>
    <n v="-52528.875169921448"/>
    <m/>
    <s v="06/03/2026"/>
    <n v="9.2904279999999999E-3"/>
    <n v="0.17464720487753871"/>
    <s v="22/12/2025"/>
  </r>
  <r>
    <x v="14"/>
    <x v="6"/>
    <m/>
    <s v="USD"/>
    <s v="Long"/>
    <m/>
    <n v="-5000"/>
    <n v="327.93"/>
    <n v="-9.1399323645013908E-4"/>
    <n v="328.23"/>
    <n v="1"/>
    <n v="1"/>
    <n v="-1639650"/>
    <n v="-6.8428117919566234E-4"/>
    <n v="6.2600052986523484E-3"/>
    <m/>
    <m/>
    <m/>
    <n v="-1639650"/>
    <n v="-6.8428117919566234E-4"/>
    <n v="6.2600052986523484E-3"/>
    <n v="730.69377794041407"/>
    <m/>
    <n v="-1750"/>
    <n v="-0.22412072746985268"/>
    <n v="-1.3814552456852109E-3"/>
    <n v="52.40435874230419"/>
    <n v="2.0188415050506592"/>
    <n v="1406.0191426638987"/>
    <m/>
    <s v="06/03/2026"/>
    <n v="9.2904279999999999E-3"/>
    <n v="-6.3572650270723993E-2"/>
    <s v="22/12/2025"/>
  </r>
  <r>
    <x v="15"/>
    <x v="6"/>
    <m/>
    <s v="USD"/>
    <s v="Long"/>
    <m/>
    <n v="9000"/>
    <n v="325.94"/>
    <n v="-3.7290622325468759E-3"/>
    <n v="327.16000000000003"/>
    <n v="1"/>
    <n v="1"/>
    <n v="2933460"/>
    <n v="1.2242316762256017E-3"/>
    <n v="-4.5823238786134479E-2"/>
    <n v="8767742.6688194275"/>
    <n v="3.659074370935188E-3"/>
    <n v="-0.37069664710185168"/>
    <n v="11701202.668819427"/>
    <n v="4.8833060471607896E-3"/>
    <n v="-0.41651988588798616"/>
    <n v="735.15496901270171"/>
    <m/>
    <n v="12564.953470230101"/>
    <n v="1.2327083577834475"/>
    <n v="7.1867799088122485E-3"/>
    <n v="40.389304979159625"/>
    <n v="1.4717037677764893"/>
    <n v="-10292.06012429958"/>
    <m/>
    <s v="17/04/2026"/>
    <e v="#VALUE!"/>
    <e v="#VALUE!"/>
    <s v="17/03/2026"/>
  </r>
  <r>
    <x v="15"/>
    <x v="6"/>
    <m/>
    <s v="USD"/>
    <s v="Long"/>
    <m/>
    <n v="5600"/>
    <n v="325.94"/>
    <n v="-1.4185040679914107E-2"/>
    <n v="330.63"/>
    <n v="1"/>
    <n v="1"/>
    <n v="1825264"/>
    <n v="7.6174415409592988E-4"/>
    <n v="-0.10960851944253264"/>
    <m/>
    <m/>
    <m/>
    <n v="1825264"/>
    <n v="7.6174415409592988E-4"/>
    <n v="-0.10960851944253264"/>
    <n v="735.15496901270171"/>
    <m/>
    <n v="1959.9999999999998"/>
    <n v="0.19228948097420298"/>
    <n v="1.1210617416646947E-3"/>
    <n v="40.389304979159625"/>
    <n v="1.4717037677764893"/>
    <n v="-24618.45784194881"/>
    <m/>
    <s v="17/04/2026"/>
    <e v="#VALUE!"/>
    <e v="#VALUE!"/>
    <s v="17/03/2026"/>
  </r>
  <r>
    <x v="15"/>
    <x v="6"/>
    <m/>
    <s v="USD"/>
    <s v="Long"/>
    <m/>
    <n v="-5100"/>
    <n v="325.94"/>
    <n v="-1.1254360685575504E-2"/>
    <n v="329.65"/>
    <n v="1"/>
    <n v="1"/>
    <n v="-1662294"/>
    <n v="-6.9373128319450751E-4"/>
    <n v="7.8963706837197292E-2"/>
    <m/>
    <m/>
    <m/>
    <n v="-1662294"/>
    <n v="-6.9373128319450751E-4"/>
    <n v="7.8963706837197292E-2"/>
    <n v="735.15496901270171"/>
    <m/>
    <n v="-1784.9999999999998"/>
    <n v="-0.17512077731579198"/>
    <n v="-1.0209669433017753E-3"/>
    <n v="40.389304979159625"/>
    <n v="1.4717037677764893"/>
    <n v="17735.525465561648"/>
    <m/>
    <s v="17/04/2026"/>
    <e v="#VALUE!"/>
    <e v="#VALUE!"/>
    <s v="17/03/2026"/>
  </r>
  <r>
    <x v="16"/>
    <x v="6"/>
    <m/>
    <s v="USD"/>
    <s v="Long"/>
    <m/>
    <n v="25392"/>
    <n v="183.44"/>
    <n v="3.0156679957320076E-2"/>
    <n v="178.07"/>
    <n v="1"/>
    <n v="1"/>
    <n v="4657908.4799999995"/>
    <n v="1.9439021176957734E-3"/>
    <n v="0.56905551526528098"/>
    <n v="0"/>
    <n v="0"/>
    <n v="0"/>
    <n v="4657908.4799999995"/>
    <n v="1.9439021176957734E-3"/>
    <n v="0.56905551526528098"/>
    <n v="1306.2386098996947"/>
    <m/>
    <n v="8887.1999999999989"/>
    <n v="0.46598884030939863"/>
    <n v="3.612864447221528E-3"/>
    <n v="38.354922179868915"/>
    <n v="1.8585629463195801"/>
    <n v="127811.86429246304"/>
    <m/>
    <s v="25/02/2026"/>
    <n v="4.998031E-3"/>
    <n v="9.7156830452091239E-2"/>
    <s v="04/12/2025"/>
  </r>
  <r>
    <x v="17"/>
    <x v="6"/>
    <m/>
    <s v="USD"/>
    <s v="Short"/>
    <m/>
    <n v="-1500"/>
    <n v="82.5"/>
    <n v="3.383458646616555E-2"/>
    <n v="79.8"/>
    <n v="1"/>
    <n v="1"/>
    <n v="-123750"/>
    <n v="-5.1645043713879919E-5"/>
    <n v="-1.6902014306360718E-2"/>
    <n v="-339853.236079216"/>
    <n v="-1.4183220390799728E-4"/>
    <n v="-5.008004238921672E-2"/>
    <n v="-463603.236079216"/>
    <n v="-1.9347724762187719E-4"/>
    <n v="-6.6982056695577441E-2"/>
    <n v="2904.4413406060607"/>
    <m/>
    <n v="-1966.8016076087952"/>
    <n v="-3.1937119490697219E-2"/>
    <n v="-3.8277104905957803E-4"/>
    <n v="26.411059601685977"/>
    <n v="1.9783775806427002"/>
    <n v="-3796.251685192387"/>
    <m/>
    <s v="05/03/2026"/>
    <n v="8.5213070000000005E-3"/>
    <n v="-1.6486790245010357E-2"/>
    <s v="09/01/2026"/>
  </r>
  <r>
    <x v="17"/>
    <x v="6"/>
    <m/>
    <s v="USD"/>
    <s v="Short"/>
    <m/>
    <n v="-649"/>
    <n v="82.5"/>
    <n v="-1.7506252232940334E-2"/>
    <n v="83.97"/>
    <n v="1"/>
    <n v="1"/>
    <n v="-53542.5"/>
    <n v="-2.2345088913538713E-5"/>
    <n v="3.9814885700487131E-3"/>
    <m/>
    <m/>
    <m/>
    <n v="-53542.5"/>
    <n v="-2.2345088913538713E-5"/>
    <n v="3.9814885700487131E-3"/>
    <n v="2904.4413406060607"/>
    <m/>
    <n v="-227.15"/>
    <n v="-3.6884842193777717E-3"/>
    <n v="-4.4207022944012743E-5"/>
    <n v="26.411059601685977"/>
    <n v="1.9783775806427002"/>
    <n v="894.25629511705847"/>
    <m/>
    <s v="05/03/2026"/>
    <n v="8.5213070000000005E-3"/>
    <n v="-1.9040936257455985E-3"/>
    <s v="09/01/2026"/>
  </r>
  <r>
    <x v="18"/>
    <x v="7"/>
    <m/>
    <s v="USD"/>
    <s v="Long"/>
    <m/>
    <n v="2092"/>
    <n v="17.215"/>
    <n v="-8.705745792223496E-4"/>
    <n v="17.23"/>
    <n v="1"/>
    <n v="1"/>
    <n v="36013.78"/>
    <n v="1.5029763574966095E-5"/>
    <n v="-1.3095931084780715E-4"/>
    <m/>
    <m/>
    <m/>
    <n v="36013.78"/>
    <n v="1.5029763574966095E-5"/>
    <n v="-1.3095931084780715E-4"/>
    <n v="13919.04795817601"/>
    <m/>
    <n v="732.19999999999993"/>
    <n v="9.9227890133903596E-3"/>
    <n v="3.0868893282999054E-5"/>
    <n v="105.63348080783359"/>
    <n v="2.0538508892059326"/>
    <n v="-29.413920464528765"/>
    <m/>
    <s v="24/02/2026"/>
    <n v="7.7347730000000003E-3"/>
    <n v="1.1625180949603124E-3"/>
    <s v="12/10/2017"/>
  </r>
  <r>
    <x v="18"/>
    <x v="7"/>
    <m/>
    <s v="USD"/>
    <s v="Long"/>
    <m/>
    <n v="22000"/>
    <n v="17.215"/>
    <n v="-4.8895027624309528E-2"/>
    <n v="18.100000000000001"/>
    <n v="1"/>
    <n v="1"/>
    <n v="378730"/>
    <n v="1.5805678711723427E-4"/>
    <n v="-8.1254868776504549E-2"/>
    <n v="0"/>
    <n v="0"/>
    <n v="0"/>
    <n v="378730"/>
    <n v="1.5805678711723427E-4"/>
    <n v="-8.1254868776504549E-2"/>
    <n v="13919.04795817601"/>
    <m/>
    <n v="7699.9999999999982"/>
    <n v="0.1043505536781013"/>
    <n v="3.2462507276576438E-4"/>
    <n v="105.63348080783359"/>
    <n v="2.0538508892059326"/>
    <n v="-18250.128471776748"/>
    <m/>
    <s v="24/02/2026"/>
    <n v="7.7347730000000003E-3"/>
    <n v="1.2225333694611316E-2"/>
    <s v="12/10/2017"/>
  </r>
  <r>
    <x v="19"/>
    <x v="8"/>
    <m/>
    <s v="USD"/>
    <s v="Long"/>
    <m/>
    <n v="41300"/>
    <n v="53.424999999999997"/>
    <n v="4.2293233082706383E-3"/>
    <n v="53.2"/>
    <n v="1"/>
    <n v="1"/>
    <n v="2206452.5"/>
    <n v="9.2082695608161321E-4"/>
    <n v="3.8780732825148857E-2"/>
    <n v="0"/>
    <n v="0"/>
    <n v="0"/>
    <n v="2206452.5"/>
    <n v="9.2082695608161321E-4"/>
    <n v="3.8780732825148857E-2"/>
    <n v="4485.0989349555457"/>
    <m/>
    <n v="14454.999999999998"/>
    <n v="0.10128161871656609"/>
    <n v="9.2073397993684626E-4"/>
    <n v="17.598375989781857"/>
    <n v="0.99989902973175049"/>
    <n v="8710.2885888023047"/>
    <m/>
    <s v="#N/A N/A"/>
    <n v="3.383465E-3"/>
    <n v="3.1155857769586751E-2"/>
    <s v="22/12/2025"/>
  </r>
  <r>
    <x v="19"/>
    <x v="8"/>
    <m/>
    <s v="USD"/>
    <s v="Long"/>
    <m/>
    <n v="4450"/>
    <n v="53.424999999999997"/>
    <n v="-5.4914370811616209E-3"/>
    <n v="53.72"/>
    <n v="1"/>
    <n v="1"/>
    <n v="237741.25"/>
    <n v="9.9217432313878417E-5"/>
    <n v="-5.4785479705370711E-3"/>
    <m/>
    <m/>
    <m/>
    <n v="237741.25"/>
    <n v="9.9217432313878417E-5"/>
    <n v="-5.4785479705370711E-3"/>
    <n v="4485.0989349555457"/>
    <m/>
    <n v="1557.4999999999998"/>
    <n v="1.0912910491252278E-2"/>
    <n v="9.9207414303122653E-5"/>
    <n v="17.598375989781857"/>
    <n v="0.99989902973175049"/>
    <n v="-1230.5010863546493"/>
    <m/>
    <s v="#N/A N/A"/>
    <n v="3.383465E-3"/>
    <n v="3.3569870962387662E-3"/>
    <s v="22/12/2025"/>
  </r>
  <r>
    <x v="20"/>
    <x v="8"/>
    <m/>
    <s v="USD"/>
    <s v="Short"/>
    <m/>
    <n v="-10000"/>
    <n v="22.385000000000002"/>
    <n v="-5.787037037037035E-2"/>
    <n v="23.76"/>
    <n v="1"/>
    <n v="1"/>
    <n v="-223850.00000000003"/>
    <n v="-9.3420145740218352E-5"/>
    <n v="5.7383381904311019E-2"/>
    <n v="0"/>
    <n v="0"/>
    <n v="0"/>
    <n v="-223850.00000000003"/>
    <n v="-9.3420145740218352E-5"/>
    <n v="5.7383381904311019E-2"/>
    <n v="10704.329265132901"/>
    <m/>
    <n v="-3499.9999999999995"/>
    <n v="-2.4681445951867477E-2"/>
    <n v="-3.4232933714952388E-5"/>
    <n v="42.271731873339363"/>
    <n v="0.36644059419631958"/>
    <n v="12888.508807751916"/>
    <m/>
    <s v="11/02/2026"/>
    <e v="#VALUE!"/>
    <e v="#VALUE!"/>
    <s v="28/11/2025"/>
  </r>
  <r>
    <x v="21"/>
    <x v="8"/>
    <m/>
    <s v="USD"/>
    <s v="Short"/>
    <m/>
    <n v="-27500"/>
    <n v="82.39"/>
    <n v="3.6425449247201591E-4"/>
    <n v="82.36"/>
    <n v="1"/>
    <n v="1"/>
    <n v="-2265725"/>
    <n v="-9.4556336701923701E-4"/>
    <n v="-3.4430029142587921E-3"/>
    <n v="0"/>
    <n v="0"/>
    <n v="0"/>
    <n v="-2265725"/>
    <n v="-9.4556336701923701E-4"/>
    <n v="-3.4430029142587921E-3"/>
    <n v="2908.3190994052675"/>
    <m/>
    <n v="-9625"/>
    <n v="-7.8450878684276276E-2"/>
    <n v="-9.4832579452038381E-4"/>
    <n v="13.274774623569821"/>
    <n v="1.002921462059021"/>
    <n v="-773.31052846514444"/>
    <m/>
    <s v="#N/A N/A"/>
    <n v="-1.457051E-3"/>
    <n v="1.3777340494787464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4" firstHeaderRow="0" firstDataRow="1" firstDataCol="1"/>
  <pivotFields count="34">
    <pivotField axis="axisRow" showAll="0">
      <items count="183">
        <item m="1" x="179"/>
        <item m="1" x="175"/>
        <item m="1" x="155"/>
        <item m="1" x="81"/>
        <item m="1" x="136"/>
        <item x="2"/>
        <item m="1" x="99"/>
        <item m="1" x="60"/>
        <item m="1" x="101"/>
        <item m="1" x="80"/>
        <item m="1" x="112"/>
        <item x="4"/>
        <item m="1" x="180"/>
        <item m="1" x="173"/>
        <item m="1" x="178"/>
        <item m="1" x="85"/>
        <item m="1" x="151"/>
        <item m="1" x="47"/>
        <item m="1" x="34"/>
        <item x="8"/>
        <item m="1" x="48"/>
        <item x="9"/>
        <item m="1" x="93"/>
        <item m="1" x="120"/>
        <item x="16"/>
        <item m="1" x="181"/>
        <item m="1" x="28"/>
        <item m="1" x="35"/>
        <item m="1" x="73"/>
        <item x="15"/>
        <item m="1" x="45"/>
        <item m="1" x="44"/>
        <item m="1" x="33"/>
        <item x="19"/>
        <item x="21"/>
        <item m="1" x="177"/>
        <item m="1" x="176"/>
        <item m="1" x="43"/>
        <item m="1" x="61"/>
        <item m="1" x="167"/>
        <item m="1" x="37"/>
        <item m="1" x="27"/>
        <item m="1" x="53"/>
        <item m="1" x="54"/>
        <item m="1" x="55"/>
        <item m="1" x="65"/>
        <item m="1" x="59"/>
        <item m="1" x="74"/>
        <item m="1" x="174"/>
        <item m="1" x="89"/>
        <item m="1" x="133"/>
        <item m="1" x="117"/>
        <item m="1" x="56"/>
        <item m="1" x="165"/>
        <item m="1" x="115"/>
        <item m="1" x="171"/>
        <item m="1" x="110"/>
        <item m="1" x="172"/>
        <item m="1" x="161"/>
        <item m="1" x="170"/>
        <item m="1" x="166"/>
        <item x="7"/>
        <item m="1" x="168"/>
        <item m="1" x="169"/>
        <item m="1" x="153"/>
        <item m="1" x="164"/>
        <item m="1" x="96"/>
        <item m="1" x="141"/>
        <item x="14"/>
        <item m="1" x="139"/>
        <item m="1" x="148"/>
        <item m="1" x="70"/>
        <item m="1" x="87"/>
        <item m="1" x="154"/>
        <item m="1" x="51"/>
        <item m="1" x="147"/>
        <item m="1" x="163"/>
        <item m="1" x="162"/>
        <item m="1" x="107"/>
        <item m="1" x="108"/>
        <item x="12"/>
        <item m="1" x="62"/>
        <item m="1" x="160"/>
        <item m="1" x="22"/>
        <item m="1" x="158"/>
        <item m="1" x="157"/>
        <item m="1" x="123"/>
        <item m="1" x="95"/>
        <item m="1" x="156"/>
        <item m="1" x="159"/>
        <item x="17"/>
        <item m="1" x="149"/>
        <item m="1" x="106"/>
        <item m="1" x="49"/>
        <item m="1" x="90"/>
        <item m="1" x="152"/>
        <item m="1" x="63"/>
        <item m="1" x="116"/>
        <item m="1" x="150"/>
        <item m="1" x="57"/>
        <item m="1" x="134"/>
        <item m="1" x="135"/>
        <item m="1" x="121"/>
        <item m="1" x="64"/>
        <item m="1" x="146"/>
        <item m="1" x="102"/>
        <item m="1" x="145"/>
        <item m="1" x="143"/>
        <item m="1" x="144"/>
        <item m="1" x="142"/>
        <item m="1" x="138"/>
        <item m="1" x="77"/>
        <item m="1" x="24"/>
        <item m="1" x="140"/>
        <item m="1" x="137"/>
        <item m="1" x="119"/>
        <item m="1" x="29"/>
        <item m="1" x="126"/>
        <item m="1" x="127"/>
        <item m="1" x="67"/>
        <item m="1" x="130"/>
        <item m="1" x="122"/>
        <item m="1" x="111"/>
        <item m="1" x="124"/>
        <item m="1" x="132"/>
        <item m="1" x="129"/>
        <item m="1" x="131"/>
        <item m="1" x="97"/>
        <item m="1" x="72"/>
        <item m="1" x="128"/>
        <item m="1" x="86"/>
        <item m="1" x="125"/>
        <item m="1" x="103"/>
        <item m="1" x="104"/>
        <item m="1" x="91"/>
        <item m="1" x="68"/>
        <item m="1" x="113"/>
        <item m="1" x="52"/>
        <item m="1" x="98"/>
        <item m="1" x="88"/>
        <item m="1" x="92"/>
        <item m="1" x="94"/>
        <item m="1" x="69"/>
        <item m="1" x="114"/>
        <item m="1" x="118"/>
        <item m="1" x="109"/>
        <item m="1" x="100"/>
        <item m="1" x="26"/>
        <item m="1" x="105"/>
        <item m="1" x="78"/>
        <item m="1" x="84"/>
        <item m="1" x="66"/>
        <item x="5"/>
        <item m="1" x="76"/>
        <item m="1" x="83"/>
        <item m="1" x="82"/>
        <item m="1" x="79"/>
        <item m="1" x="75"/>
        <item m="1" x="71"/>
        <item m="1" x="58"/>
        <item m="1" x="50"/>
        <item m="1" x="46"/>
        <item m="1" x="38"/>
        <item x="13"/>
        <item m="1" x="36"/>
        <item m="1" x="39"/>
        <item m="1" x="30"/>
        <item m="1" x="42"/>
        <item m="1" x="40"/>
        <item x="18"/>
        <item m="1" x="41"/>
        <item m="1" x="25"/>
        <item x="1"/>
        <item x="0"/>
        <item x="6"/>
        <item m="1" x="32"/>
        <item x="3"/>
        <item m="1" x="23"/>
        <item m="1" x="31"/>
        <item x="10"/>
        <item x="20"/>
        <item x="11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2">
    <i>
      <x/>
    </i>
    <i r="1">
      <x v="5"/>
    </i>
    <i r="1">
      <x v="172"/>
    </i>
    <i r="1">
      <x v="173"/>
    </i>
    <i>
      <x v="2"/>
    </i>
    <i r="1">
      <x v="176"/>
    </i>
    <i>
      <x v="5"/>
    </i>
    <i r="1">
      <x v="11"/>
    </i>
    <i r="1">
      <x v="152"/>
    </i>
    <i>
      <x v="13"/>
    </i>
    <i r="1">
      <x v="24"/>
    </i>
    <i r="1">
      <x v="29"/>
    </i>
    <i r="1">
      <x v="68"/>
    </i>
    <i r="1">
      <x v="90"/>
    </i>
    <i>
      <x v="14"/>
    </i>
    <i r="1">
      <x v="80"/>
    </i>
    <i r="1">
      <x v="179"/>
    </i>
    <i r="1">
      <x v="181"/>
    </i>
    <i>
      <x v="21"/>
    </i>
    <i r="1">
      <x v="163"/>
    </i>
    <i>
      <x v="23"/>
    </i>
    <i r="1">
      <x v="169"/>
    </i>
    <i>
      <x v="2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71">
      <pivotArea outline="0" collapsedLevelsAreSubtotals="1" fieldPosition="0"/>
    </format>
    <format dxfId="177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8">
      <pivotArea outline="0" collapsedLevelsAreSubtotals="1" fieldPosition="0"/>
    </format>
    <format dxfId="176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outline="0" collapsedLevelsAreSubtotals="1" fieldPosition="0"/>
    </format>
    <format dxfId="17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outline="0" collapsedLevelsAreSubtotals="1" fieldPosition="0"/>
    </format>
    <format dxfId="1763">
      <pivotArea type="all" dataOnly="0" outline="0" fieldPosition="0"/>
    </format>
    <format dxfId="1762">
      <pivotArea dataOnly="0" labelOnly="1" grandRow="1" outline="0" fieldPosition="0"/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dataOnly="0" labelOnly="1" grandRow="1" outline="0" fieldPosition="0"/>
    </format>
    <format dxfId="1755">
      <pivotArea type="all" dataOnly="0" outline="0" fieldPosition="0"/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type="all" dataOnly="0" outline="0" fieldPosition="0"/>
    </format>
    <format dxfId="1752">
      <pivotArea outline="0" collapsedLevelsAreSubtotals="1" fieldPosition="0"/>
    </format>
    <format dxfId="1751">
      <pivotArea dataOnly="0" labelOnly="1" grandRow="1" outline="0" fieldPosition="0"/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4">
      <pivotArea type="all" dataOnly="0" outline="0" fieldPosition="0"/>
    </format>
    <format dxfId="1743">
      <pivotArea outline="0" collapsedLevelsAreSubtotals="1" fieldPosition="0"/>
    </format>
    <format dxfId="1742">
      <pivotArea dataOnly="0" labelOnly="1" grandRow="1" outline="0" fieldPosition="0"/>
    </format>
    <format dxfId="17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40">
      <pivotArea type="all" dataOnly="0" outline="0" fieldPosition="0"/>
    </format>
    <format dxfId="1739">
      <pivotArea outline="0" collapsedLevelsAreSubtotals="1" fieldPosition="0"/>
    </format>
    <format dxfId="1738">
      <pivotArea dataOnly="0" labelOnly="1" grandRow="1" outline="0" fieldPosition="0"/>
    </format>
    <format dxfId="17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5">
      <pivotArea field="1" type="button" dataOnly="0" labelOnly="1" outline="0" axis="axisRow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field="1" type="button" dataOnly="0" labelOnly="1" outline="0" axis="axisRow" fieldPosition="0"/>
    </format>
    <format dxfId="17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1">
      <pivotArea field="1" type="button" dataOnly="0" labelOnly="1" outline="0" axis="axisRow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526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4" totalsRowShown="0" headerRowDxfId="1729" dataDxfId="1727" headerRowBorderDxfId="1728" tableBorderDxfId="1726">
  <autoFilter ref="B11:AI44" xr:uid="{488A667B-27C2-4003-A53C-C52DE885F6F5}"/>
  <sortState xmlns:xlrd2="http://schemas.microsoft.com/office/spreadsheetml/2017/richdata2" ref="B12:AI44">
    <sortCondition ref="C11:C44"/>
  </sortState>
  <tableColumns count="34">
    <tableColumn id="1" xr3:uid="{C4869650-AB2A-4E52-A8FD-8FC4A1E9B450}" name="Ticker" dataDxfId="1725" totalsRowDxfId="1724"/>
    <tableColumn id="2" xr3:uid="{3392DCC0-4423-44FF-B70A-0E06289D8EEE}" name="Sector" dataDxfId="1723"/>
    <tableColumn id="29" xr3:uid="{7A835F51-8D98-481A-BCE1-CD91D7445A8F}" name="Diretoria" dataDxfId="1722"/>
    <tableColumn id="3" xr3:uid="{B1589ED3-B8E2-4F6B-B66F-D68F68C1ABA6}" name="Crncy" dataDxfId="1721"/>
    <tableColumn id="4" xr3:uid="{616D46BC-AC49-4393-8BDA-875BFB778D29}" name="Long / Short" dataDxfId="1720" totalsRowDxfId="1719">
      <calculatedColumnFormula>IF(T12&gt;0,"Long","Short")</calculatedColumnFormula>
    </tableColumn>
    <tableColumn id="33" xr3:uid="{F6985B5B-9203-43DA-8157-CAE6E92D0561}" name="Qtdd " dataDxfId="1718"/>
    <tableColumn id="5" xr3:uid="{9A4DCF38-5D0D-4646-8CF9-69904711743E}" name="Qtt Shs" dataDxfId="1717"/>
    <tableColumn id="6" xr3:uid="{BC11B5F3-DE4D-477B-AAED-C5AB103E9DA0}" name="Price Today" dataDxfId="1716" totalsRowDxfId="1715">
      <calculatedColumnFormula array="1">_xll.BDP(B12&amp;" Equity","LAST_PRICE")</calculatedColumnFormula>
    </tableColumn>
    <tableColumn id="7" xr3:uid="{704FFD7D-1208-4AA6-81A9-0E257F085F19}" name="% Chg" dataDxfId="1714" totalsRowDxfId="1713">
      <calculatedColumnFormula>I12/K12-1</calculatedColumnFormula>
    </tableColumn>
    <tableColumn id="8" xr3:uid="{E069BEAC-4A43-4F60-BD21-C3F1FDA777D4}" name="Price Yest" dataDxfId="1712" dataCellStyle="Comma">
      <calculatedColumnFormula array="1">_xll.BDP(B12&amp;" EQUITY","PX_YEST_CLOSE")</calculatedColumnFormula>
    </tableColumn>
    <tableColumn id="9" xr3:uid="{A2F51CF4-C965-4A1F-975F-FCDA401F7124}" name="FX" dataDxfId="1711">
      <calculatedColumnFormula array="1">_xll.BDP(E12&amp;" Curncy","PX_LAST")</calculatedColumnFormula>
    </tableColumn>
    <tableColumn id="10" xr3:uid="{0525E66F-8EF5-4CCF-835F-559F3DAE7E58}" name="Mult" dataDxfId="1710" totalsRowDxfId="1709" dataCellStyle="Comma"/>
    <tableColumn id="11" xr3:uid="{8FC681CE-75F1-4027-AD99-551C42A97619}" name="D1 Exp USD" dataDxfId="1708">
      <calculatedColumnFormula>IFERROR(IF(((I12/L12)*H12*M12)&lt;&gt;0,((I12/L12)*H12*M12),0),"-")</calculatedColumnFormula>
    </tableColumn>
    <tableColumn id="12" xr3:uid="{BE55CED1-1EEB-46EA-A2E5-D244B7925B83}" name="D1 Exp %" dataDxfId="1707">
      <calculatedColumnFormula>IFERROR(IF(Tabelad[[#This Row],[D1 Exp USD]]&lt;&gt;0,N12/$AE$7,0),"-")</calculatedColumnFormula>
    </tableColumn>
    <tableColumn id="13" xr3:uid="{622A85AF-E726-48C1-A6C0-2A26A6E13A5C}" name="D1 P&amp;L bps" dataDxfId="170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5" totalsRowDxfId="1704">
      <calculatedColumnFormula>IF(SUM(SUMIFS(Options!$AL$4:$AL$32, Options!$D$4:$D$32, B12), SUMIFS(Options!$AL$4:$AL$32, Options!$D$4:$D$32, B12 &amp; " US"))=0,0,SUM(SUMIFS(Options!$AL$4:$AL$32, Options!$D$4:$D$32, B12), SUMIFS(Options!$AL$4:$AL$32, Options!$D$4:$D$32, B12 &amp; " US")))</calculatedColumnFormula>
    </tableColumn>
    <tableColumn id="15" xr3:uid="{F6743957-5F8D-4443-94E6-3E6136CB024F}" name="Option Exp %" dataDxfId="1703" totalsRowDxfId="1702" dataCellStyle="Percent">
      <calculatedColumnFormula>Q12/$AE$7</calculatedColumnFormula>
    </tableColumn>
    <tableColumn id="16" xr3:uid="{48C8F341-ED13-4859-B6ED-AB346A494BEF}" name="Options P&amp;L bps" dataDxfId="1701" totalsRowDxfId="1700">
      <calculatedColumnFormula>IF(SUM(SUMIFS(Options!$AK$4:$AK$32, Options!$D$4:$D$32, B12), SUMIFS(Options!$AK$4:$AK$32, Options!$D$4:$D$32, B12 &amp; " US"))=0,0,SUM(SUMIFS(Options!$AK$4:$AK$32, Options!$D$4:$D$32, B12), SUMIFS(Options!AK$4:$AK$32, Options!$D$4:$D$32, B12 &amp; " US")))</calculatedColumnFormula>
    </tableColumn>
    <tableColumn id="17" xr3:uid="{4E94A772-CD12-4BE4-A04C-0E1B9CF86096}" name="Exp" dataDxfId="1699" totalsRowDxfId="1698">
      <calculatedColumnFormula>N12+Q12</calculatedColumnFormula>
    </tableColumn>
    <tableColumn id="18" xr3:uid="{56683745-C1CE-4341-A873-C851B97E4432}" name="Exp %" dataDxfId="1697" totalsRowDxfId="1696">
      <calculatedColumnFormula>T12/$AE$7</calculatedColumnFormula>
    </tableColumn>
    <tableColumn id="19" xr3:uid="{AD790890-4299-4C9E-A460-9342E2B4BE92}" name="P&amp;L bps" dataDxfId="1695" totalsRowDxfId="1694">
      <calculatedColumnFormula>P12+S12</calculatedColumnFormula>
    </tableColumn>
    <tableColumn id="20" xr3:uid="{A3132FF2-B491-42D2-B6D5-98FB024D0411}" name="xx" dataDxfId="1693" totalsRowDxfId="1692">
      <calculatedColumnFormula>$W$10/(I12/L12*M12)</calculatedColumnFormula>
    </tableColumn>
    <tableColumn id="21" xr3:uid="{68119C5E-24ED-4841-8DFC-985A70CC957B}" name="Ticker2" dataDxfId="1691" totalsRowDxfId="1690"/>
    <tableColumn id="22" xr3:uid="{EAB0ADAA-AF64-4574-AD5E-BAD2211681D1}" name="xx2" dataDxfId="1689" totalsRowDxfId="1688">
      <calculatedColumnFormula>Tabelad[[#This Row],[Exp %]]*$Y$10*$AD$7/Tabelad[[#This Row],[Price Today]]</calculatedColumnFormula>
    </tableColumn>
    <tableColumn id="23" xr3:uid="{160D9866-3FEF-4C23-ADDC-0615A4FD8D8A}" name="Beta Adj" dataDxfId="1687">
      <calculatedColumnFormula>Tabelad[[#This Row],[Vol 10d]]/16*Tabelad[[#This Row],[Exp %]]*100</calculatedColumnFormula>
    </tableColumn>
    <tableColumn id="27" xr3:uid="{5FC9F15D-E683-4C75-83A6-A027ED24C573}" name="Expo Beta Adj" dataDxfId="1686" totalsRowDxfId="1685">
      <calculatedColumnFormula>Tabelad[[#This Row],[Exp %]]*Tabelad[[#This Row],[Beta Adj2]]</calculatedColumnFormula>
    </tableColumn>
    <tableColumn id="24" xr3:uid="{02F0D998-EE72-4509-80A1-181D260811AE}" name="Vol 10d" dataDxfId="1684">
      <calculatedColumnFormula>_xll.BDP($B12&amp;" Equity","volatility_10d")</calculatedColumnFormula>
    </tableColumn>
    <tableColumn id="25" xr3:uid="{06753197-209B-42CE-8324-F5BF4E6BBC8C}" name="Beta Adj2" dataDxfId="1683" totalsRowDxfId="1682">
      <calculatedColumnFormula>_xll.BDP(B12&amp;" EQUITY","eqy_beta")</calculatedColumnFormula>
    </tableColumn>
    <tableColumn id="26" xr3:uid="{E0099784-2515-472D-A708-E950C7C1F961}" name="Daily P&amp;L" dataDxfId="1681" totalsRowDxfId="1680">
      <calculatedColumnFormula>Tabelad[[#This Row],[D1 P&amp;L bps]]*$AD$5/10000</calculatedColumnFormula>
    </tableColumn>
    <tableColumn id="28" xr3:uid="{E8C15306-AE60-46ED-BE32-1873B2B613BE}" name="VALUE" dataDxfId="1679" totalsRowDxfId="1678"/>
    <tableColumn id="30" xr3:uid="{3553EED7-0690-4464-BFF1-737C1D716FE2}" name="Report Date2" dataDxfId="1677" totalsRowDxfId="1676">
      <calculatedColumnFormula>_xll.BDP(B12&amp;" Equity","EXPECTED_REPORT_DT")</calculatedColumnFormula>
    </tableColumn>
    <tableColumn id="31" xr3:uid="{5102101F-2C4E-4C70-B272-6AB453BA1BFE}" name="Column3" dataDxfId="1675" totalsRowDxfId="1674">
      <calculatedColumnFormula>_xll.BDP(B12&amp;" Index","CHG_PCT_1D_PRE_FROM_REGULAR")/100</calculatedColumnFormula>
    </tableColumn>
    <tableColumn id="32" xr3:uid="{78144925-541C-4BB9-B1CE-5128912D0AEA}" name="Column4" dataDxfId="1673">
      <calculatedColumnFormula>(T12*AG12)/$AD$7*10000</calculatedColumnFormula>
    </tableColumn>
    <tableColumn id="34" xr3:uid="{F48AA587-E15F-424C-9278-DC54512DF635}" name="Column5" dataDxfId="167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71" dataDxfId="1670" totalsRowBorderDxfId="1669">
  <autoFilter ref="F3:G136" xr:uid="{50594F44-C7EB-4454-89DA-F08A9C91DB54}"/>
  <tableColumns count="2">
    <tableColumn id="1" xr3:uid="{C2C1762E-B58F-491C-8249-F5F204F351C6}" name="De (Lote)" totalsRowFunction="count" dataDxfId="1668"/>
    <tableColumn id="2" xr3:uid="{2A11C67E-26BC-4BE0-826C-B31A77595F54}" name="Para (Ticker Daniel)" totalsRowFunction="count" dataDxfId="166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2022</v>
      </c>
    </row>
    <row r="3" spans="2:12">
      <c r="B3" t="s">
        <v>2021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2010</v>
      </c>
      <c r="D5" t="s">
        <v>2009</v>
      </c>
    </row>
    <row r="6" spans="2:12">
      <c r="B6" t="s">
        <v>2003</v>
      </c>
      <c r="C6" s="397">
        <v>0.41</v>
      </c>
      <c r="D6" s="394">
        <f>C6^2</f>
        <v>0.16809999999999997</v>
      </c>
    </row>
    <row r="7" spans="2:12">
      <c r="B7" t="s">
        <v>2001</v>
      </c>
      <c r="C7" s="397">
        <v>0.25</v>
      </c>
      <c r="D7" s="394">
        <f>C7^2</f>
        <v>6.25E-2</v>
      </c>
    </row>
    <row r="8" spans="2:12">
      <c r="B8" t="s">
        <v>1999</v>
      </c>
      <c r="C8" s="392">
        <f>SQRT(D6+D7+2*C10)</f>
        <v>0.35791060336346558</v>
      </c>
    </row>
    <row r="9" spans="2:12">
      <c r="B9" t="s">
        <v>1997</v>
      </c>
      <c r="C9" s="396">
        <v>-0.5</v>
      </c>
    </row>
    <row r="10" spans="2:12">
      <c r="B10" t="s">
        <v>1995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2010</v>
      </c>
      <c r="D15" t="s">
        <v>2009</v>
      </c>
      <c r="J15" s="401">
        <f>J14/5.19</f>
        <v>53179190.751445085</v>
      </c>
    </row>
    <row r="16" spans="2:12">
      <c r="B16" t="s">
        <v>2020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2019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1999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1997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1995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2018</v>
      </c>
      <c r="U23">
        <f>0.89-0.24</f>
        <v>0.65</v>
      </c>
    </row>
    <row r="24" spans="1:21">
      <c r="C24" t="s">
        <v>2010</v>
      </c>
      <c r="D24" t="s">
        <v>2009</v>
      </c>
      <c r="U24">
        <f>U23/2</f>
        <v>0.32500000000000001</v>
      </c>
    </row>
    <row r="25" spans="1:21">
      <c r="A25" s="399">
        <v>0.82</v>
      </c>
      <c r="B25" t="s">
        <v>2017</v>
      </c>
      <c r="C25" s="397">
        <v>0.3</v>
      </c>
      <c r="D25" s="394">
        <f>C25^2</f>
        <v>0.09</v>
      </c>
      <c r="I25" t="s">
        <v>2016</v>
      </c>
      <c r="J25">
        <v>21</v>
      </c>
    </row>
    <row r="26" spans="1:21">
      <c r="A26">
        <f>1-A25</f>
        <v>0.18000000000000005</v>
      </c>
      <c r="B26" t="s">
        <v>2015</v>
      </c>
      <c r="C26" s="397">
        <v>0.4</v>
      </c>
      <c r="D26" s="394">
        <f>C26^2</f>
        <v>0.16000000000000003</v>
      </c>
      <c r="I26" t="s">
        <v>2014</v>
      </c>
      <c r="J26">
        <v>1</v>
      </c>
      <c r="R26" s="398"/>
    </row>
    <row r="27" spans="1:21">
      <c r="B27" t="s">
        <v>2013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2012</v>
      </c>
      <c r="C28" s="396">
        <v>0.3</v>
      </c>
    </row>
    <row r="29" spans="1:21">
      <c r="B29" t="s">
        <v>2011</v>
      </c>
      <c r="C29">
        <f>C28*C25*C26</f>
        <v>3.5999999999999997E-2</v>
      </c>
    </row>
    <row r="31" spans="1:21">
      <c r="C31" t="s">
        <v>2010</v>
      </c>
      <c r="D31" t="s">
        <v>2009</v>
      </c>
      <c r="F31" t="s">
        <v>2008</v>
      </c>
      <c r="G31" t="s">
        <v>2007</v>
      </c>
      <c r="H31" t="s">
        <v>2006</v>
      </c>
      <c r="I31" t="s">
        <v>2005</v>
      </c>
      <c r="J31" t="s">
        <v>2004</v>
      </c>
    </row>
    <row r="32" spans="1:21">
      <c r="B32" t="s">
        <v>2003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2002</v>
      </c>
      <c r="Q32" s="43">
        <v>0.36620000000000003</v>
      </c>
    </row>
    <row r="33" spans="2:17">
      <c r="B33" t="s">
        <v>2001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2000</v>
      </c>
    </row>
    <row r="34" spans="2:17">
      <c r="B34" t="s">
        <v>1999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1998</v>
      </c>
    </row>
    <row r="35" spans="2:17">
      <c r="B35" t="s">
        <v>1997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1996</v>
      </c>
      <c r="Q35" s="43">
        <v>0.27179999999999999</v>
      </c>
    </row>
    <row r="36" spans="2:17">
      <c r="B36" t="s">
        <v>1995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1994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1993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1992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1991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1990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1989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1988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5.8270676691729764E-2</v>
      </c>
      <c r="B6" s="145">
        <f>H6-J6</f>
        <v>10.639999999999997</v>
      </c>
      <c r="C6" s="145">
        <f>L6-H6</f>
        <v>0.62000000000000455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33.729999999999997</v>
      </c>
      <c r="I6" s="153">
        <f>H6/J6-1</f>
        <v>0.46080554352533554</v>
      </c>
      <c r="J6" s="149" cm="1">
        <f t="array" ref="J6">IF(ISTEXT($E6),_xll.BDH($E6,"PX_LAST",J$2,J$2,"Fill=P","CDR=US"),"")</f>
        <v>23.09</v>
      </c>
      <c r="K6" s="153">
        <f t="shared" ref="K6:K20" si="0">H6/L6-1</f>
        <v>-1.8049490538573632E-2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-0.70656323432922363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7982.83</v>
      </c>
      <c r="I7" s="153">
        <f t="shared" ref="I7:I20" si="1">H7/J7-1</f>
        <v>0.53326956578525331</v>
      </c>
      <c r="J7" s="143" cm="1">
        <f t="array" ref="J7">IF(ISTEXT($E7),_xll.BDH($E7,"PX_LAST",J$2,J$2,"Fill=P","CDR=US"),"")</f>
        <v>5206.41</v>
      </c>
      <c r="K7" s="153">
        <f t="shared" si="0"/>
        <v>-1.1703081204750054E-2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17.04418402823941</v>
      </c>
      <c r="Q7" s="153">
        <f>$P7/T7-1</f>
        <v>0.26229839127860832</v>
      </c>
      <c r="R7" s="153">
        <f>$P7/U7-1</f>
        <v>0.1279915262024065</v>
      </c>
      <c r="S7" s="144" cm="1">
        <f t="array" ref="S7">_xll.BDP($E7,S$2)</f>
        <v>10.86234924771599</v>
      </c>
      <c r="T7" s="150">
        <f>MEDIAN(_xll.BDH($E7," best pe ratio","-7ay",""," be997=1gy","array=true"," dts=h"  ))</f>
        <v>13.502500000000001</v>
      </c>
      <c r="U7" s="151">
        <f>T7+W7</f>
        <v>15.110205734986174</v>
      </c>
      <c r="V7" s="151">
        <f>T7-W7</f>
        <v>11.894794265013829</v>
      </c>
      <c r="W7" s="150">
        <f>STDEV(_xll.BDH($E7," best pe ratio","-7ay",""," be997=1gy","array=true"," dts=h"  ))</f>
        <v>1.6077057349861732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4723.07</v>
      </c>
      <c r="I8" s="154">
        <f t="shared" si="1"/>
        <v>0.47009736176994221</v>
      </c>
      <c r="J8" s="140" cm="1">
        <f t="array" ref="J8">IF(ISTEXT($E8),_xll.BDH($E8,"PX_LAST",J$2,J$2,"Fill=P","CDR=US"),"")</f>
        <v>3212.76</v>
      </c>
      <c r="K8" s="154">
        <f t="shared" si="0"/>
        <v>-2.3545780821011664E-2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16.928183136794047</v>
      </c>
      <c r="Q8" s="154">
        <f>P8/T8-1</f>
        <v>0.24147872368406342</v>
      </c>
      <c r="R8" s="154">
        <f>$P8/U8-1</f>
        <v>0.10517159371701434</v>
      </c>
      <c r="S8" s="141" cm="1">
        <f t="array" ref="S8">_xll.BDP($E8,S$2)</f>
        <v>10.806957335130619</v>
      </c>
      <c r="T8" s="146">
        <f>MEDIAN(_xll.BDH($E8," best pe ratio","-7ay",""," be997=1gy","array=true"," dts=h"  ))</f>
        <v>13.6355</v>
      </c>
      <c r="U8" s="147">
        <f>T8+W8</f>
        <v>15.317244157406932</v>
      </c>
      <c r="V8" s="147">
        <f>T8-W8</f>
        <v>11.953755842593068</v>
      </c>
      <c r="W8" s="146">
        <f>STDEV(_xll.BDH($E8," best pe ratio","-7ay",""," be997=1gy","array=true"," dts=h"  ))</f>
        <v>1.6817441574069329</v>
      </c>
    </row>
    <row r="9" spans="1:26">
      <c r="A9" s="2">
        <f>C9/B9</f>
        <v>0.22813036020583155</v>
      </c>
      <c r="B9" s="145">
        <f>H9-J9</f>
        <v>11.660000000000004</v>
      </c>
      <c r="C9" s="145">
        <f>L9-H9</f>
        <v>2.6599999999999966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39.340000000000003</v>
      </c>
      <c r="I9" s="153">
        <f t="shared" si="1"/>
        <v>0.42124277456647419</v>
      </c>
      <c r="J9" s="149" cm="1">
        <f t="array" ref="J9">IF(ISTEXT($E9),_xll.BDH($E9,"PX_LAST",J$2,J$2,"Fill=P","CDR=US"),"")</f>
        <v>27.68</v>
      </c>
      <c r="K9" s="153">
        <f t="shared" si="0"/>
        <v>-6.3333333333333242E-2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36811.67</v>
      </c>
      <c r="I10" s="153">
        <f t="shared" si="1"/>
        <v>0.50407524202622955</v>
      </c>
      <c r="J10" s="143" cm="1">
        <f t="array" ref="J10">IF(ISTEXT($E10),_xll.BDH($E10,"PX_LAST",J$2,J$2,"Fill=P","CDR=US"),"")</f>
        <v>24474.62</v>
      </c>
      <c r="K10" s="153">
        <f t="shared" si="0"/>
        <v>-5.2137293525420736E-2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27587.439999999999</v>
      </c>
      <c r="O10" t="str" cm="1">
        <f t="array" ref="O10">_xll.BDP(E10,O$2)</f>
        <v>22/01/2025</v>
      </c>
      <c r="P10" s="144" cm="1">
        <f t="array" ref="P10">_xll.BDP($E10,P$2)</f>
        <v>11.220084057678084</v>
      </c>
      <c r="Q10" s="153">
        <f>P10/T10-1</f>
        <v>0.23092022749671814</v>
      </c>
      <c r="R10" s="153">
        <f>$P10/U10-1</f>
        <v>6.2112966299316508E-2</v>
      </c>
      <c r="S10" s="144" cm="1">
        <f t="array" ref="S10">_xll.BDP($E10,S$2)</f>
        <v>11.229903040926235</v>
      </c>
      <c r="T10" s="150">
        <f>MEDIAN(_xll.BDH($E10," best pe ratio","-7ay",""," be997=1gy","array=true"," dts=h"  ))</f>
        <v>9.1151999999999997</v>
      </c>
      <c r="U10" s="151">
        <f>T10+W10</f>
        <v>10.563927203310431</v>
      </c>
      <c r="V10" s="151">
        <f>T10-W10</f>
        <v>7.6664727966895674</v>
      </c>
      <c r="W10" s="150">
        <f>STDEV(_xll.BDH($E10," best pe ratio","-7ay",""," be997=1gy","array=true"," dts=h"  ))</f>
        <v>1.4487272033104321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15043.51</v>
      </c>
      <c r="I11" s="154">
        <f t="shared" si="1"/>
        <v>0.3282045169606751</v>
      </c>
      <c r="J11" s="140" cm="1">
        <f t="array" ref="J11">IF(ISTEXT($E11),_xll.BDH($E11,"PX_LAST",J$2,J$2,"Fill=P","CDR=US"),"")</f>
        <v>11326.2</v>
      </c>
      <c r="K11" s="154">
        <f t="shared" si="0"/>
        <v>-4.543894169969942E-2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13.522035479673399</v>
      </c>
      <c r="Q11" s="154">
        <f>P11/T11-1</f>
        <v>0.17074913892530663</v>
      </c>
      <c r="R11" s="154">
        <f>$P11/U11-1</f>
        <v>3.7242305047003654E-2</v>
      </c>
      <c r="S11" s="141" cm="1">
        <f t="array" ref="S11">_xll.BDP($E11,S$2)</f>
        <v>12.206543932330591</v>
      </c>
      <c r="T11" s="146">
        <f>MEDIAN(_xll.BDH($E11," best pe ratio","-7ay",""," be997=1gy","array=true"," dts=h"  ))</f>
        <v>11.549899999999999</v>
      </c>
      <c r="U11" s="147">
        <f>T11+W11</f>
        <v>13.036525230293837</v>
      </c>
      <c r="V11" s="147">
        <f>T11-W11</f>
        <v>10.063274769706162</v>
      </c>
      <c r="W11" s="146">
        <f>STDEV(_xll.BDH($E11," best pe ratio","-7ay",""," be997=1gy","array=true"," dts=h"  ))</f>
        <v>1.4866252302938383</v>
      </c>
    </row>
    <row r="12" spans="1:26">
      <c r="A12" s="2">
        <f>C12/B12</f>
        <v>0.93233532934131802</v>
      </c>
      <c r="B12" s="145">
        <f>H12-J12</f>
        <v>8.3499999999999979</v>
      </c>
      <c r="C12" s="145">
        <f>L12-H12</f>
        <v>7.7850000000000037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35.58</v>
      </c>
      <c r="I12" s="153">
        <f t="shared" si="1"/>
        <v>0.30664708042600064</v>
      </c>
      <c r="J12" s="149" cm="1">
        <f t="array" ref="J12">IF(ISTEXT($E12),_xll.BDH($E12,"PX_LAST",J$2,J$2,"Fill=P","CDR=US"),"")</f>
        <v>27.23</v>
      </c>
      <c r="K12" s="153">
        <f t="shared" si="0"/>
        <v>-0.17952265652023525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6026.1171999999997</v>
      </c>
      <c r="I13" s="153">
        <f t="shared" si="1"/>
        <v>0.44165448764246684</v>
      </c>
      <c r="J13" s="143" cm="1">
        <f t="array" ref="J13">IF(ISTEXT($E13),_xll.BDH($E13,"PX_LAST",J$2,J$2,"Fill=P","CDR=US"),"")</f>
        <v>4180.0010000000002</v>
      </c>
      <c r="K13" s="153">
        <f t="shared" si="0"/>
        <v>-0.12348673859482207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5746.3</v>
      </c>
      <c r="I14" s="154">
        <f t="shared" si="1"/>
        <v>0.55378055144702798</v>
      </c>
      <c r="J14" s="140" cm="1">
        <f t="array" ref="J14">IF(ISTEXT($E14),_xll.BDH($E14,"PX_LAST",J$2,J$2,"Fill=P","CDR=US"),"")</f>
        <v>3698.27</v>
      </c>
      <c r="K14" s="154">
        <f t="shared" si="0"/>
        <v>-0.14431773847212248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27.770731578307895</v>
      </c>
      <c r="Q14" s="154">
        <f>P14/T14-1</f>
        <v>2.5474886434801558E-2</v>
      </c>
      <c r="R14" s="154">
        <f>$P14/U14-1</f>
        <v>-0.27980341792901409</v>
      </c>
      <c r="S14" s="141" cm="1">
        <f t="array" ref="S14">_xll.BDP($E14,S$2)</f>
        <v>9.5028446636573047</v>
      </c>
      <c r="T14" s="146">
        <f>MEDIAN(_xll.BDH($E14," best pe ratio","-7ay",""," be997=1gy","array=true"," dts=h"  ))</f>
        <v>27.080849999999998</v>
      </c>
      <c r="U14" s="147">
        <f>T14+W14</f>
        <v>38.559932481838246</v>
      </c>
      <c r="V14" s="147">
        <f>T14-W14</f>
        <v>15.601767518161752</v>
      </c>
      <c r="W14" s="146">
        <f>STDEV(_xll.BDH($E14," best pe ratio","-7ay",""," be997=1gy","array=true"," dts=h"  ))</f>
        <v>11.479082481838246</v>
      </c>
    </row>
    <row r="15" spans="1:26">
      <c r="A15" s="2">
        <f>C15/B15</f>
        <v>0.25403450008235445</v>
      </c>
      <c r="B15" s="145">
        <f>H15-J15</f>
        <v>19.21</v>
      </c>
      <c r="C15" s="145">
        <f>L15-H15</f>
        <v>4.8800027465820293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62.49</v>
      </c>
      <c r="I15" s="153">
        <f t="shared" si="1"/>
        <v>0.44385397412199623</v>
      </c>
      <c r="J15" s="149" cm="1">
        <f t="array" ref="J15">IF(ISTEXT($E15),_xll.BDH($E15,"PX_LAST",J$2,J$2,"Fill=P","CDR=US"),"")</f>
        <v>43.28</v>
      </c>
      <c r="K15" s="153">
        <f t="shared" si="0"/>
        <v>-7.2435840101396032E-2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685.95180000000005</v>
      </c>
      <c r="I16" s="153">
        <f t="shared" si="1"/>
        <v>0.51736084535767768</v>
      </c>
      <c r="J16" s="143" cm="1">
        <f t="array" ref="J16">IF(ISTEXT($E16),_xll.BDH($E16,"PX_LAST",J$2,J$2,"Fill=P","CDR=US"),"")</f>
        <v>452.06900000000002</v>
      </c>
      <c r="K16" s="153">
        <f t="shared" si="0"/>
        <v>-5.9247696366356184E-2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495.49200000000002</v>
      </c>
      <c r="O16" t="str" cm="1">
        <f t="array" ref="O16">_xll.BDP(E16,O$2)</f>
        <v>23/01/2025</v>
      </c>
      <c r="P16" s="144" cm="1">
        <f t="array" ref="P16">_xll.BDP($E16,P$2)</f>
        <v>14.141039673817611</v>
      </c>
      <c r="Q16" s="153">
        <f>P16/T16-1</f>
        <v>0.151512953472005</v>
      </c>
      <c r="R16" s="153">
        <f>$P16/U16-1</f>
        <v>-4.6705608539378551E-2</v>
      </c>
      <c r="S16" s="144" cm="1">
        <f t="array" ref="S16">_xll.BDP($E16,S$2)</f>
        <v>11.429834190659838</v>
      </c>
      <c r="T16" s="150">
        <f>MEDIAN(_xll.BDH($E16," best pe ratio","-7ay",""," be997=1gy","array=true"," dts=h"  ))</f>
        <v>12.2804</v>
      </c>
      <c r="U16" s="151">
        <f>T16+W16</f>
        <v>14.833864334553516</v>
      </c>
      <c r="V16" s="151">
        <f>T16-W16</f>
        <v>9.7269356654464847</v>
      </c>
      <c r="W16" s="150">
        <f>STDEV(_xll.BDH($E16," best pe ratio","-7ay",""," be997=1gy","array=true"," dts=h"  ))</f>
        <v>2.553464334553516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85.69</v>
      </c>
      <c r="I17" s="154">
        <f t="shared" si="1"/>
        <v>0.48047684865238405</v>
      </c>
      <c r="J17" s="140" cm="1">
        <f t="array" ref="J17">IF(ISTEXT($E17),_xll.BDH($E17,"PX_LAST",J$2,J$2,"Fill=P","CDR=US"),"")</f>
        <v>57.88</v>
      </c>
      <c r="K17" s="154">
        <f t="shared" si="0"/>
        <v>-6.4417512828911505E-2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14.145451166462697</v>
      </c>
      <c r="Q17" s="154">
        <f>P17/T17-1</f>
        <v>0.15203166185855976</v>
      </c>
      <c r="R17" s="154">
        <f>$P17/U17-1</f>
        <v>-4.6304195573987683E-2</v>
      </c>
      <c r="S17" s="141" cm="1">
        <f t="array" ref="S17">_xll.BDP($E17,S$2)</f>
        <v>11.429834190659838</v>
      </c>
      <c r="T17" s="146">
        <f>MEDIAN(_xll.BDH($E17," best pe ratio","-7ay",""," be997=1gy","array=true"," dts=h"  ))</f>
        <v>12.278700000000001</v>
      </c>
      <c r="U17" s="147">
        <f>T17+W17</f>
        <v>14.83224640479175</v>
      </c>
      <c r="V17" s="147">
        <f>T17-W17</f>
        <v>9.7251535952082513</v>
      </c>
      <c r="W17" s="146">
        <f>STDEV(_xll.BDH($E17," best pe ratio","-7ay",""," be997=1gy","array=true"," dts=h"  ))</f>
        <v>2.5535464047917484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26585.06</v>
      </c>
      <c r="I18" s="153">
        <f t="shared" si="1"/>
        <v>0.45694633287134234</v>
      </c>
      <c r="J18" s="143" cm="1">
        <f t="array" ref="J18">IF(ISTEXT($E18),_xll.BDH($E18,"PX_LAST",J$2,J$2,"Fill=P","CDR=US"),"")</f>
        <v>18247.11</v>
      </c>
      <c r="K18" s="153">
        <f t="shared" si="0"/>
        <v>-2.9098847995605803E-2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12.93622148480172</v>
      </c>
      <c r="Q18" s="153">
        <f>P18/T18-1</f>
        <v>0.18984395842623591</v>
      </c>
      <c r="R18" s="153">
        <f>$P18/U18-1</f>
        <v>3.3141247558066356E-2</v>
      </c>
      <c r="S18" s="144" cm="1">
        <f t="array" ref="S18">_xll.BDP($E18,S$2)</f>
        <v>10.509119427194511</v>
      </c>
      <c r="T18" s="150">
        <f>MEDIAN(_xll.BDH($E18," best pe ratio","-7ay",""," be997=1gy","array=true"," dts=h"  ))</f>
        <v>10.872199999999999</v>
      </c>
      <c r="U18" s="151">
        <f>T18+W18</f>
        <v>12.521251586245139</v>
      </c>
      <c r="V18" s="151">
        <f>T18-W18</f>
        <v>9.2231484137548598</v>
      </c>
      <c r="W18" s="150">
        <f>STDEV(_xll.BDH($E18," best pe ratio","-7ay",""," be997=1gy","array=true"," dts=h"  ))</f>
        <v>1.6490515862451403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9122.9500000000007</v>
      </c>
      <c r="I19" s="153">
        <f t="shared" si="1"/>
        <v>0.42789728724636422</v>
      </c>
      <c r="J19" s="143" cm="1">
        <f t="array" ref="J19">IF(ISTEXT($E19),_xll.BDH($E19,"PX_LAST",J$2,J$2,"Fill=P","CDR=US"),"")</f>
        <v>6389.08</v>
      </c>
      <c r="K19" s="153">
        <f t="shared" si="0"/>
        <v>-6.6248320148696749E-2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11.767823446765384</v>
      </c>
      <c r="Q19" s="153">
        <f>P19/T19-1</f>
        <v>0.32308959173004692</v>
      </c>
      <c r="R19" s="153">
        <f>$P19/U19-1</f>
        <v>0.16246166843876497</v>
      </c>
      <c r="S19" s="144" cm="1">
        <f t="array" ref="S19">_xll.BDP($E19,S$2)</f>
        <v>11.021296018814027</v>
      </c>
      <c r="T19" s="150">
        <f>MEDIAN(_xll.BDH($E19," best pe ratio","-7ay",""," be997=1gy","array=true"," dts=h"  ))</f>
        <v>8.8941999999999997</v>
      </c>
      <c r="U19" s="151">
        <f>T19+W19</f>
        <v>10.123192674877673</v>
      </c>
      <c r="V19" s="151">
        <f>T19-W19</f>
        <v>7.6652073251223261</v>
      </c>
      <c r="W19" s="150">
        <f>STDEV(_xll.BDH($E19," best pe ratio","-7ay",""," be997=1gy","array=true"," dts=h"  ))</f>
        <v>1.2289926748776732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4116.9409999999998</v>
      </c>
      <c r="I20" s="153">
        <f t="shared" si="1"/>
        <v>0.49765871517447935</v>
      </c>
      <c r="J20" s="143" cm="1">
        <f t="array" ref="J20">IF(ISTEXT($E20),_xll.BDH($E20,"PX_LAST",J$2,J$2,"Fill=P","CDR=US"),"")</f>
        <v>2748.9180000000001</v>
      </c>
      <c r="K20" s="153">
        <f t="shared" si="0"/>
        <v>-1.7639552302555206E-2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15.715599236433018</v>
      </c>
      <c r="Q20" s="153">
        <f>P20/T20-1</f>
        <v>0.28690860852390032</v>
      </c>
      <c r="R20" s="153">
        <f>$P20/U20-1</f>
        <v>0.15577768687671645</v>
      </c>
      <c r="S20" s="144" cm="1">
        <f t="array" ref="S20">_xll.BDP($E20,S$2)</f>
        <v>9.6622459883467968</v>
      </c>
      <c r="T20" s="150">
        <f>MEDIAN(_xll.BDH($E20," best pe ratio","-7ay",""," be997=1gy","array=true"," dts=h"  ))</f>
        <v>12.2119</v>
      </c>
      <c r="U20" s="151">
        <f>T20+W20</f>
        <v>13.597423981165122</v>
      </c>
      <c r="V20" s="151">
        <f>T20-W20</f>
        <v>10.826376018834878</v>
      </c>
      <c r="W20" s="150">
        <f>STDEV(_xll.BDH($E20," best pe ratio","-7ay",""," be997=1gy","array=true"," dts=h"  ))</f>
        <v>1.385523981165121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9.8238700969495059E-3</v>
      </c>
      <c r="AP1" s="23"/>
    </row>
    <row r="2" spans="1:47" outlineLevel="1">
      <c r="D2" s="7" t="s">
        <v>66</v>
      </c>
      <c r="E2" s="265">
        <f>D4+E4</f>
        <v>7.9321695290919883E-3</v>
      </c>
      <c r="Q2" s="179">
        <f ca="1">WORKDAY(Q3,-126)</f>
        <v>45867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46043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46013</v>
      </c>
      <c r="AN3" s="180">
        <f ca="1">WORKDAY($Q$3,-66)</f>
        <v>45951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8.8780198130207471E-3</v>
      </c>
      <c r="E4" s="265">
        <f>SUM(E8:E24)</f>
        <v>-9.4585028392875858E-4</v>
      </c>
      <c r="Q4" s="181" t="str">
        <f ca="1">YEAR($Q$2)&amp;TEXT(MONTH($Q$2),"00")&amp;TEXT(DAY($Q$2),"00")</f>
        <v>20250729</v>
      </c>
      <c r="X4" s="182"/>
    </row>
    <row r="5" spans="1:47" outlineLevel="1">
      <c r="C5" s="7" t="s">
        <v>91</v>
      </c>
      <c r="D5" s="265">
        <f>SUM(D22:D23)</f>
        <v>1.0793989685969675E-3</v>
      </c>
      <c r="Q5" s="181" t="str">
        <f ca="1">YEAR(TODAY())&amp;TEXT(MONTH(TODAY()),"00")&amp;TEXT(DAY(TODAY()),"00")</f>
        <v>20260121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444.11</v>
      </c>
      <c r="H8" s="188" cm="1">
        <f t="array" ref="H8">G8/_xll.BDP(B8&amp;" Equity", "PREV_CLOSE_VAL")-1</f>
        <v>-2.290328258382468E-2</v>
      </c>
      <c r="I8" s="187" cm="1">
        <f t="array" ref="I8">_xll.BDP(C8&amp;" Equity","LAST PRICE")</f>
        <v>95.4</v>
      </c>
      <c r="J8" s="188" cm="1">
        <f t="array" ref="J8">I8/_xll.BDP(C8&amp;" Equity", "PREV_CLOSE_VAL")-1</f>
        <v>-5.5248618784530246E-3</v>
      </c>
      <c r="K8" s="189">
        <f t="shared" ref="K8:K18" si="1">G8/I8</f>
        <v>4.6552410901467507</v>
      </c>
      <c r="L8" s="188" cm="1">
        <f t="array" ref="L8">K8/(_xll.BDP(B8&amp;" Equity", "PREV_CLOSE_VAL")/_xll.BDP(C8&amp;" Equity", "PREV_CLOSE_VAL"))-1</f>
        <v>-1.7474967487067894E-2</v>
      </c>
      <c r="M8" s="188"/>
      <c r="N8" s="190">
        <f t="shared" ref="N8:N18" si="2">ABS(L8/O8)</f>
        <v>1.5774493040962794</v>
      </c>
      <c r="O8" s="191">
        <f t="shared" ref="O8:O18" si="3">P8/15.87/100</f>
        <v>1.1077989918084436E-2</v>
      </c>
      <c r="P8" s="192" cm="1">
        <f t="array" ref="P8">_xll.BDP($A8&amp;" Index","VOLATILITY_30D")</f>
        <v>17.580770000000001</v>
      </c>
      <c r="Q8" s="192" cm="1">
        <f t="array" aca="1" ref="Q8" ca="1">(_xll.BDP(($B8&amp; " Equity"),"CORR_COEF", "BETA_OVERRIDE_REL_INDEX",($C8&amp; " Equity"),"BETA_OVERRIDE_END_DT",$Q$5,"BETA_OVERRIDE_START_DT",$Q$4))*100</f>
        <v>72.650102879318311</v>
      </c>
      <c r="R8" s="188"/>
      <c r="S8" s="188" cm="1">
        <f t="array" ref="S8">_xll.BDP($A8&amp;" Index","CHG_PCT_2D")/100</f>
        <v>-5.0521070000000001E-3</v>
      </c>
      <c r="T8" s="188" cm="1">
        <f t="array" ref="T8">_xll.BDP($A8&amp;" Index","CHG_PCT_5D")/100</f>
        <v>2.394918E-2</v>
      </c>
      <c r="U8" s="188" cm="1">
        <f t="array" ref="U8">K8/_xll.BDP($A8&amp;" Index","HIGH_52WEEK")-1</f>
        <v>-3.6301682990363293E-2</v>
      </c>
      <c r="V8" s="188" cm="1">
        <f t="array" ref="V8">K8/_xll.BDP($A8&amp;" Index","LOW_52WEEK")-1</f>
        <v>0.22540526835031627</v>
      </c>
      <c r="W8" s="188"/>
      <c r="X8" s="192" cm="1">
        <f t="array" ref="X8">_xll.BDP($A8&amp;" Index","RSI_14D")</f>
        <v>66.92792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6.527256067431364E-2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2.3430506722680446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1.8086212874147689E-2</v>
      </c>
      <c r="AN8" s="194">
        <f ca="1">IF(ISTEXT(B8),AP8/_xll.BDH(B8 &amp;  " Equity","BEST_EPS",$AN$3,$AN$3,"BEST_FPERIOD_OVERRIDE=1BF","CDR=US","Fill=p")-1,"")</f>
        <v>7.1324334184604155E-2</v>
      </c>
      <c r="AO8" s="196">
        <f t="shared" ref="AO8:AO18" ca="1" si="7">G8/AP8</f>
        <v>25.206311368409104</v>
      </c>
      <c r="AP8" s="196" cm="1">
        <f t="array" aca="1" ref="AP8" ca="1">IF(ISTEXT(B8),_xll.BDH(B8 &amp;  " Equity","BEST_EPS",$Q$3,$Q$3,"BEST_FPERIOD_OVERRIDE=1BF","CDR=US","Fill=p"),"")</f>
        <v>17.619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9.4585028392875858E-4</v>
      </c>
      <c r="E9" s="255">
        <f>SUMIF(Tabelad[Ticker],PAIR_Monitor!C9,Tabelad[Exp %])</f>
        <v>-9.4585028392875858E-4</v>
      </c>
      <c r="F9" s="254"/>
      <c r="G9" s="187" cm="1">
        <f t="array" ref="G9">_xll.BDP(B9&amp;" Equity","LAST PRICE")</f>
        <v>444.11</v>
      </c>
      <c r="H9" s="188" cm="1">
        <f t="array" ref="H9">G9/_xll.BDP(B9&amp;" Equity", "PREV_CLOSE_VAL")-1</f>
        <v>-2.290328258382468E-2</v>
      </c>
      <c r="I9" s="187" cm="1">
        <f t="array" ref="I9">_xll.BDP(C9&amp;" Equity","LAST PRICE")</f>
        <v>82.415000000000006</v>
      </c>
      <c r="J9" s="188" cm="1">
        <f t="array" ref="J9">I9/_xll.BDP(C9&amp;" Equity", "PREV_CLOSE_VAL")-1</f>
        <v>6.6779990286547353E-4</v>
      </c>
      <c r="K9" s="189">
        <f t="shared" si="1"/>
        <v>5.3887035127100651</v>
      </c>
      <c r="L9" s="188" cm="1">
        <f t="array" ref="L9">K9/(_xll.BDP(B9&amp;" Equity", "PREV_CLOSE_VAL")/_xll.BDP(C9&amp;" Equity", "PREV_CLOSE_VAL"))-1</f>
        <v>-2.355535222476246E-2</v>
      </c>
      <c r="M9" s="188"/>
      <c r="N9" s="190">
        <f t="shared" si="2"/>
        <v>1.4708760402587928</v>
      </c>
      <c r="O9" s="191">
        <f t="shared" si="3"/>
        <v>1.6014505356017644E-2</v>
      </c>
      <c r="P9" s="192" cm="1">
        <f t="array" ref="P9">_xll.BDP($A9&amp;" Index","VOLATILITY_30D")</f>
        <v>25.415019999999998</v>
      </c>
      <c r="Q9" s="192" cm="1">
        <f t="array" aca="1" ref="Q9" ca="1">(_xll.BDP(($B9&amp; " Equity"),"CORR_COEF", "BETA_OVERRIDE_REL_INDEX",($C9&amp; " Equity"),"BETA_OVERRIDE_END_DT",$Q$5,"BETA_OVERRIDE_START_DT",$Q$4))*100</f>
        <v>-8.304855611991556</v>
      </c>
      <c r="R9" s="188"/>
      <c r="S9" s="188" cm="1">
        <f t="array" ref="S9">_xll.BDP($A9&amp;" Index","CHG_PCT_2D")/100</f>
        <v>-3.5599449999999998E-2</v>
      </c>
      <c r="T9" s="188" cm="1">
        <f t="array" ref="T9">_xll.BDP($A9&amp;" Index","CHG_PCT_5D")/100</f>
        <v>-3.3180910000000001E-2</v>
      </c>
      <c r="U9" s="188" cm="1">
        <f t="array" ref="U9">K9/_xll.BDP($A9&amp;" Index","HIGH_52WEEK")-1</f>
        <v>-0.23798929071974806</v>
      </c>
      <c r="V9" s="188" cm="1">
        <f t="array" ref="V9">K9/_xll.BDP($A9&amp;" Index","LOW_52WEEK")-1</f>
        <v>0.21677968340537901</v>
      </c>
      <c r="W9" s="188"/>
      <c r="X9" s="192" cm="1">
        <f t="array" ref="X9">_xll.BDP($A9&amp;" Index","RSI_14D")</f>
        <v>28.36694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-2.7309835250890813E-2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2.3430506722680446</v>
      </c>
      <c r="AI9" s="196" cm="1">
        <f t="array" ref="AI9">(_xll.BDP(C9&amp;" Equity","SHORT_INT")/_xll.BDP(C9&amp;" Equity","VOLUME_AVG_90D"))</f>
        <v>3.8708015941808163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1.8086212874147689E-2</v>
      </c>
      <c r="AN9" s="194">
        <f ca="1">IF(ISTEXT(B9),AP9/_xll.BDH(B9 &amp;  " Equity","BEST_EPS",$AN$3,$AN$3,"BEST_FPERIOD_OVERRIDE=1BF","CDR=US","Fill=p")-1,"")</f>
        <v>7.1324334184604155E-2</v>
      </c>
      <c r="AO9" s="196">
        <f t="shared" ca="1" si="7"/>
        <v>25.206311368409104</v>
      </c>
      <c r="AP9" s="196" cm="1">
        <f t="array" aca="1" ref="AP9" ca="1">IF(ISTEXT(B9),_xll.BDH(B9 &amp;  " Equity","BEST_EPS",$Q$3,$Q$3,"BEST_FPERIOD_OVERRIDE=1BF","CDR=US","Fill=p"),"")</f>
        <v>17.619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612.96</v>
      </c>
      <c r="H10" s="257" cm="1">
        <f t="array" ref="H10">G10/_xll.BDP(B10&amp;" Equity", "PREV_CLOSE_VAL")-1</f>
        <v>1.4632854399788231E-2</v>
      </c>
      <c r="I10" s="256" cm="1">
        <f t="array" ref="I10">_xll.BDP(C10&amp;" Equity","LAST PRICE")</f>
        <v>685.4</v>
      </c>
      <c r="J10" s="257" cm="1">
        <f t="array" ref="J10">I10/_xll.BDP(C10&amp;" Equity", "PREV_CLOSE_VAL")-1</f>
        <v>1.1541072640868899E-2</v>
      </c>
      <c r="K10" s="258">
        <f t="shared" si="1"/>
        <v>0.89430989203384892</v>
      </c>
      <c r="L10" s="257" cm="1">
        <f t="array" ref="L10">K10/(_xll.BDP(B10&amp;" Equity", "PREV_CLOSE_VAL")/_xll.BDP(C10&amp;" Equity", "PREV_CLOSE_VAL"))-1</f>
        <v>3.0565063965692918E-3</v>
      </c>
      <c r="M10" s="257"/>
      <c r="N10" s="190">
        <f t="shared" si="2"/>
        <v>0.29548390789468509</v>
      </c>
      <c r="O10" s="191">
        <f t="shared" si="3"/>
        <v>1.0344070573408947E-2</v>
      </c>
      <c r="P10" s="259" cm="1">
        <f t="array" ref="P10">_xll.BDP($A10&amp;" Index","VOLATILITY_30D")</f>
        <v>16.416039999999999</v>
      </c>
      <c r="Q10" s="259" cm="1">
        <f t="array" aca="1" ref="Q10" ca="1">(_xll.BDP(($B10&amp; " Equity"),"CORR_COEF", "BETA_OVERRIDE_REL_INDEX",($C10&amp; " Equity"),"BETA_OVERRIDE_END_DT",$Q$5,"BETA_OVERRIDE_START_DT",$Q$4))*100</f>
        <v>51.221556272392753</v>
      </c>
      <c r="R10" s="257"/>
      <c r="S10" s="257" cm="1">
        <f t="array" ref="S10">_xll.BDP($A10&amp;" Index","CHG_PCT_2D")/100</f>
        <v>-9.2065220000000006E-4</v>
      </c>
      <c r="T10" s="257" cm="1">
        <f t="array" ref="T10">_xll.BDP($A10&amp;" Index","CHG_PCT_5D")/100</f>
        <v>4.8645529999999998E-3</v>
      </c>
      <c r="U10" s="257" cm="1">
        <f t="array" ref="U10">K10/_xll.BDP($A10&amp;" Index","HIGH_52WEEK")-1</f>
        <v>-0.27294834190980133</v>
      </c>
      <c r="V10" s="257" cm="1">
        <f t="array" ref="V10">K10/_xll.BDP($A10&amp;" Index","LOW_52WEEK")-1</f>
        <v>3.8612727264908386E-3</v>
      </c>
      <c r="W10" s="257"/>
      <c r="X10" s="259" cm="1">
        <f t="array" ref="X10">_xll.BDP($A10&amp;" Index","RSI_14D")</f>
        <v>29.609380000000002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-0.18699100724195561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1.9995302201387946</v>
      </c>
      <c r="AI10" s="262" cm="1">
        <f t="array" ref="AI10">(_xll.BDP(C10&amp;" Equity","SHORT_INT")/_xll.BDP(C10&amp;" Equity","VOLUME_AVG_90D"))</f>
        <v>1.2684477943208494</v>
      </c>
      <c r="AJ10" s="262" cm="1">
        <f t="array" ref="AJ10">(_xll.BDP(B10&amp;" Equity","SHORT_INT"))/((_xll.BDP(B10&amp;" Equity","EQY_FREE_FLOAT_PCT"))*(_xll.BDP(B10&amp;" Equity","EQY_SH_OUT_TOT_MULT_SH")))/100</f>
        <v>1.3150293338585555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2.7143200673319656E-2</v>
      </c>
      <c r="AN10" s="260">
        <f ca="1">IF(ISTEXT(B10),AP10/_xll.BDH(B10 &amp;  " Equity","BEST_EPS",$AN$3,$AN$3,"BEST_FPERIOD_OVERRIDE=1BF","CDR=US","Fill=p")-1,"")</f>
        <v>-1.3795491933389137E-2</v>
      </c>
      <c r="AO10" s="262">
        <f t="shared" ca="1" si="7"/>
        <v>17.938017617277811</v>
      </c>
      <c r="AP10" s="262" cm="1">
        <f t="array" aca="1" ref="AP10" ca="1">IF(ISTEXT(B10),_xll.BDH(B10 &amp;  " Equity","BEST_EPS",$Q$3,$Q$3,"BEST_FPERIOD_OVERRIDE=1BF","CDR=US","Fill=p"),"")</f>
        <v>34.170999999999999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612.96</v>
      </c>
      <c r="H11" s="257" cm="1">
        <f t="array" ref="H11">G11/_xll.BDP(B11&amp;" Equity", "PREV_CLOSE_VAL")-1</f>
        <v>1.4632854399788231E-2</v>
      </c>
      <c r="I11" s="256" cm="1">
        <f t="array" ref="I11">_xll.BDP(C11&amp;" Equity","LAST PRICE")</f>
        <v>247.65</v>
      </c>
      <c r="J11" s="257" cm="1">
        <f t="array" ref="J11">I11/_xll.BDP(C11&amp;" Equity", "PREV_CLOSE_VAL")-1</f>
        <v>3.8508309687881326E-3</v>
      </c>
      <c r="K11" s="258">
        <f t="shared" si="1"/>
        <v>2.4751059963658388</v>
      </c>
      <c r="L11" s="257" cm="1">
        <f t="array" ref="L11">K11/(_xll.BDP(B11&amp;" Equity", "PREV_CLOSE_VAL")/_xll.BDP(C11&amp;" Equity", "PREV_CLOSE_VAL"))-1</f>
        <v>1.0740662953473423E-2</v>
      </c>
      <c r="M11" s="257"/>
      <c r="N11" s="190">
        <f t="shared" si="2"/>
        <v>0.75170743323279898</v>
      </c>
      <c r="O11" s="191">
        <f t="shared" si="3"/>
        <v>1.428835538752363E-2</v>
      </c>
      <c r="P11" s="259" cm="1">
        <f t="array" ref="P11">_xll.BDP($A11&amp;" Index","VOLATILITY_30D")</f>
        <v>22.675619999999999</v>
      </c>
      <c r="Q11" s="259" cm="1">
        <f t="array" aca="1" ref="Q11" ca="1">(_xll.BDP(($B11&amp; " Equity"),"CORR_COEF", "BETA_OVERRIDE_REL_INDEX",($C11&amp; " Equity"),"BETA_OVERRIDE_END_DT",$Q$5,"BETA_OVERRIDE_START_DT",$Q$4))*100</f>
        <v>19.336806666925419</v>
      </c>
      <c r="R11" s="257"/>
      <c r="S11" s="257" cm="1">
        <f t="array" ref="S11">_xll.BDP($A11&amp;" Index","CHG_PCT_2D")/100</f>
        <v>1.204709E-2</v>
      </c>
      <c r="T11" s="257" cm="1">
        <f t="array" ref="T11">_xll.BDP($A11&amp;" Index","CHG_PCT_5D")/100</f>
        <v>3.75044E-2</v>
      </c>
      <c r="U11" s="257" cm="1">
        <f t="array" ref="U11">K11/_xll.BDP($A11&amp;" Index","HIGH_52WEEK")-1</f>
        <v>-0.35171010336419528</v>
      </c>
      <c r="V11" s="257" cm="1">
        <f t="array" ref="V11">K11/_xll.BDP($A11&amp;" Index","LOW_52WEEK")-1</f>
        <v>0.13077917461947552</v>
      </c>
      <c r="W11" s="257"/>
      <c r="X11" s="259" cm="1">
        <f t="array" ref="X11">_xll.BDP($A11&amp;" Index","RSI_14D")</f>
        <v>52.62135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-0.18582039593228983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1.9995302201387946</v>
      </c>
      <c r="AI11" s="262" cm="1">
        <f t="array" ref="AI11">(_xll.BDP(C11&amp;" Equity","SHORT_INT")/_xll.BDP(C11&amp;" Equity","VOLUME_AVG_90D"))</f>
        <v>2.3321425970733194</v>
      </c>
      <c r="AJ11" s="262" cm="1">
        <f t="array" ref="AJ11">(_xll.BDP(B11&amp;" Equity","SHORT_INT"))/((_xll.BDP(B11&amp;" Equity","EQY_FREE_FLOAT_PCT"))*(_xll.BDP(B11&amp;" Equity","EQY_SH_OUT_TOT_MULT_SH")))/100</f>
        <v>1.3150293338585555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2.7143200673319656E-2</v>
      </c>
      <c r="AN11" s="260">
        <f ca="1">IF(ISTEXT(B11),AP11/_xll.BDH(B11 &amp;  " Equity","BEST_EPS",$AN$3,$AN$3,"BEST_FPERIOD_OVERRIDE=1BF","CDR=US","Fill=p")-1,"")</f>
        <v>-1.3795491933389137E-2</v>
      </c>
      <c r="AO11" s="262">
        <f t="shared" ca="1" si="7"/>
        <v>17.938017617277811</v>
      </c>
      <c r="AP11" s="262" cm="1">
        <f t="array" aca="1" ref="AP11" ca="1">IF(ISTEXT(B11),_xll.BDH(B11 &amp;  " Equity","BEST_EPS",$Q$3,$Q$3,"BEST_FPERIOD_OVERRIDE=1BF","CDR=US","Fill=p"),"")</f>
        <v>34.170999999999999</v>
      </c>
      <c r="AR11" s="260">
        <f ca="1">IF(ISTEXT(C11),AU11/_xll.BDH(C11 &amp;  " Equity","BEST_EPS",$AM$3,$AM$3,"BEST_FPERIOD_OVERRIDE=1BF","CDR=US","Fill=p")-1,"")</f>
        <v>5.9164595905809581E-3</v>
      </c>
      <c r="AS11" s="260">
        <f ca="1">IF(ISTEXT(C11),AU11/_xll.BDH(C11 &amp;  " Equity","BEST_EPS",$AN$3,$AN$3,"BEST_FPERIOD_OVERRIDE=1BF","CDR=US","Fill=p")-1,"")</f>
        <v>4.9117610761446384E-2</v>
      </c>
      <c r="AT11" s="262">
        <f t="shared" ca="1" si="8"/>
        <v>29.131866839195393</v>
      </c>
      <c r="AU11" s="262" cm="1">
        <f t="array" aca="1" ref="AU11" ca="1">IF(ISTEXT(C11),_xll.BDH(C11 &amp;  " Equity","BEST_EPS",$Q$3,$Q$3,"BEST_FPERIOD_OVERRIDE=1BF","CDR=US","Fill=p"),"")</f>
        <v>8.5009999999999994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5163.6099999999997</v>
      </c>
      <c r="H12" s="188" cm="1">
        <f t="array" ref="H12">G12/_xll.BDP(B12&amp;" Equity", "PREV_CLOSE_VAL")-1</f>
        <v>2.7175253630395746E-2</v>
      </c>
      <c r="I12" s="187" cm="1">
        <f t="array" ref="I12">_xll.BDP(C12&amp;" Equity","LAST PRICE")</f>
        <v>133.59</v>
      </c>
      <c r="J12" s="188" cm="1">
        <f t="array" ref="J12">I12/_xll.BDP(C12&amp;" Equity", "PREV_CLOSE_VAL")-1</f>
        <v>2.1877151380708337E-2</v>
      </c>
      <c r="K12" s="189">
        <f t="shared" si="1"/>
        <v>38.652668612920124</v>
      </c>
      <c r="L12" s="188" cm="1">
        <f t="array" ref="L12">K12/(_xll.BDP(B12&amp;" Equity", "PREV_CLOSE_VAL")/_xll.BDP(C12&amp;" Equity", "PREV_CLOSE_VAL"))-1</f>
        <v>5.1846763013820851E-3</v>
      </c>
      <c r="M12" s="188"/>
      <c r="N12" s="190">
        <f t="shared" si="2"/>
        <v>0.38125711156077879</v>
      </c>
      <c r="O12" s="191">
        <f t="shared" si="3"/>
        <v>1.3598897290485192E-2</v>
      </c>
      <c r="P12" s="192" cm="1">
        <f t="array" ref="P12">_xll.BDP($A12&amp;" Index","VOLATILITY_30D")</f>
        <v>21.58145</v>
      </c>
      <c r="Q12" s="192" cm="1">
        <f t="array" aca="1" ref="Q12" ca="1">(_xll.BDP(($B12&amp; " Equity"),"CORR_COEF", "BETA_OVERRIDE_REL_INDEX",($C12&amp; " Equity"),"BETA_OVERRIDE_END_DT",$Q$5,"BETA_OVERRIDE_START_DT",$Q$4))*100</f>
        <v>69.526979147852273</v>
      </c>
      <c r="R12" s="188"/>
      <c r="S12" s="188" cm="1">
        <f t="array" ref="S12">_xll.BDP($A12&amp;" Index","CHG_PCT_2D")/100</f>
        <v>-1.7453739999999999E-2</v>
      </c>
      <c r="T12" s="188" cm="1">
        <f t="array" ref="T12">_xll.BDP($A12&amp;" Index","CHG_PCT_5D")/100</f>
        <v>-1.512602E-2</v>
      </c>
      <c r="U12" s="188" cm="1">
        <f t="array" ref="U12">K12/_xll.BDP($A12&amp;" Index","HIGH_52WEEK")-1</f>
        <v>-0.16317196304527826</v>
      </c>
      <c r="V12" s="188" cm="1">
        <f t="array" ref="V12">K12/_xll.BDP($A12&amp;" Index","LOW_52WEEK")-1</f>
        <v>0.23687945859204262</v>
      </c>
      <c r="W12" s="188"/>
      <c r="X12" s="192" cm="1">
        <f t="array" ref="X12">_xll.BDP($A12&amp;" Index","RSI_14D")</f>
        <v>40.065010000000001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-1.4810484908260868E-3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2.669567149503258</v>
      </c>
      <c r="AI12" s="196" cm="1">
        <f t="array" ref="AI12">(_xll.BDP(C12&amp;" Equity","SHORT_INT")/_xll.BDP(C12&amp;" Equity","VOLUME_AVG_90D"))</f>
        <v>3.7511112683801993</v>
      </c>
      <c r="AJ12" s="196" cm="1">
        <f t="array" ref="AJ12">(_xll.BDP(B12&amp;" Equity","SHORT_INT"))/((_xll.BDP(B12&amp;" Equity","EQY_FREE_FLOAT_PCT"))*(_xll.BDP(B12&amp;" Equity","EQY_SH_OUT_TOT_MULT_SH")))/100</f>
        <v>2.0740878313054392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1.525626826235027E-2</v>
      </c>
      <c r="AN12" s="194">
        <f ca="1">IF(ISTEXT(B12),AP12/_xll.BDH(B12 &amp;  " Equity","BEST_EPS",$AN$3,$AN$3,"BEST_FPERIOD_OVERRIDE=1BF","CDR=US","Fill=p")-1,"")</f>
        <v>6.8030619345859522E-2</v>
      </c>
      <c r="AO12" s="196">
        <f t="shared" ca="1" si="7"/>
        <v>19.225379119303899</v>
      </c>
      <c r="AP12" s="196" cm="1">
        <f t="array" aca="1" ref="AP12" ca="1">IF(ISTEXT(B12),_xll.BDH(B12 &amp;  " Equity","BEST_EPS",$Q$3,$Q$3,"BEST_FPERIOD_OVERRIDE=1BF","CDR=US","Fill=p"),"")</f>
        <v>268.58300000000003</v>
      </c>
      <c r="AR12" s="194">
        <f ca="1">IF(ISTEXT(C12),AU12/_xll.BDH(C12 &amp;  " Equity","BEST_EPS",$AM$3,$AM$3,"BEST_FPERIOD_OVERRIDE=1BF","CDR=US","Fill=p")-1,"")</f>
        <v>1.496881496881497E-2</v>
      </c>
      <c r="AS12" s="194">
        <f ca="1">IF(ISTEXT(C12),AU12/_xll.BDH(C12 &amp;  " Equity","BEST_EPS",$AN$3,$AN$3,"BEST_FPERIOD_OVERRIDE=1BF","CDR=US","Fill=p")-1,"")</f>
        <v>4.2271562766865722E-2</v>
      </c>
      <c r="AT12" s="196">
        <f t="shared" ca="1" si="8"/>
        <v>27.363785333879559</v>
      </c>
      <c r="AU12" s="196" cm="1">
        <f t="array" aca="1" ref="AU12" ca="1">IF(ISTEXT(C12),_xll.BDH(C12 &amp;  " Equity","BEST_EPS",$Q$3,$Q$3,"BEST_FPERIOD_OVERRIDE=1BF","CDR=US","Fill=p"),"")</f>
        <v>4.8819999999999997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4.9703099710471767E-3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326.12</v>
      </c>
      <c r="H13" s="257" cm="1">
        <f t="array" ref="H13">G13/_xll.BDP(B13&amp;" Equity", "PREV_CLOSE_VAL")-1</f>
        <v>-3.1788727228267977E-3</v>
      </c>
      <c r="I13" s="256" cm="1">
        <f t="array" ref="I13">_xll.BDP(C13&amp;" Equity","LAST PRICE")</f>
        <v>348.14</v>
      </c>
      <c r="J13" s="257" cm="1">
        <f t="array" ref="J13">I13/_xll.BDP(C13&amp;" Equity", "PREV_CLOSE_VAL")-1</f>
        <v>3.1984585741811067E-2</v>
      </c>
      <c r="K13" s="258">
        <f t="shared" si="1"/>
        <v>0.93674958350089055</v>
      </c>
      <c r="L13" s="257" cm="1">
        <f t="array" ref="L13">K13/(_xll.BDP(B13&amp;" Equity", "PREV_CLOSE_VAL")/_xll.BDP(C13&amp;" Equity", "PREV_CLOSE_VAL"))-1</f>
        <v>-3.4073627601096113E-2</v>
      </c>
      <c r="M13" s="257"/>
      <c r="N13" s="190">
        <f t="shared" si="2"/>
        <v>2.3255008066893561</v>
      </c>
      <c r="O13" s="191">
        <f t="shared" si="3"/>
        <v>1.4652167611846251E-2</v>
      </c>
      <c r="P13" s="259" cm="1">
        <f t="array" ref="P13">_xll.BDP($A13&amp;" Index","VOLATILITY_30D")</f>
        <v>23.25299</v>
      </c>
      <c r="Q13" s="259" cm="1">
        <f t="array" aca="1" ref="Q13" ca="1">(_xll.BDP(($B13&amp; " Equity"),"CORR_COEF", "BETA_OVERRIDE_REL_INDEX",($C13&amp; " Equity"),"BETA_OVERRIDE_END_DT",$Q$5,"BETA_OVERRIDE_START_DT",$Q$4))*100</f>
        <v>74.168223474569089</v>
      </c>
      <c r="R13" s="257"/>
      <c r="S13" s="257" cm="1">
        <f t="array" ref="S13">_xll.BDP($A13&amp;" Index","CHG_PCT_2D")/100</f>
        <v>-5.8017459999999993E-2</v>
      </c>
      <c r="T13" s="257" cm="1">
        <f t="array" ref="T13">_xll.BDP($A13&amp;" Index","CHG_PCT_5D")/100</f>
        <v>-4.441896E-2</v>
      </c>
      <c r="U13" s="257" cm="1">
        <f t="array" ref="U13">K13/_xll.BDP($A13&amp;" Index","HIGH_52WEEK")-1</f>
        <v>-0.11898351908198324</v>
      </c>
      <c r="V13" s="257" cm="1">
        <f t="array" ref="V13">K13/_xll.BDP($A13&amp;" Index","LOW_52WEEK")-1</f>
        <v>9.497321274212811E-2</v>
      </c>
      <c r="W13" s="257"/>
      <c r="X13" s="259" cm="1">
        <f t="array" ref="X13">_xll.BDP($A13&amp;" Index","RSI_14D")</f>
        <v>44.360149999999997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4.0832870556545053E-2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1.8357074323054916</v>
      </c>
      <c r="AI13" s="262" cm="1">
        <f t="array" ref="AI13">(_xll.BDP(C13&amp;" Equity","SHORT_INT")/_xll.BDP(C13&amp;" Equity","VOLUME_AVG_90D"))</f>
        <v>1.1325578247810377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0.1714727397914364</v>
      </c>
      <c r="AN13" s="260">
        <f ca="1">IF(ISTEXT(B13),AP13/_xll.BDH(B13 &amp;  " Equity","BEST_EPS",$AN$3,$AN$3,"BEST_FPERIOD_OVERRIDE=1BF","CDR=US","Fill=p")-1,"")</f>
        <v>0.20430390388761577</v>
      </c>
      <c r="AO13" s="262">
        <f t="shared" ca="1" si="7"/>
        <v>0.73439037627035442</v>
      </c>
      <c r="AP13" s="262" cm="1">
        <f t="array" aca="1" ref="AP13" ca="1">IF(ISTEXT(B13),_xll.BDH(B13 &amp;  " Equity","BEST_EPS",$Q$3,$Q$3,"BEST_FPERIOD_OVERRIDE=1BF","CDR=US","Fill=p"),"")</f>
        <v>444.06900000000002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1.9411469140836887E-3</v>
      </c>
      <c r="E14" s="263"/>
      <c r="F14" s="254"/>
      <c r="G14" s="256" cm="1">
        <f t="array" ref="G14">_xll.BDP(B14&amp;" Equity","LAST PRICE")</f>
        <v>183.18</v>
      </c>
      <c r="H14" s="257" cm="1">
        <f t="array" ref="H14">G14/_xll.BDP(B14&amp;" Equity", "PREV_CLOSE_VAL")-1</f>
        <v>2.8696579996630556E-2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1.4054089027255088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1.0985587192214339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4.0946809957828956E-2</v>
      </c>
      <c r="AN14" s="260">
        <f ca="1">IF(ISTEXT(B14),AP14/_xll.BDH(B14 &amp;  " Equity","BEST_EPS",$AN$3,$AN$3,"BEST_FPERIOD_OVERRIDE=1BF","CDR=US","Fill=p")-1,"")</f>
        <v>0.29278594357154941</v>
      </c>
      <c r="AO14" s="262">
        <f t="shared" ca="1" si="7"/>
        <v>23.938839519079981</v>
      </c>
      <c r="AP14" s="262" cm="1">
        <f t="array" aca="1" ref="AP14" ca="1">IF(ISTEXT(B14),_xll.BDH(B14 &amp;  " Equity","BEST_EPS",$Q$3,$Q$3,"BEST_FPERIOD_OVERRIDE=1BF","CDR=US","Fill=p"),"")</f>
        <v>7.6520000000000001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325.27999999999997</v>
      </c>
      <c r="H15" s="188" cm="1">
        <f t="array" ref="H15">G15/_xll.BDP(B15&amp;" Equity", "PREV_CLOSE_VAL")-1</f>
        <v>-1.6573568227856716E-3</v>
      </c>
      <c r="I15" s="187" cm="1">
        <f t="array" ref="I15">_xll.BDP(C15&amp;" Equity","LAST PRICE")</f>
        <v>199.4</v>
      </c>
      <c r="J15" s="188" cm="1">
        <f t="array" ref="J15">I15/_xll.BDP(C15&amp;" Equity", "PREV_CLOSE_VAL")-1</f>
        <v>1.6931864545083553E-2</v>
      </c>
      <c r="K15" s="189">
        <f t="shared" si="1"/>
        <v>1.6312938816449347</v>
      </c>
      <c r="L15" s="188" cm="1">
        <f t="array" ref="L15">K15/(_xll.BDP(B15&amp;" Equity", "PREV_CLOSE_VAL")/_xll.BDP(C15&amp;" Equity", "PREV_CLOSE_VAL"))-1</f>
        <v>-1.8279711764351947E-2</v>
      </c>
      <c r="M15" s="188"/>
      <c r="N15" s="190">
        <f t="shared" si="2"/>
        <v>1.1406200326745501</v>
      </c>
      <c r="O15" s="191">
        <f t="shared" si="3"/>
        <v>1.6026118462507878E-2</v>
      </c>
      <c r="P15" s="192" cm="1">
        <f t="array" ref="P15">_xll.BDP($A15&amp;" Index","VOLATILITY_30D")</f>
        <v>25.433450000000001</v>
      </c>
      <c r="Q15" s="192" cm="1">
        <f t="array" aca="1" ref="Q15" ca="1">(_xll.BDP(($B15&amp; " Equity"),"CORR_COEF", "BETA_OVERRIDE_REL_INDEX",($C15&amp; " Equity"),"BETA_OVERRIDE_END_DT",$Q$5,"BETA_OVERRIDE_START_DT",$Q$4))*100</f>
        <v>46.701682817824924</v>
      </c>
      <c r="R15" s="188"/>
      <c r="S15" s="188" cm="1">
        <f t="array" ref="S15">_xll.BDP($A15&amp;" Index","CHG_PCT_2D")/100</f>
        <v>-4.9074349999999999E-3</v>
      </c>
      <c r="T15" s="188" cm="1">
        <f t="array" ref="T15">_xll.BDP($A15&amp;" Index","CHG_PCT_5D")/100</f>
        <v>-9.3826299999999994E-3</v>
      </c>
      <c r="U15" s="188" cm="1">
        <f t="array" ref="U15">K15/_xll.BDP($A15&amp;" Index","HIGH_52WEEK")-1</f>
        <v>-0.21736837430737588</v>
      </c>
      <c r="V15" s="188" cm="1">
        <f t="array" ref="V15">K15/_xll.BDP($A15&amp;" Index","LOW_52WEEK")-1</f>
        <v>-6.7379370875236821E-3</v>
      </c>
      <c r="W15" s="188"/>
      <c r="X15" s="192" cm="1">
        <f t="array" ref="X15">_xll.BDP($A15&amp;" Index","RSI_14D")</f>
        <v>30.209720000000001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-0.18435305917753264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3.548163374748496</v>
      </c>
      <c r="AI15" s="196" cm="1">
        <f t="array" ref="AI15">(_xll.BDP(C15&amp;" Equity","SHORT_INT")/_xll.BDP(C15&amp;" Equity","VOLUME_AVG_90D"))</f>
        <v>3.0931106449692027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1.0635065329687166E-2</v>
      </c>
      <c r="AN15" s="194">
        <f ca="1">IF(ISTEXT(B15),AP15/_xll.BDH(B15 &amp;  " Equity","BEST_EPS",$AN$3,$AN$3,"BEST_FPERIOD_OVERRIDE=1BF","CDR=US","Fill=p")-1,"")</f>
        <v>2.7732715334105817E-2</v>
      </c>
      <c r="AO15" s="196">
        <f t="shared" ca="1" si="7"/>
        <v>24.449789536981356</v>
      </c>
      <c r="AP15" s="196" cm="1">
        <f t="array" aca="1" ref="AP15" ca="1">IF(ISTEXT(B15),_xll.BDH(B15 &amp;  " Equity","BEST_EPS",$Q$3,$Q$3,"BEST_FPERIOD_OVERRIDE=1BF","CDR=US","Fill=p"),"")</f>
        <v>13.304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527.57000000000005</v>
      </c>
      <c r="H16" s="188" cm="1">
        <f t="array" ref="H16">G16/_xll.BDP(B16&amp;" Equity", "PREV_CLOSE_VAL")-1</f>
        <v>-7.8421785082934958E-3</v>
      </c>
      <c r="I16" s="187" cm="1">
        <f t="array" ref="I16">_xll.BDP(C16&amp;" Equity","LAST PRICE")</f>
        <v>199.4</v>
      </c>
      <c r="J16" s="188" cm="1">
        <f t="array" ref="J16">I16/_xll.BDP(C16&amp;" Equity", "PREV_CLOSE_VAL")-1</f>
        <v>1.6931864545083553E-2</v>
      </c>
      <c r="K16" s="189">
        <f t="shared" si="1"/>
        <v>2.6457873620862591</v>
      </c>
      <c r="L16" s="188" cm="1">
        <f t="array" ref="L16">K16/(_xll.BDP(B16&amp;" Equity", "PREV_CLOSE_VAL")/_xll.BDP(C16&amp;" Equity", "PREV_CLOSE_VAL"))-1</f>
        <v>-2.4361556478967761E-2</v>
      </c>
      <c r="M16" s="188"/>
      <c r="N16" s="190">
        <f t="shared" si="2"/>
        <v>1.7555865404659325</v>
      </c>
      <c r="O16" s="191">
        <f t="shared" si="3"/>
        <v>1.3876591052299938E-2</v>
      </c>
      <c r="P16" s="192" cm="1">
        <f t="array" ref="P16">_xll.BDP($A16&amp;" Index","VOLATILITY_30D")</f>
        <v>22.02215</v>
      </c>
      <c r="Q16" s="192" cm="1">
        <f t="array" aca="1" ref="Q16" ca="1">(_xll.BDP(($B16&amp; " Equity"),"CORR_COEF", "BETA_OVERRIDE_REL_INDEX",($C16&amp; " Equity"),"BETA_OVERRIDE_END_DT",$Q$5,"BETA_OVERRIDE_START_DT",$Q$4))*100</f>
        <v>65.192120719041881</v>
      </c>
      <c r="R16" s="188"/>
      <c r="S16" s="188" cm="1">
        <f t="array" ref="S16">_xll.BDP($A16&amp;" Index","CHG_PCT_2D")/100</f>
        <v>-2.2039430000000002E-2</v>
      </c>
      <c r="T16" s="188" cm="1">
        <f t="array" ref="T16">_xll.BDP($A16&amp;" Index","CHG_PCT_5D")/100</f>
        <v>-3.6942300000000004E-2</v>
      </c>
      <c r="U16" s="188" cm="1">
        <f t="array" ref="U16">K16/_xll.BDP($A16&amp;" Index","HIGH_52WEEK")-1</f>
        <v>-0.20287441337981327</v>
      </c>
      <c r="V16" s="188" cm="1">
        <f t="array" ref="V16">K16/_xll.BDP($A16&amp;" Index","LOW_52WEEK")-1</f>
        <v>-2.3809970008611847E-2</v>
      </c>
      <c r="W16" s="188"/>
      <c r="X16" s="192" cm="1">
        <f t="array" ref="X16">_xll.BDP($A16&amp;" Index","RSI_14D")</f>
        <v>25.272069999999999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-0.18840878463611677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2.2646578734349267</v>
      </c>
      <c r="AI16" s="196" cm="1">
        <f t="array" ref="AI16">(_xll.BDP(C16&amp;" Equity","SHORT_INT")/_xll.BDP(C16&amp;" Equity","VOLUME_AVG_90D"))</f>
        <v>3.0931106449692027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1.3280839895013052E-2</v>
      </c>
      <c r="AN16" s="194">
        <f ca="1">IF(ISTEXT(B16),AP16/_xll.BDH(B16 &amp;  " Equity","BEST_EPS",$AN$3,$AN$3,"BEST_FPERIOD_OVERRIDE=1BF","CDR=US","Fill=p")-1,"")</f>
        <v>4.5496398201809063E-2</v>
      </c>
      <c r="AO16" s="196">
        <f t="shared" ca="1" si="7"/>
        <v>27.330984821012279</v>
      </c>
      <c r="AP16" s="196" cm="1">
        <f t="array" aca="1" ref="AP16" ca="1">IF(ISTEXT(B16),_xll.BDH(B16 &amp;  " Equity","BEST_EPS",$Q$3,$Q$3,"BEST_FPERIOD_OVERRIDE=1BF","CDR=US","Fill=p"),"")</f>
        <v>19.303000000000001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0</v>
      </c>
      <c r="E17" s="255">
        <f>SUMIF(Tabelad[Ticker],PAIR_Monitor!C17,Tabelad[Exp %])-E16-E15</f>
        <v>0</v>
      </c>
      <c r="F17" s="254"/>
      <c r="G17" s="187" cm="1">
        <f t="array" ref="G17">_xll.BDP(B17&amp;" Equity","LAST PRICE")</f>
        <v>53.46</v>
      </c>
      <c r="H17" s="188" cm="1">
        <f t="array" ref="H17">G17/_xll.BDP(B17&amp;" Equity", "PREV_CLOSE_VAL")-1</f>
        <v>4.8872180451127178E-3</v>
      </c>
      <c r="I17" s="187" cm="1">
        <f t="array" ref="I17">_xll.BDP(C17&amp;" Equity","LAST PRICE")</f>
        <v>199.4</v>
      </c>
      <c r="J17" s="188" cm="1">
        <f t="array" ref="J17">I17/_xll.BDP(C17&amp;" Equity", "PREV_CLOSE_VAL")-1</f>
        <v>1.6931864545083553E-2</v>
      </c>
      <c r="K17" s="189">
        <f t="shared" si="1"/>
        <v>0.26810431293881642</v>
      </c>
      <c r="L17" s="188" cm="1">
        <f t="array" ref="L17">K17/(_xll.BDP(B17&amp;" Equity", "PREV_CLOSE_VAL")/_xll.BDP(C17&amp;" Equity", "PREV_CLOSE_VAL"))-1</f>
        <v>-1.1844103739790834E-2</v>
      </c>
      <c r="M17" s="188"/>
      <c r="N17" s="190">
        <f t="shared" si="2"/>
        <v>1.8030806262282648</v>
      </c>
      <c r="O17" s="191">
        <f t="shared" si="3"/>
        <v>6.5688153749212351E-3</v>
      </c>
      <c r="P17" s="192" cm="1">
        <f t="array" ref="P17">_xll.BDP($A17&amp;" Index","VOLATILITY_30D")</f>
        <v>10.424709999999999</v>
      </c>
      <c r="Q17" s="192" cm="1">
        <f t="array" aca="1" ref="Q17" ca="1">(_xll.BDP(($B17&amp; " Equity"),"CORR_COEF", "BETA_OVERRIDE_REL_INDEX",($C17&amp; " Equity"),"BETA_OVERRIDE_END_DT",$Q$5,"BETA_OVERRIDE_START_DT",$Q$4))*100</f>
        <v>73.092929239205631</v>
      </c>
      <c r="R17" s="188"/>
      <c r="S17" s="188" cm="1">
        <f t="array" ref="S17">_xll.BDP($A17&amp;" Index","CHG_PCT_2D")/100</f>
        <v>-1.6157640000000001E-2</v>
      </c>
      <c r="T17" s="188" cm="1">
        <f t="array" ref="T17">_xll.BDP($A17&amp;" Index","CHG_PCT_5D")/100</f>
        <v>-1.2727260000000001E-2</v>
      </c>
      <c r="U17" s="188" cm="1">
        <f t="array" ref="U17">K17/_xll.BDP($A17&amp;" Index","HIGH_52WEEK")-1</f>
        <v>-7.6298663432157077E-2</v>
      </c>
      <c r="V17" s="188" cm="1">
        <f t="array" ref="V17">K17/_xll.BDP($A17&amp;" Index","LOW_52WEEK")-1</f>
        <v>-1.1852008923719515E-2</v>
      </c>
      <c r="W17" s="188"/>
      <c r="X17" s="192" cm="1">
        <f t="array" ref="X17">_xll.BDP($A17&amp;" Index","RSI_14D")</f>
        <v>27.027149999999999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-7.5502369176494999E-2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1.4653695848742829</v>
      </c>
      <c r="AI17" s="196" cm="1">
        <f t="array" ref="AI17">(_xll.BDP(C17&amp;" Equity","SHORT_INT")/_xll.BDP(C17&amp;" Equity","VOLUME_AVG_90D"))</f>
        <v>3.0931106449692027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53.46</v>
      </c>
      <c r="H18" s="188" cm="1">
        <f t="array" ref="H18">G18/_xll.BDP(B18&amp;" Equity", "PREV_CLOSE_VAL")-1</f>
        <v>4.8872180451127178E-3</v>
      </c>
      <c r="I18" s="187" cm="1">
        <f t="array" ref="I18">_xll.BDP(C18&amp;" Equity","LAST PRICE")</f>
        <v>483.83</v>
      </c>
      <c r="J18" s="188" cm="1">
        <f t="array" ref="J18">I18/_xll.BDP(C18&amp;" Equity", "PREV_CLOSE_VAL")-1</f>
        <v>-3.2139104637508575E-3</v>
      </c>
      <c r="K18" s="189">
        <f t="shared" si="1"/>
        <v>0.11049335510406548</v>
      </c>
      <c r="L18" s="188" cm="1">
        <f t="array" ref="L18">K18/(_xll.BDP(B18&amp;" Equity", "PREV_CLOSE_VAL")/_xll.BDP(C18&amp;" Equity", "PREV_CLOSE_VAL"))-1</f>
        <v>8.1272487586905307E-3</v>
      </c>
      <c r="M18" s="188"/>
      <c r="N18" s="190">
        <f t="shared" si="2"/>
        <v>0.87023730769357577</v>
      </c>
      <c r="O18" s="191">
        <f t="shared" si="3"/>
        <v>9.3391178323881541E-3</v>
      </c>
      <c r="P18" s="192" cm="1">
        <f t="array" ref="P18">_xll.BDP($A18&amp;" Index","VOLATILITY_30D")</f>
        <v>14.82118</v>
      </c>
      <c r="Q18" s="192" cm="1">
        <f t="array" aca="1" ref="Q18" ca="1">(_xll.BDP(($B18&amp; " Equity"),"CORR_COEF", "BETA_OVERRIDE_REL_INDEX",($C18&amp; " Equity"),"BETA_OVERRIDE_END_DT",$Q$5,"BETA_OVERRIDE_START_DT",$Q$4))*100</f>
        <v>41.951642402507638</v>
      </c>
      <c r="R18" s="188"/>
      <c r="S18" s="188" cm="1">
        <f t="array" ref="S18">_xll.BDP($A18&amp;" Index","CHG_PCT_2D")/100</f>
        <v>1.168891E-3</v>
      </c>
      <c r="T18" s="188" cm="1">
        <f t="array" ref="T18">_xll.BDP($A18&amp;" Index","CHG_PCT_5D")/100</f>
        <v>6.2447459999999998E-3</v>
      </c>
      <c r="U18" s="188" cm="1">
        <f t="array" ref="U18">K18/_xll.BDP($A18&amp;" Index","HIGH_52WEEK")-1</f>
        <v>-2.278805072905743E-2</v>
      </c>
      <c r="V18" s="188" cm="1">
        <f t="array" ref="V18">K18/_xll.BDP($A18&amp;" Index","LOW_52WEEK")-1</f>
        <v>0.2413588934284403</v>
      </c>
      <c r="W18" s="188"/>
      <c r="X18" s="192" cm="1">
        <f t="array" ref="X18">_xll.BDP($A18&amp;" Index","RSI_14D")</f>
        <v>48.532150000000001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0.10493355104065483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1.4653695848742829</v>
      </c>
      <c r="AI18" s="196" cm="1">
        <f t="array" ref="AI18">(_xll.BDP(C18&amp;" Equity","SHORT_INT")/_xll.BDP(C18&amp;" Equity","VOLUME_AVG_90D"))</f>
        <v>2.4204515385227867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2.4549145500898373E-3</v>
      </c>
      <c r="AS18" s="194">
        <f ca="1">IF(ISTEXT(C18),AU18/_xll.BDH(C18 &amp;  " Equity","BEST_EPS",$AN$3,$AN$3,"BEST_FPERIOD_OVERRIDE=1BF","CDR=US","Fill=p")-1,"")</f>
        <v>-1.2326154704869863E-2</v>
      </c>
      <c r="AT18" s="196">
        <f t="shared" ca="1" si="8"/>
        <v>22.785626824903453</v>
      </c>
      <c r="AU18" s="196" cm="1">
        <f t="array" aca="1" ref="AU18" ca="1">IF(ISTEXT(C18),_xll.BDH(C18 &amp;  " Equity","BEST_EPS",$Q$3,$Q$3,"BEST_FPERIOD_OVERRIDE=1BF","CDR=US","Fill=p"),"")</f>
        <v>21.234000000000002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1.0207126439611227E-3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1.0793989685969675E-3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35.92</v>
      </c>
      <c r="H29" s="188" cm="1">
        <f t="array" ref="H29">G29/_xll.BDP(B29&amp;" Equity", "PREV_CLOSE_VAL")-1</f>
        <v>2.1906116642958828E-2</v>
      </c>
      <c r="I29" s="187" cm="1">
        <f t="array" ref="I29">_xll.BDP(C29&amp;" Equity","LAST PRICE")</f>
        <v>67.72</v>
      </c>
      <c r="J29" s="188" cm="1">
        <f t="array" ref="J29">I29/_xll.BDP(C29&amp;" Equity", "PREV_CLOSE_VAL")-1</f>
        <v>7.7380952380952106E-3</v>
      </c>
      <c r="K29" s="189">
        <f t="shared" ref="K29:K41" si="9">G29/I29</f>
        <v>0.5304193738924986</v>
      </c>
      <c r="L29" s="188" cm="1">
        <f t="array" ref="L29">K29/(_xll.BDP(B29&amp;" Equity", "PREV_CLOSE_VAL")/_xll.BDP(C29&amp;" Equity", "PREV_CLOSE_VAL"))-1</f>
        <v>1.4059229746113955E-2</v>
      </c>
      <c r="M29" s="188"/>
      <c r="N29" s="190">
        <f t="shared" ref="N29:N41" si="10">ABS(L29/O29)</f>
        <v>1.2912693243106619</v>
      </c>
      <c r="O29" s="191">
        <f>P29/15.87/100</f>
        <v>1.0887914303717708E-2</v>
      </c>
      <c r="P29" s="192" cm="1">
        <f t="array" ref="P29">_xll.BDP($A29&amp;" Index","VOLATILITY_30D")</f>
        <v>17.279119999999999</v>
      </c>
      <c r="Q29" s="192" cm="1">
        <f t="array" aca="1" ref="Q29" ca="1">(_xll.BDP(($B29&amp; " Equity"),"CORR_COEF", "BETA_OVERRIDE_REL_INDEX",($C29&amp; " Equity"),"BETA_OVERRIDE_END_DT",$Q$5,"BETA_OVERRIDE_START_DT",$Q$4))*100</f>
        <v>54.854476666392827</v>
      </c>
      <c r="R29" s="188"/>
      <c r="S29" s="188" cm="1">
        <f t="array" ref="S29">_xll.BDP($A29&amp;" Index","CHG_PCT_2D")/100</f>
        <v>-9.3770529999999998E-3</v>
      </c>
      <c r="T29" s="188" cm="1">
        <f t="array" ref="T29">_xll.BDP($A29&amp;" Index","CHG_PCT_5D")/100</f>
        <v>-1.7410169999999999E-2</v>
      </c>
      <c r="U29" s="188" cm="1">
        <f t="array" ref="U29">K29/_xll.BDP($A29&amp;" Index","HIGH_52WEEK")-1</f>
        <v>-0.10554733665115501</v>
      </c>
      <c r="V29" s="188" cm="1">
        <f t="array" ref="V29">K29/_xll.BDP($A29&amp;" Index","LOW_52WEEK")-1</f>
        <v>0.1243177266305584</v>
      </c>
      <c r="W29" s="188"/>
      <c r="X29" s="192" cm="1">
        <f t="array" ref="X29">_xll.BDP($A29&amp;" Index","RSI_14D")</f>
        <v>38.983319999999999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1.5477922331544007</v>
      </c>
      <c r="AI29" s="196" cm="1">
        <f t="array" ref="AI29">(_xll.BDP(C29&amp;" Equity","SHORT_INT")/_xll.BDP(C29&amp;" Equity","VOLUME_AVG_90D"))</f>
        <v>14.019047096161806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-5.8681394546081789E-3</v>
      </c>
      <c r="AN29" s="194">
        <f ca="1">IF(ISTEXT(B29),AP29/_xll.BDH(B29 &amp;  " Equity","BEST_EPS",$AN$3,$AN$3,"BEST_FPERIOD_OVERRIDE=1BF","CDR=US","Fill=p")-1,"")</f>
        <v>1.8747789175804774E-2</v>
      </c>
      <c r="AO29" s="196">
        <f t="shared" ref="AO29:AO41" ca="1" si="14">G29/AP29</f>
        <v>12.472222222222223</v>
      </c>
      <c r="AP29" s="196" cm="1">
        <f t="array" aca="1" ref="AP29" ca="1">IF(ISTEXT(B29),_xll.BDH(B29 &amp;  " Equity","BEST_EPS",$Q$3,$Q$3,"BEST_FPERIOD_OVERRIDE=1BF","CDR=US","Fill=p"),"")</f>
        <v>2.88</v>
      </c>
      <c r="AR29" s="194">
        <f ca="1">IF(ISTEXT(C29),AU29/_xll.BDH(C29 &amp;  " Equity","BEST_EPS",$AM$3,$AM$3,"BEST_FPERIOD_OVERRIDE=1BF","CDR=US","Fill=p")-1,"")</f>
        <v>-1.528737321769813E-2</v>
      </c>
      <c r="AS29" s="194">
        <f ca="1">IF(ISTEXT(C29),AU29/_xll.BDH(C29 &amp;  " Equity","BEST_EPS",$AN$3,$AN$3,"BEST_FPERIOD_OVERRIDE=1BF","CDR=US","Fill=p")-1,"")</f>
        <v>-3.1236442516269003E-2</v>
      </c>
      <c r="AT29" s="196">
        <f t="shared" ref="AT29:AT41" ca="1" si="15">I29/AU29</f>
        <v>10.108971488281833</v>
      </c>
      <c r="AU29" s="196" cm="1">
        <f t="array" aca="1" ref="AU29" ca="1">IF(ISTEXT(C29),_xll.BDH(C29 &amp;  " Equity","BEST_EPS",$Q$3,$Q$3,"BEST_FPERIOD_OVERRIDE=1BF","CDR=US","Fill=p"),"")</f>
        <v>6.6989999999999998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35.92</v>
      </c>
      <c r="H30" s="188" cm="1">
        <f t="array" ref="H30">G30/_xll.BDP(B30&amp;" Equity", "PREV_CLOSE_VAL")-1</f>
        <v>2.1906116642958828E-2</v>
      </c>
      <c r="I30" s="187" cm="1">
        <f t="array" ref="I30">_xll.BDP(C30&amp;" Equity","LAST PRICE")</f>
        <v>73.81</v>
      </c>
      <c r="J30" s="188" cm="1">
        <f t="array" ref="J30">I30/_xll.BDP(C30&amp;" Equity", "PREV_CLOSE_VAL")-1</f>
        <v>9.5746135959513534E-3</v>
      </c>
      <c r="K30" s="189">
        <f t="shared" si="9"/>
        <v>0.48665492480693673</v>
      </c>
      <c r="L30" s="188" cm="1">
        <f t="array" ref="L30">K30/(_xll.BDP(B30&amp;" Equity", "PREV_CLOSE_VAL")/_xll.BDP(C30&amp;" Equity", "PREV_CLOSE_VAL"))-1</f>
        <v>1.2214553417785101E-2</v>
      </c>
      <c r="M30" s="188"/>
      <c r="N30" s="190">
        <f>ABS(L30/O30)</f>
        <v>1.0553354362933194</v>
      </c>
      <c r="O30" s="191">
        <f>P30/15.87/100</f>
        <v>1.1574095778197856E-2</v>
      </c>
      <c r="P30" s="192" cm="1">
        <f t="array" ref="P30">_xll.BDP($A30&amp;" Index","VOLATILITY_30D")</f>
        <v>18.368089999999999</v>
      </c>
      <c r="Q30" s="192" cm="1">
        <f t="array" aca="1" ref="Q30" ca="1">(_xll.BDP(($B30&amp; " Equity"),"CORR_COEF", "BETA_OVERRIDE_REL_INDEX",($C30&amp; " Equity"),"BETA_OVERRIDE_END_DT",$Q$5,"BETA_OVERRIDE_START_DT",$Q$4))*100</f>
        <v>65.841623054108553</v>
      </c>
      <c r="R30" s="188"/>
      <c r="S30" s="188" cm="1">
        <f t="array" ref="S30">_xll.BDP($A30&amp;" Index","CHG_PCT_2D")/100</f>
        <v>2.136776E-2</v>
      </c>
      <c r="T30" s="188" cm="1">
        <f t="array" ref="T30">_xll.BDP($A30&amp;" Index","CHG_PCT_5D")/100</f>
        <v>1.0180260000000002E-2</v>
      </c>
      <c r="U30" s="188" cm="1">
        <f t="array" ref="U30">K30/_xll.BDP($A30&amp;" Index","HIGH_52WEEK")-1</f>
        <v>-6.6602238660982804E-2</v>
      </c>
      <c r="V30" s="188" cm="1">
        <f t="array" ref="V30">K30/_xll.BDP($A30&amp;" Index","LOW_52WEEK")-1</f>
        <v>0.1532927099247261</v>
      </c>
      <c r="W30" s="188"/>
      <c r="X30" s="192" cm="1">
        <f t="array" ref="X30">_xll.BDP($A30&amp;" Index","RSI_14D")</f>
        <v>51.841929999999998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1.5477922331544007</v>
      </c>
      <c r="AI30" s="196" cm="1">
        <f t="array" ref="AI30">(_xll.BDP(C30&amp;" Equity","SHORT_INT")/_xll.BDP(C30&amp;" Equity","VOLUME_AVG_90D"))</f>
        <v>2.7515621859803314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-5.8681394546081789E-3</v>
      </c>
      <c r="AN30" s="194">
        <f ca="1">IF(ISTEXT(B30),AP30/_xll.BDH(B30 &amp;  " Equity","BEST_EPS",$AN$3,$AN$3,"BEST_FPERIOD_OVERRIDE=1BF","CDR=US","Fill=p")-1,"")</f>
        <v>1.8747789175804774E-2</v>
      </c>
      <c r="AO30" s="196">
        <f t="shared" ca="1" si="14"/>
        <v>12.472222222222223</v>
      </c>
      <c r="AP30" s="196" cm="1">
        <f t="array" aca="1" ref="AP30" ca="1">IF(ISTEXT(B30),_xll.BDH(B30 &amp;  " Equity","BEST_EPS",$Q$3,$Q$3,"BEST_FPERIOD_OVERRIDE=1BF","CDR=US","Fill=p"),"")</f>
        <v>2.88</v>
      </c>
      <c r="AR30" s="194">
        <f ca="1">IF(ISTEXT(C30),AU30/_xll.BDH(C30 &amp;  " Equity","BEST_EPS",$AM$3,$AM$3,"BEST_FPERIOD_OVERRIDE=1BF","CDR=US","Fill=p")-1,"")</f>
        <v>1.3356654476069485E-2</v>
      </c>
      <c r="AS30" s="194">
        <f ca="1">IF(ISTEXT(C30),AU30/_xll.BDH(C30 &amp;  " Equity","BEST_EPS",$AN$3,$AN$3,"BEST_FPERIOD_OVERRIDE=1BF","CDR=US","Fill=p")-1,"")</f>
        <v>-4.7051442910917007E-4</v>
      </c>
      <c r="AT30" s="196">
        <f t="shared" ca="1" si="15"/>
        <v>11.581672681625609</v>
      </c>
      <c r="AU30" s="196" cm="1">
        <f t="array" aca="1" ref="AU30" ca="1">IF(ISTEXT(C30),_xll.BDH(C30 &amp;  " Equity","BEST_EPS",$Q$3,$Q$3,"BEST_FPERIOD_OVERRIDE=1BF","CDR=US","Fill=p"),"")</f>
        <v>6.3730000000000002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221.58</v>
      </c>
      <c r="H31" s="188" cm="1">
        <f t="array" ref="H31">G31/_xll.BDP(B31&amp;" Equity", "PREV_CLOSE_VAL")-1</f>
        <v>6.8614531739901174E-3</v>
      </c>
      <c r="I31" s="187" cm="1">
        <f t="array" ref="I31">_xll.BDP(C31&amp;" Equity","LAST PRICE")</f>
        <v>616.28</v>
      </c>
      <c r="J31" s="188" cm="1">
        <f t="array" ref="J31">I31/_xll.BDP(C31&amp;" Equity", "PREV_CLOSE_VAL")-1</f>
        <v>1.351840278919858E-2</v>
      </c>
      <c r="K31" s="189">
        <f t="shared" si="9"/>
        <v>0.35954436295190501</v>
      </c>
      <c r="L31" s="188" cm="1">
        <f t="array" ref="L31">K31/(_xll.BDP(B31&amp;" Equity", "PREV_CLOSE_VAL")/_xll.BDP(C31&amp;" Equity", "PREV_CLOSE_VAL"))-1</f>
        <v>-6.5681586016479443E-3</v>
      </c>
      <c r="M31" s="188"/>
      <c r="N31" s="190">
        <f t="shared" si="10"/>
        <v>0.32038636005687737</v>
      </c>
      <c r="O31" s="191">
        <f>P31/15.87/100</f>
        <v>2.0500743541272844E-2</v>
      </c>
      <c r="P31" s="192" cm="1">
        <f t="array" ref="P31">_xll.BDP($A31&amp;" Index","VOLATILITY_30D")</f>
        <v>32.534680000000002</v>
      </c>
      <c r="Q31" s="192" cm="1">
        <f t="array" aca="1" ref="Q31" ca="1">(_xll.BDP(($B31&amp; " Equity"),"CORR_COEF", "BETA_OVERRIDE_REL_INDEX",($C31&amp; " Equity"),"BETA_OVERRIDE_END_DT",$Q$5,"BETA_OVERRIDE_START_DT",$Q$4))*100</f>
        <v>37.043632157728162</v>
      </c>
      <c r="R31" s="188"/>
      <c r="S31" s="188" cm="1">
        <f t="array" ref="S31">_xll.BDP($A31&amp;" Index","CHG_PCT_2D")/100</f>
        <v>-1.6696139999999998E-2</v>
      </c>
      <c r="T31" s="188" cm="1">
        <f t="array" ref="T31">_xll.BDP($A31&amp;" Index","CHG_PCT_5D")/100</f>
        <v>-7.0403500000000008E-2</v>
      </c>
      <c r="U31" s="188" cm="1">
        <f t="array" ref="U31">K31/_xll.BDP($A31&amp;" Index","HIGH_52WEEK")-1</f>
        <v>-0.47877768812875288</v>
      </c>
      <c r="V31" s="188" cm="1">
        <f t="array" ref="V31">K31/_xll.BDP($A31&amp;" Index","LOW_52WEEK")-1</f>
        <v>-6.5639838862041611E-3</v>
      </c>
      <c r="W31" s="188"/>
      <c r="X31" s="192" cm="1">
        <f t="array" ref="X31">_xll.BDP($A31&amp;" Index","RSI_14D")</f>
        <v>26.354990000000001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2.0249354781622344</v>
      </c>
      <c r="AI31" s="196" cm="1">
        <f t="array" ref="AI31">(_xll.BDP(C31&amp;" Equity","SHORT_INT")/_xll.BDP(C31&amp;" Equity","VOLUME_AVG_90D"))</f>
        <v>0.77127775552630529</v>
      </c>
      <c r="AJ31" s="196" cm="1">
        <f t="array" ref="AJ31">(_xll.BDP(B31&amp;" Equity","SHORT_INT"))/((_xll.BDP(B31&amp;" Equity","EQY_FREE_FLOAT_PCT"))*(_xll.BDP(B31&amp;" Equity","EQY_SH_OUT_TOT_MULT_SH")))/100</f>
        <v>1.8450467518064286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1.0734549915657254E-2</v>
      </c>
      <c r="AN31" s="194">
        <f ca="1">IF(ISTEXT(B31),AP31/_xll.BDH(B31 &amp;  " Equity","BEST_EPS",$AN$3,$AN$3,"BEST_FPERIOD_OVERRIDE=1BF","CDR=US","Fill=p")-1,"")</f>
        <v>6.7195595854922185E-2</v>
      </c>
      <c r="AO31" s="196">
        <f t="shared" ca="1" si="14"/>
        <v>16.809285389167048</v>
      </c>
      <c r="AP31" s="196" cm="1">
        <f t="array" aca="1" ref="AP31" ca="1">IF(ISTEXT(B31),_xll.BDH(B31 &amp;  " Equity","BEST_EPS",$Q$3,$Q$3,"BEST_FPERIOD_OVERRIDE=1BF","CDR=US","Fill=p"),"")</f>
        <v>13.182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221.58</v>
      </c>
      <c r="H32" s="188" cm="1">
        <f t="array" ref="H32">G32/_xll.BDP(B32&amp;" Equity", "PREV_CLOSE_VAL")-1</f>
        <v>6.8614531739901174E-3</v>
      </c>
      <c r="I32" s="187" cm="1">
        <f t="array" ref="I32">_xll.BDP(C32&amp;" Equity","LAST PRICE")</f>
        <v>95.4</v>
      </c>
      <c r="J32" s="188" cm="1">
        <f t="array" ref="J32">I32/_xll.BDP(C32&amp;" Equity", "PREV_CLOSE_VAL")-1</f>
        <v>-5.5248618784530246E-3</v>
      </c>
      <c r="K32" s="189">
        <f t="shared" si="9"/>
        <v>2.3226415094339621</v>
      </c>
      <c r="L32" s="188" cm="1">
        <f t="array" ref="L32">K32/(_xll.BDP(B32&amp;" Equity", "PREV_CLOSE_VAL")/_xll.BDP(C32&amp;" Equity", "PREV_CLOSE_VAL"))-1</f>
        <v>1.2455127913845621E-2</v>
      </c>
      <c r="M32" s="188"/>
      <c r="N32" s="190">
        <f t="shared" si="10"/>
        <v>0.83672600476870995</v>
      </c>
      <c r="O32" s="191">
        <f t="shared" ref="O32:O55" si="17">P32/15.87/100</f>
        <v>1.4885551354757404E-2</v>
      </c>
      <c r="P32" s="192" cm="1">
        <f t="array" ref="P32">_xll.BDP($A32&amp;" Index","VOLATILITY_30D")</f>
        <v>23.623370000000001</v>
      </c>
      <c r="Q32" s="192" cm="1">
        <f t="array" aca="1" ref="Q32" ca="1">(_xll.BDP(($B32&amp; " Equity"),"CORR_COEF", "BETA_OVERRIDE_REL_INDEX",($C32&amp; " Equity"),"BETA_OVERRIDE_END_DT",$Q$5,"BETA_OVERRIDE_START_DT",$Q$4))*100</f>
        <v>74.063337702038339</v>
      </c>
      <c r="R32" s="188"/>
      <c r="S32" s="188" cm="1">
        <f t="array" ref="S32">_xll.BDP($A32&amp;" Index","CHG_PCT_2D")/100</f>
        <v>7.1419880000000002E-3</v>
      </c>
      <c r="T32" s="188" cm="1">
        <f t="array" ref="T32">_xll.BDP($A32&amp;" Index","CHG_PCT_5D")/100</f>
        <v>-1.8434930000000002E-2</v>
      </c>
      <c r="U32" s="188" cm="1">
        <f t="array" ref="U32">K32/_xll.BDP($A32&amp;" Index","HIGH_52WEEK")-1</f>
        <v>-0.32253297162134098</v>
      </c>
      <c r="V32" s="188" cm="1">
        <f t="array" ref="V32">K32/_xll.BDP($A32&amp;" Index","LOW_52WEEK")-1</f>
        <v>0.13397494882604088</v>
      </c>
      <c r="W32" s="188"/>
      <c r="X32" s="192" cm="1">
        <f t="array" ref="X32">_xll.BDP($A32&amp;" Index","RSI_14D")</f>
        <v>35.97607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2.0249354781622344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1.8450467518064286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1.0734549915657254E-2</v>
      </c>
      <c r="AN32" s="194">
        <f ca="1">IF(ISTEXT(B32),AP32/_xll.BDH(B32 &amp;  " Equity","BEST_EPS",$AN$3,$AN$3,"BEST_FPERIOD_OVERRIDE=1BF","CDR=US","Fill=p")-1,"")</f>
        <v>6.7195595854922185E-2</v>
      </c>
      <c r="AO32" s="196">
        <f t="shared" ca="1" si="14"/>
        <v>16.809285389167048</v>
      </c>
      <c r="AP32" s="196" cm="1">
        <f t="array" aca="1" ref="AP32" ca="1">IF(ISTEXT(B32),_xll.BDH(B32 &amp;  " Equity","BEST_EPS",$Q$3,$Q$3,"BEST_FPERIOD_OVERRIDE=1BF","CDR=US","Fill=p"),"")</f>
        <v>13.182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612.96</v>
      </c>
      <c r="H33" s="188" cm="1">
        <f t="array" ref="H33">G33/_xll.BDP(B33&amp;" Equity", "PREV_CLOSE_VAL")-1</f>
        <v>1.4632854399788231E-2</v>
      </c>
      <c r="I33" s="187" cm="1">
        <f t="array" ref="I33">_xll.BDP(C33&amp;" Equity","LAST PRICE")</f>
        <v>616.28</v>
      </c>
      <c r="J33" s="188" cm="1">
        <f t="array" ref="J33">I33/_xll.BDP(C33&amp;" Equity", "PREV_CLOSE_VAL")-1</f>
        <v>1.351840278919858E-2</v>
      </c>
      <c r="K33" s="189">
        <f t="shared" si="9"/>
        <v>0.99461283832024416</v>
      </c>
      <c r="L33" s="188" cm="1">
        <f t="array" ref="L33">K33/(_xll.BDP(B33&amp;" Equity", "PREV_CLOSE_VAL")/_xll.BDP(C33&amp;" Equity", "PREV_CLOSE_VAL"))-1</f>
        <v>1.099586951280429E-3</v>
      </c>
      <c r="M33" s="188"/>
      <c r="N33" s="190">
        <f t="shared" si="10"/>
        <v>0.10683483643250787</v>
      </c>
      <c r="O33" s="191">
        <f t="shared" si="17"/>
        <v>1.0292400756143669E-2</v>
      </c>
      <c r="P33" s="192" cm="1">
        <f t="array" ref="P33">_xll.BDP($A33&amp;" Index","VOLATILITY_30D")</f>
        <v>16.334040000000002</v>
      </c>
      <c r="Q33" s="192" cm="1">
        <f t="array" aca="1" ref="Q33" ca="1">(_xll.BDP(($B33&amp; " Equity"),"CORR_COEF", "BETA_OVERRIDE_REL_INDEX",($C33&amp; " Equity"),"BETA_OVERRIDE_END_DT",$Q$5,"BETA_OVERRIDE_START_DT",$Q$4))*100</f>
        <v>53.02580869559641</v>
      </c>
      <c r="R33" s="188"/>
      <c r="S33" s="188" cm="1">
        <f t="array" ref="S33">_xll.BDP($A33&amp;" Index","CHG_PCT_2D")/100</f>
        <v>-3.600153E-3</v>
      </c>
      <c r="T33" s="188" cm="1">
        <f t="array" ref="T33">_xll.BDP($A33&amp;" Index","CHG_PCT_5D")/100</f>
        <v>1.2931110000000002E-3</v>
      </c>
      <c r="U33" s="188" cm="1">
        <f t="array" ref="U33">K33/_xll.BDP($A33&amp;" Index","HIGH_52WEEK")-1</f>
        <v>-0.27732846158523283</v>
      </c>
      <c r="V33" s="188" cm="1">
        <f t="array" ref="V33">K33/_xll.BDP($A33&amp;" Index","LOW_52WEEK")-1</f>
        <v>1.4321097239609726E-2</v>
      </c>
      <c r="W33" s="188"/>
      <c r="X33" s="192" cm="1">
        <f t="array" ref="X33">_xll.BDP($A33&amp;" Index","RSI_14D")</f>
        <v>30.638549999999999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1.9995302201387946</v>
      </c>
      <c r="AI33" s="196" cm="1">
        <f t="array" ref="AI33">(_xll.BDP(C33&amp;" Equity","SHORT_INT")/_xll.BDP(C33&amp;" Equity","VOLUME_AVG_90D"))</f>
        <v>0.77127775552630529</v>
      </c>
      <c r="AJ33" s="196" cm="1">
        <f t="array" ref="AJ33">(_xll.BDP(B33&amp;" Equity","SHORT_INT"))/((_xll.BDP(B33&amp;" Equity","EQY_FREE_FLOAT_PCT"))*(_xll.BDP(B33&amp;" Equity","EQY_SH_OUT_TOT_MULT_SH")))/100</f>
        <v>1.3150293338585555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2.7143200673319656E-2</v>
      </c>
      <c r="AN33" s="194">
        <f ca="1">IF(ISTEXT(B33),AP33/_xll.BDH(B33 &amp;  " Equity","BEST_EPS",$AN$3,$AN$3,"BEST_FPERIOD_OVERRIDE=1BF","CDR=US","Fill=p")-1,"")</f>
        <v>-1.3795491933389137E-2</v>
      </c>
      <c r="AO33" s="196">
        <f t="shared" ca="1" si="14"/>
        <v>17.938017617277811</v>
      </c>
      <c r="AP33" s="196" cm="1">
        <f t="array" aca="1" ref="AP33" ca="1">IF(ISTEXT(B33),_xll.BDH(B33 &amp;  " Equity","BEST_EPS",$Q$3,$Q$3,"BEST_FPERIOD_OVERRIDE=1BF","CDR=US","Fill=p"),"")</f>
        <v>34.170999999999999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326.12</v>
      </c>
      <c r="H34" s="188" cm="1">
        <f t="array" ref="H34">G34/_xll.BDP(B34&amp;" Equity", "PREV_CLOSE_VAL")-1</f>
        <v>-3.1788727228267977E-3</v>
      </c>
      <c r="I34" s="187" cm="1">
        <f t="array" ref="I34">_xll.BDP(C34&amp;" Equity","LAST PRICE")</f>
        <v>401.93</v>
      </c>
      <c r="J34" s="188" cm="1">
        <f t="array" ref="J34">I34/_xll.BDP(C34&amp;" Equity", "PREV_CLOSE_VAL")-1</f>
        <v>2.9560183406337259E-2</v>
      </c>
      <c r="K34" s="189">
        <f t="shared" si="9"/>
        <v>0.81138506705147662</v>
      </c>
      <c r="L34" s="188" cm="1">
        <f t="array" ref="L34">K34/(_xll.BDP(B34&amp;" Equity", "PREV_CLOSE_VAL")/_xll.BDP(C34&amp;" Equity", "PREV_CLOSE_VAL"))-1</f>
        <v>-3.1799069793905343E-2</v>
      </c>
      <c r="M34" s="188"/>
      <c r="N34" s="190">
        <f t="shared" si="10"/>
        <v>2.5312486056186296</v>
      </c>
      <c r="O34" s="191">
        <f t="shared" si="17"/>
        <v>1.2562602394454947E-2</v>
      </c>
      <c r="P34" s="192" cm="1">
        <f t="array" ref="P34">_xll.BDP($A34&amp;" Index","VOLATILITY_30D")</f>
        <v>19.93685</v>
      </c>
      <c r="Q34" s="192" cm="1">
        <f t="array" aca="1" ref="Q34" ca="1">(_xll.BDP(($B34&amp; " Equity"),"CORR_COEF", "BETA_OVERRIDE_REL_INDEX",($C34&amp; " Equity"),"BETA_OVERRIDE_END_DT",$Q$5,"BETA_OVERRIDE_START_DT",$Q$4))*100</f>
        <v>80.392661248251883</v>
      </c>
      <c r="R34" s="188"/>
      <c r="S34" s="188" cm="1">
        <f t="array" ref="S34">_xll.BDP($A34&amp;" Index","CHG_PCT_2D")/100</f>
        <v>-4.5577340000000001E-2</v>
      </c>
      <c r="T34" s="188" cm="1">
        <f t="array" ref="T34">_xll.BDP($A34&amp;" Index","CHG_PCT_5D")/100</f>
        <v>-3.1006740000000001E-2</v>
      </c>
      <c r="U34" s="188" cm="1">
        <f t="array" ref="U34">K34/_xll.BDP($A34&amp;" Index","HIGH_52WEEK")-1</f>
        <v>-8.9906154461407706E-2</v>
      </c>
      <c r="V34" s="188" cm="1">
        <f t="array" ref="V34">K34/_xll.BDP($A34&amp;" Index","LOW_52WEEK")-1</f>
        <v>7.7565230220559167E-2</v>
      </c>
      <c r="W34" s="188"/>
      <c r="X34" s="192" cm="1">
        <f t="array" ref="X34">_xll.BDP($A34&amp;" Index","RSI_14D")</f>
        <v>50.457129999999999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1.8357074323054916</v>
      </c>
      <c r="AI34" s="196" cm="1">
        <f t="array" ref="AI34">(_xll.BDP(C34&amp;" Equity","SHORT_INT")/_xll.BDP(C34&amp;" Equity","VOLUME_AVG_90D"))</f>
        <v>1.2347884532342726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0.1714727397914364</v>
      </c>
      <c r="AN34" s="194">
        <f ca="1">IF(ISTEXT(B34),AP34/_xll.BDH(B34 &amp;  " Equity","BEST_EPS",$AN$3,$AN$3,"BEST_FPERIOD_OVERRIDE=1BF","CDR=US","Fill=p")-1,"")</f>
        <v>0.20430390388761577</v>
      </c>
      <c r="AO34" s="196">
        <f t="shared" ca="1" si="14"/>
        <v>0.73439037627035442</v>
      </c>
      <c r="AP34" s="196" cm="1">
        <f t="array" aca="1" ref="AP34" ca="1">IF(ISTEXT(B34),_xll.BDH(B34 &amp;  " Equity","BEST_EPS",$Q$3,$Q$3,"BEST_FPERIOD_OVERRIDE=1BF","CDR=US","Fill=p"),"")</f>
        <v>444.06900000000002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183.18</v>
      </c>
      <c r="H35" s="188" cm="1">
        <f t="array" ref="H35">G35/_xll.BDP(B35&amp;" Equity", "PREV_CLOSE_VAL")-1</f>
        <v>2.8696579996630556E-2</v>
      </c>
      <c r="I35" s="187" cm="1">
        <f t="array" ref="I35">_xll.BDP(C35&amp;" Equity","LAST PRICE")</f>
        <v>401.93</v>
      </c>
      <c r="J35" s="188" cm="1">
        <f t="array" ref="J35">I35/_xll.BDP(C35&amp;" Equity", "PREV_CLOSE_VAL")-1</f>
        <v>2.9560183406337259E-2</v>
      </c>
      <c r="K35" s="189">
        <f t="shared" si="9"/>
        <v>0.45575100141815739</v>
      </c>
      <c r="L35" s="188" cm="1">
        <f t="array" ref="L35">K35/(_xll.BDP(B35&amp;" Equity", "PREV_CLOSE_VAL")/_xll.BDP(C35&amp;" Equity", "PREV_CLOSE_VAL"))-1</f>
        <v>-8.388080887602456E-4</v>
      </c>
      <c r="M35" s="188"/>
      <c r="N35" s="190">
        <f t="shared" si="10"/>
        <v>6.3305668734351644E-2</v>
      </c>
      <c r="O35" s="191">
        <f t="shared" si="17"/>
        <v>1.325012602394455E-2</v>
      </c>
      <c r="P35" s="192" cm="1">
        <f t="array" ref="P35">_xll.BDP($A35&amp;" Index","VOLATILITY_30D")</f>
        <v>21.027950000000001</v>
      </c>
      <c r="Q35" s="192" cm="1">
        <f t="array" aca="1" ref="Q35" ca="1">(_xll.BDP(($B35&amp; " Equity"),"CORR_COEF", "BETA_OVERRIDE_REL_INDEX",($C35&amp; " Equity"),"BETA_OVERRIDE_END_DT",$Q$5,"BETA_OVERRIDE_START_DT",$Q$4))*100</f>
        <v>58.7699833133412</v>
      </c>
      <c r="R35" s="188"/>
      <c r="S35" s="188" cm="1">
        <f t="array" ref="S35">_xll.BDP($A35&amp;" Index","CHG_PCT_2D")/100</f>
        <v>-1.911651E-2</v>
      </c>
      <c r="T35" s="188" cm="1">
        <f t="array" ref="T35">_xll.BDP($A35&amp;" Index","CHG_PCT_5D")/100</f>
        <v>-3.2560199999999997E-2</v>
      </c>
      <c r="U35" s="188" cm="1">
        <f t="array" ref="U35">K35/_xll.BDP($A35&amp;" Index","HIGH_52WEEK")-1</f>
        <v>-0.27195162635480219</v>
      </c>
      <c r="V35" s="188" cm="1">
        <f t="array" ref="V35">K35/_xll.BDP($A35&amp;" Index","LOW_52WEEK")-1</f>
        <v>-8.3090036139388257E-4</v>
      </c>
      <c r="W35" s="188"/>
      <c r="X35" s="192" cm="1">
        <f t="array" ref="X35">_xll.BDP($A35&amp;" Index","RSI_14D")</f>
        <v>25.802019999999999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1.4054089027255088</v>
      </c>
      <c r="AI35" s="196" cm="1">
        <f t="array" ref="AI35">(_xll.BDP(C35&amp;" Equity","SHORT_INT")/_xll.BDP(C35&amp;" Equity","VOLUME_AVG_90D"))</f>
        <v>1.2347884532342726</v>
      </c>
      <c r="AJ35" s="196" cm="1">
        <f t="array" ref="AJ35">(_xll.BDP(B35&amp;" Equity","SHORT_INT"))/((_xll.BDP(B35&amp;" Equity","EQY_FREE_FLOAT_PCT"))*(_xll.BDP(B35&amp;" Equity","EQY_SH_OUT_TOT_MULT_SH")))/100</f>
        <v>1.0985587192214339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4.0946809957828956E-2</v>
      </c>
      <c r="AN35" s="194">
        <f ca="1">IF(ISTEXT(B35),AP35/_xll.BDH(B35 &amp;  " Equity","BEST_EPS",$AN$3,$AN$3,"BEST_FPERIOD_OVERRIDE=1BF","CDR=US","Fill=p")-1,"")</f>
        <v>0.29278594357154941</v>
      </c>
      <c r="AO35" s="196">
        <f t="shared" ca="1" si="14"/>
        <v>23.938839519079981</v>
      </c>
      <c r="AP35" s="196" cm="1">
        <f t="array" aca="1" ref="AP35" ca="1">IF(ISTEXT(B35),_xll.BDH(B35 &amp;  " Equity","BEST_EPS",$Q$3,$Q$3,"BEST_FPERIOD_OVERRIDE=1BF","CDR=US","Fill=p"),"")</f>
        <v>7.6520000000000001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328.8</v>
      </c>
      <c r="H36" s="188" cm="1">
        <f t="array" ref="H36">G36/_xll.BDP(B36&amp;" Equity", "PREV_CLOSE_VAL")-1</f>
        <v>-1.1425135297654876E-2</v>
      </c>
      <c r="I36" s="187" cm="1">
        <f t="array" ref="I36">_xll.BDP(C36&amp;" Equity","LAST PRICE")</f>
        <v>401.93</v>
      </c>
      <c r="J36" s="188" cm="1">
        <f t="array" ref="J36">I36/_xll.BDP(C36&amp;" Equity", "PREV_CLOSE_VAL")-1</f>
        <v>2.9560183406337259E-2</v>
      </c>
      <c r="K36" s="189">
        <f t="shared" si="9"/>
        <v>0.81805289478267362</v>
      </c>
      <c r="L36" s="188" cm="1">
        <f t="array" ref="L36">K36/(_xll.BDP(B36&amp;" Equity", "PREV_CLOSE_VAL")/_xll.BDP(C36&amp;" Equity", "PREV_CLOSE_VAL"))-1</f>
        <v>-3.98085700715336E-2</v>
      </c>
      <c r="M36" s="188"/>
      <c r="N36" s="190">
        <f t="shared" si="10"/>
        <v>1.7627942304645741</v>
      </c>
      <c r="O36" s="191">
        <f t="shared" si="17"/>
        <v>2.2582652804032769E-2</v>
      </c>
      <c r="P36" s="192" cm="1">
        <f t="array" ref="P36">_xll.BDP($A36&amp;" Index","VOLATILITY_30D")</f>
        <v>35.83867</v>
      </c>
      <c r="Q36" s="192" cm="1">
        <f t="array" aca="1" ref="Q36" ca="1">(_xll.BDP(($B36&amp; " Equity"),"CORR_COEF", "BETA_OVERRIDE_REL_INDEX",($C36&amp; " Equity"),"BETA_OVERRIDE_END_DT",$Q$5,"BETA_OVERRIDE_START_DT",$Q$4))*100</f>
        <v>60.540411683515806</v>
      </c>
      <c r="R36" s="188"/>
      <c r="S36" s="188" cm="1">
        <f t="array" ref="S36">_xll.BDP($A36&amp;" Index","CHG_PCT_2D")/100</f>
        <v>-7.30045E-2</v>
      </c>
      <c r="T36" s="188" cm="1">
        <f t="array" ref="T36">_xll.BDP($A36&amp;" Index","CHG_PCT_5D")/100</f>
        <v>-6.9612210000000008E-2</v>
      </c>
      <c r="U36" s="188" cm="1">
        <f t="array" ref="U36">K36/_xll.BDP($A36&amp;" Index","HIGH_52WEEK")-1</f>
        <v>-0.33410427775118134</v>
      </c>
      <c r="V36" s="188" cm="1">
        <f t="array" ref="V36">K36/_xll.BDP($A36&amp;" Index","LOW_52WEEK")-1</f>
        <v>3.8810517952829304E-2</v>
      </c>
      <c r="W36" s="188"/>
      <c r="X36" s="192" cm="1">
        <f t="array" ref="X36">_xll.BDP($A36&amp;" Index","RSI_14D")</f>
        <v>29.584579999999999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2.0124944855479754</v>
      </c>
      <c r="AI36" s="196" cm="1">
        <f t="array" ref="AI36">(_xll.BDP(C36&amp;" Equity","SHORT_INT")/_xll.BDP(C36&amp;" Equity","VOLUME_AVG_90D"))</f>
        <v>1.2347884532342726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4.3710631799961819E-2</v>
      </c>
      <c r="AN36" s="194">
        <f ca="1">IF(ISTEXT(B36),AP36/_xll.BDH(B36 &amp;  " Equity","BEST_EPS",$AN$3,$AN$3,"BEST_FPERIOD_OVERRIDE=1BF","CDR=US","Fill=p")-1,"")</f>
        <v>0.18086599719252794</v>
      </c>
      <c r="AO36" s="196">
        <f t="shared" ca="1" si="14"/>
        <v>30.065837600585223</v>
      </c>
      <c r="AP36" s="196" cm="1">
        <f t="array" aca="1" ref="AP36" ca="1">IF(ISTEXT(B36),_xll.BDH(B36 &amp;  " Equity","BEST_EPS",$Q$3,$Q$3,"BEST_FPERIOD_OVERRIDE=1BF","CDR=US","Fill=p"),"")</f>
        <v>10.936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82.55</v>
      </c>
      <c r="H37" s="188" cm="1">
        <f t="array" ref="H37">G37/_xll.BDP(B37&amp;" Equity", "PREV_CLOSE_VAL")-1</f>
        <v>3.4461152882205415E-2</v>
      </c>
      <c r="I37" s="187" cm="1">
        <f t="array" ref="I37">_xll.BDP(C37&amp;" Equity","LAST PRICE")</f>
        <v>401.93</v>
      </c>
      <c r="J37" s="188" cm="1">
        <f t="array" ref="J37">I37/_xll.BDP(C37&amp;" Equity", "PREV_CLOSE_VAL")-1</f>
        <v>2.9560183406337259E-2</v>
      </c>
      <c r="K37" s="189">
        <f t="shared" si="9"/>
        <v>0.20538402209339934</v>
      </c>
      <c r="L37" s="188" cm="1">
        <f t="array" ref="L37">K37/(_xll.BDP(B37&amp;" Equity", "PREV_CLOSE_VAL")/_xll.BDP(C37&amp;" Equity", "PREV_CLOSE_VAL"))-1</f>
        <v>4.7602554516561479E-3</v>
      </c>
      <c r="M37" s="188"/>
      <c r="N37" s="190">
        <f t="shared" si="10"/>
        <v>0.24878859517587565</v>
      </c>
      <c r="O37" s="191">
        <f t="shared" si="17"/>
        <v>1.9133736609955893E-2</v>
      </c>
      <c r="P37" s="192" cm="1">
        <f t="array" ref="P37">_xll.BDP($A37&amp;" Index","VOLATILITY_30D")</f>
        <v>30.36524</v>
      </c>
      <c r="Q37" s="192" cm="1">
        <f t="array" aca="1" ref="Q37" ca="1">(_xll.BDP(($B37&amp; " Equity"),"CORR_COEF", "BETA_OVERRIDE_REL_INDEX",($C37&amp; " Equity"),"BETA_OVERRIDE_END_DT",$Q$5,"BETA_OVERRIDE_START_DT",$Q$4))*100</f>
        <v>68.40041746905554</v>
      </c>
      <c r="R37" s="188"/>
      <c r="S37" s="188" cm="1">
        <f t="array" ref="S37">_xll.BDP($A37&amp;" Index","CHG_PCT_2D")/100</f>
        <v>2.2621579999999999E-2</v>
      </c>
      <c r="T37" s="188" cm="1">
        <f t="array" ref="T37">_xll.BDP($A37&amp;" Index","CHG_PCT_5D")/100</f>
        <v>-1.7289490000000001E-2</v>
      </c>
      <c r="U37" s="188" cm="1">
        <f t="array" ref="U37">K37/_xll.BDP($A37&amp;" Index","HIGH_52WEEK")-1</f>
        <v>-0.57223247434361668</v>
      </c>
      <c r="V37" s="188" cm="1">
        <f t="array" ref="V37">K37/_xll.BDP($A37&amp;" Index","LOW_52WEEK")-1</f>
        <v>2.2065300290616374E-2</v>
      </c>
      <c r="W37" s="188"/>
      <c r="X37" s="192" cm="1">
        <f t="array" ref="X37">_xll.BDP($A37&amp;" Index","RSI_14D")</f>
        <v>28.133769999999998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2.0945613091928634</v>
      </c>
      <c r="AI37" s="196" cm="1">
        <f t="array" ref="AI37">(_xll.BDP(C37&amp;" Equity","SHORT_INT")/_xll.BDP(C37&amp;" Equity","VOLUME_AVG_90D"))</f>
        <v>1.2347884532342726</v>
      </c>
      <c r="AJ37" s="196" cm="1">
        <f t="array" ref="AJ37">(_xll.BDP(B37&amp;" Equity","SHORT_INT"))/((_xll.BDP(B37&amp;" Equity","EQY_FREE_FLOAT_PCT"))*(_xll.BDP(B37&amp;" Equity","EQY_SH_OUT_TOT_MULT_SH")))/100</f>
        <v>4.5786413349114348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1.9159279382327865E-2</v>
      </c>
      <c r="AN37" s="194">
        <f ca="1">IF(ISTEXT(B37),AP37/_xll.BDH(B37 &amp;  " Equity","BEST_EPS",$AN$3,$AN$3,"BEST_FPERIOD_OVERRIDE=1BF","CDR=US","Fill=p")-1,"")</f>
        <v>0.10580204778156999</v>
      </c>
      <c r="AO37" s="196">
        <f t="shared" ca="1" si="14"/>
        <v>23.162177328843995</v>
      </c>
      <c r="AP37" s="196" cm="1">
        <f t="array" aca="1" ref="AP37" ca="1">IF(ISTEXT(B37),_xll.BDH(B37 &amp;  " Equity","BEST_EPS",$Q$3,$Q$3,"BEST_FPERIOD_OVERRIDE=1BF","CDR=US","Fill=p"),"")</f>
        <v>3.5640000000000001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527.57000000000005</v>
      </c>
      <c r="H38" s="188" cm="1">
        <f t="array" ref="H38">G38/_xll.BDP(B38&amp;" Equity", "PREV_CLOSE_VAL")-1</f>
        <v>-7.8421785082934958E-3</v>
      </c>
      <c r="I38" s="187" cm="1">
        <f t="array" ref="I38">_xll.BDP(C38&amp;" Equity","LAST PRICE")</f>
        <v>199.4</v>
      </c>
      <c r="J38" s="188" cm="1">
        <f t="array" ref="J38">I38/_xll.BDP(C38&amp;" Equity", "PREV_CLOSE_VAL")-1</f>
        <v>1.6931864545083553E-2</v>
      </c>
      <c r="K38" s="189">
        <f t="shared" si="9"/>
        <v>2.6457873620862591</v>
      </c>
      <c r="L38" s="188" cm="1">
        <f t="array" ref="L38">K38/(_xll.BDP(B38&amp;" Equity", "PREV_CLOSE_VAL")/_xll.BDP(C38&amp;" Equity", "PREV_CLOSE_VAL"))-1</f>
        <v>-2.4361556478967761E-2</v>
      </c>
      <c r="M38" s="188"/>
      <c r="N38" s="190">
        <f t="shared" si="10"/>
        <v>1.7555865404659325</v>
      </c>
      <c r="O38" s="191">
        <f t="shared" si="17"/>
        <v>1.3876591052299938E-2</v>
      </c>
      <c r="P38" s="192" cm="1">
        <f t="array" ref="P38">_xll.BDP($A38&amp;" Index","VOLATILITY_30D")</f>
        <v>22.02215</v>
      </c>
      <c r="Q38" s="192" cm="1">
        <f t="array" aca="1" ref="Q38" ca="1">(_xll.BDP(($B38&amp; " Equity"),"CORR_COEF", "BETA_OVERRIDE_REL_INDEX",($C38&amp; " Equity"),"BETA_OVERRIDE_END_DT",$Q$5,"BETA_OVERRIDE_START_DT",$Q$4))*100</f>
        <v>65.192120719041881</v>
      </c>
      <c r="R38" s="188"/>
      <c r="S38" s="188" cm="1">
        <f t="array" ref="S38">_xll.BDP($A38&amp;" Index","CHG_PCT_2D")/100</f>
        <v>-2.2039430000000002E-2</v>
      </c>
      <c r="T38" s="188" cm="1">
        <f t="array" ref="T38">_xll.BDP($A38&amp;" Index","CHG_PCT_5D")/100</f>
        <v>-3.6942300000000004E-2</v>
      </c>
      <c r="U38" s="188" cm="1">
        <f t="array" ref="U38">K38/_xll.BDP($A38&amp;" Index","HIGH_52WEEK")-1</f>
        <v>-0.20287441337981327</v>
      </c>
      <c r="V38" s="188" cm="1">
        <f t="array" ref="V38">K38/_xll.BDP($A38&amp;" Index","LOW_52WEEK")-1</f>
        <v>-2.3809970008611847E-2</v>
      </c>
      <c r="W38" s="188"/>
      <c r="X38" s="192" cm="1">
        <f t="array" ref="X38">_xll.BDP($A38&amp;" Index","RSI_14D")</f>
        <v>25.272069999999999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2.2646578734349267</v>
      </c>
      <c r="AI38" s="196" cm="1">
        <f t="array" ref="AI38">(_xll.BDP(C38&amp;" Equity","SHORT_INT")/_xll.BDP(C38&amp;" Equity","VOLUME_AVG_90D"))</f>
        <v>3.0931106449692027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1.3280839895013052E-2</v>
      </c>
      <c r="AN38" s="194">
        <f ca="1">IF(ISTEXT(B38),AP38/_xll.BDH(B38 &amp;  " Equity","BEST_EPS",$AN$3,$AN$3,"BEST_FPERIOD_OVERRIDE=1BF","CDR=US","Fill=p")-1,"")</f>
        <v>4.5496398201809063E-2</v>
      </c>
      <c r="AO38" s="196">
        <f t="shared" ca="1" si="14"/>
        <v>27.330984821012279</v>
      </c>
      <c r="AP38" s="196" cm="1">
        <f t="array" aca="1" ref="AP38" ca="1">IF(ISTEXT(B38),_xll.BDH(B38 &amp;  " Equity","BEST_EPS",$Q$3,$Q$3,"BEST_FPERIOD_OVERRIDE=1BF","CDR=US","Fill=p"),"")</f>
        <v>19.303000000000001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325.27999999999997</v>
      </c>
      <c r="H39" s="188" cm="1">
        <f t="array" ref="H39">G39/_xll.BDP(B39&amp;" Equity", "PREV_CLOSE_VAL")-1</f>
        <v>-1.6573568227856716E-3</v>
      </c>
      <c r="I39" s="187" cm="1">
        <f t="array" ref="I39">_xll.BDP(C39&amp;" Equity","LAST PRICE")</f>
        <v>199.4</v>
      </c>
      <c r="J39" s="188" cm="1">
        <f t="array" ref="J39">I39/_xll.BDP(C39&amp;" Equity", "PREV_CLOSE_VAL")-1</f>
        <v>1.6931864545083553E-2</v>
      </c>
      <c r="K39" s="189">
        <f t="shared" si="9"/>
        <v>1.6312938816449347</v>
      </c>
      <c r="L39" s="188" cm="1">
        <f t="array" ref="L39">K39/(_xll.BDP(B39&amp;" Equity", "PREV_CLOSE_VAL")/_xll.BDP(C39&amp;" Equity", "PREV_CLOSE_VAL"))-1</f>
        <v>-1.8279711764351947E-2</v>
      </c>
      <c r="M39" s="188"/>
      <c r="N39" s="190">
        <f t="shared" si="10"/>
        <v>1.1406200326745501</v>
      </c>
      <c r="O39" s="191">
        <f>P39/15.87/100</f>
        <v>1.6026118462507878E-2</v>
      </c>
      <c r="P39" s="192" cm="1">
        <f t="array" ref="P39">_xll.BDP($A39&amp;" Index","VOLATILITY_30D")</f>
        <v>25.433450000000001</v>
      </c>
      <c r="Q39" s="192" cm="1">
        <f t="array" aca="1" ref="Q39" ca="1">(_xll.BDP(($B39&amp; " Equity"),"CORR_COEF", "BETA_OVERRIDE_REL_INDEX",($C39&amp; " Equity"),"BETA_OVERRIDE_END_DT",$Q$5,"BETA_OVERRIDE_START_DT",$Q$4))*100</f>
        <v>46.701682817824924</v>
      </c>
      <c r="R39" s="188"/>
      <c r="S39" s="188" cm="1">
        <f t="array" ref="S39">_xll.BDP($A39&amp;" Index","CHG_PCT_2D")/100</f>
        <v>-4.9074349999999999E-3</v>
      </c>
      <c r="T39" s="188" cm="1">
        <f t="array" ref="T39">_xll.BDP($A39&amp;" Index","CHG_PCT_5D")/100</f>
        <v>-9.3826299999999994E-3</v>
      </c>
      <c r="U39" s="188" cm="1">
        <f t="array" ref="U39">K39/_xll.BDP($A39&amp;" Index","HIGH_52WEEK")-1</f>
        <v>-0.21736837430737588</v>
      </c>
      <c r="V39" s="188" cm="1">
        <f t="array" ref="V39">K39/_xll.BDP($A39&amp;" Index","LOW_52WEEK")-1</f>
        <v>-6.7379370875236821E-3</v>
      </c>
      <c r="W39" s="188"/>
      <c r="X39" s="192" cm="1">
        <f t="array" ref="X39">_xll.BDP($A39&amp;" Index","RSI_14D")</f>
        <v>30.209720000000001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3.548163374748496</v>
      </c>
      <c r="AI39" s="196" cm="1">
        <f t="array" ref="AI39">(_xll.BDP(C39&amp;" Equity","SHORT_INT")/_xll.BDP(C39&amp;" Equity","VOLUME_AVG_90D"))</f>
        <v>3.0931106449692027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1.0635065329687166E-2</v>
      </c>
      <c r="AN39" s="194">
        <f ca="1">IF(ISTEXT(B39),AP39/_xll.BDH(B39 &amp;  " Equity","BEST_EPS",$AN$3,$AN$3,"BEST_FPERIOD_OVERRIDE=1BF","CDR=US","Fill=p")-1,"")</f>
        <v>2.7732715334105817E-2</v>
      </c>
      <c r="AO39" s="196">
        <f t="shared" ca="1" si="14"/>
        <v>24.449789536981356</v>
      </c>
      <c r="AP39" s="196" cm="1">
        <f t="array" aca="1" ref="AP39" ca="1">IF(ISTEXT(B39),_xll.BDH(B39 &amp;  " Equity","BEST_EPS",$Q$3,$Q$3,"BEST_FPERIOD_OVERRIDE=1BF","CDR=US","Fill=p"),"")</f>
        <v>13.304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527.57000000000005</v>
      </c>
      <c r="H40" s="188" cm="1">
        <f t="array" ref="H40">G40/_xll.BDP(B40&amp;" Equity", "PREV_CLOSE_VAL")-1</f>
        <v>-7.8421785082934958E-3</v>
      </c>
      <c r="I40" s="187" cm="1">
        <f t="array" ref="I40">_xll.BDP(C40&amp;" Equity","LAST PRICE")</f>
        <v>325.27999999999997</v>
      </c>
      <c r="J40" s="188" cm="1">
        <f t="array" ref="J40">I40/_xll.BDP(C40&amp;" Equity", "PREV_CLOSE_VAL")-1</f>
        <v>-1.6573568227856716E-3</v>
      </c>
      <c r="K40" s="189">
        <f t="shared" si="9"/>
        <v>1.6218949827840632</v>
      </c>
      <c r="L40" s="188" cm="1">
        <f t="array" ref="L40">K40/(_xll.BDP(B40&amp;" Equity", "PREV_CLOSE_VAL")/_xll.BDP(C40&amp;" Equity", "PREV_CLOSE_VAL"))-1</f>
        <v>-6.1950891587928547E-3</v>
      </c>
      <c r="M40" s="188"/>
      <c r="N40" s="190">
        <f t="shared" si="10"/>
        <v>1.0159911854694486</v>
      </c>
      <c r="O40" s="191">
        <f>P40/15.87/100</f>
        <v>6.0975816005040965E-3</v>
      </c>
      <c r="P40" s="192" cm="1">
        <f t="array" ref="P40">_xll.BDP($A40&amp;" Index","VOLATILITY_30D")</f>
        <v>9.6768619999999999</v>
      </c>
      <c r="Q40" s="192" cm="1">
        <f t="array" aca="1" ref="Q40" ca="1">(_xll.BDP(($B40&amp; " Equity"),"CORR_COEF", "BETA_OVERRIDE_REL_INDEX",($C40&amp; " Equity"),"BETA_OVERRIDE_END_DT",$Q$5,"BETA_OVERRIDE_START_DT",$Q$4))*100</f>
        <v>88.182420370506406</v>
      </c>
      <c r="R40" s="188"/>
      <c r="S40" s="188" cm="1">
        <f t="array" ref="S40">_xll.BDP($A40&amp;" Index","CHG_PCT_2D")/100</f>
        <v>-1.7211879999999999E-2</v>
      </c>
      <c r="T40" s="188" cm="1">
        <f t="array" ref="T40">_xll.BDP($A40&amp;" Index","CHG_PCT_5D")/100</f>
        <v>-2.7815900000000001E-2</v>
      </c>
      <c r="U40" s="188" cm="1">
        <f t="array" ref="U40">K40/_xll.BDP($A40&amp;" Index","HIGH_52WEEK")-1</f>
        <v>-6.4084374745916994E-2</v>
      </c>
      <c r="V40" s="188" cm="1">
        <f t="array" ref="V40">K40/_xll.BDP($A40&amp;" Index","LOW_52WEEK")-1</f>
        <v>6.0817826284126131E-2</v>
      </c>
      <c r="W40" s="188"/>
      <c r="X40" s="192" cm="1">
        <f t="array" ref="X40">_xll.BDP($A40&amp;" Index","RSI_14D")</f>
        <v>45.5075</v>
      </c>
      <c r="Y40" s="193">
        <v>1.67</v>
      </c>
      <c r="Z40" s="188">
        <f t="shared" si="11"/>
        <v>2.9659760790037071E-2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2.2646578734349267</v>
      </c>
      <c r="AI40" s="196" cm="1">
        <f t="array" ref="AI40">(_xll.BDP(C40&amp;" Equity","SHORT_INT")/_xll.BDP(C40&amp;" Equity","VOLUME_AVG_90D"))</f>
        <v>3.548163374748496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1.3280839895013052E-2</v>
      </c>
      <c r="AN40" s="194">
        <f ca="1">IF(ISTEXT(B40),AP40/_xll.BDH(B40 &amp;  " Equity","BEST_EPS",$AN$3,$AN$3,"BEST_FPERIOD_OVERRIDE=1BF","CDR=US","Fill=p")-1,"")</f>
        <v>4.5496398201809063E-2</v>
      </c>
      <c r="AO40" s="196">
        <f t="shared" ca="1" si="14"/>
        <v>27.330984821012279</v>
      </c>
      <c r="AP40" s="196" cm="1">
        <f t="array" aca="1" ref="AP40" ca="1">IF(ISTEXT(B40),_xll.BDH(B40 &amp;  " Equity","BEST_EPS",$Q$3,$Q$3,"BEST_FPERIOD_OVERRIDE=1BF","CDR=US","Fill=p"),"")</f>
        <v>19.303000000000001</v>
      </c>
      <c r="AR40" s="194">
        <f ca="1">IF(ISTEXT(C40),AU40/_xll.BDH(C40 &amp;  " Equity","BEST_EPS",$AM$3,$AM$3,"BEST_FPERIOD_OVERRIDE=1BF","CDR=US","Fill=p")-1,"")</f>
        <v>1.0635065329687166E-2</v>
      </c>
      <c r="AS40" s="194">
        <f ca="1">IF(ISTEXT(C40),AU40/_xll.BDH(C40 &amp;  " Equity","BEST_EPS",$AN$3,$AN$3,"BEST_FPERIOD_OVERRIDE=1BF","CDR=US","Fill=p")-1,"")</f>
        <v>2.7732715334105817E-2</v>
      </c>
      <c r="AT40" s="196">
        <f t="shared" ca="1" si="15"/>
        <v>24.449789536981356</v>
      </c>
      <c r="AU40" s="196" cm="1">
        <f t="array" aca="1" ref="AU40" ca="1">IF(ISTEXT(C40),_xll.BDH(C40 &amp;  " Equity","BEST_EPS",$Q$3,$Q$3,"BEST_FPERIOD_OVERRIDE=1BF","CDR=US","Fill=p"),"")</f>
        <v>13.304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219.45</v>
      </c>
      <c r="H41" s="188" cm="1">
        <f t="array" ref="H41">G41/_xll.BDP(B41&amp;" Equity", "PREV_CLOSE_VAL")-1</f>
        <v>1.4281752634498046E-2</v>
      </c>
      <c r="I41" s="187" cm="1">
        <f t="array" ref="I41">_xll.BDP(C41&amp;" Equity","LAST PRICE")</f>
        <v>616.28</v>
      </c>
      <c r="J41" s="188" cm="1">
        <f t="array" ref="J41">I41/_xll.BDP(C41&amp;" Equity", "PREV_CLOSE_VAL")-1</f>
        <v>1.351840278919858E-2</v>
      </c>
      <c r="K41" s="189">
        <f t="shared" si="9"/>
        <v>0.35608814175374831</v>
      </c>
      <c r="L41" s="188" cm="1">
        <f t="array" ref="L41">K41/(_xll.BDP(B41&amp;" Equity", "PREV_CLOSE_VAL")/_xll.BDP(C41&amp;" Equity", "PREV_CLOSE_VAL"))-1</f>
        <v>7.5316821401449907E-4</v>
      </c>
      <c r="M41" s="188"/>
      <c r="N41" s="190">
        <f t="shared" si="10"/>
        <v>5.8329345850210428E-2</v>
      </c>
      <c r="O41" s="191">
        <f t="shared" si="17"/>
        <v>1.2912337744171392E-2</v>
      </c>
      <c r="P41" s="192" cm="1">
        <f t="array" ref="P41">_xll.BDP($A41&amp;" Index","VOLATILITY_30D")</f>
        <v>20.491879999999998</v>
      </c>
      <c r="Q41" s="192" cm="1">
        <f t="array" aca="1" ref="Q41" ca="1">(_xll.BDP(($B41&amp; " Equity"),"CORR_COEF", "BETA_OVERRIDE_REL_INDEX",($C41&amp; " Equity"),"BETA_OVERRIDE_END_DT",$Q$5,"BETA_OVERRIDE_START_DT",$Q$4))*100</f>
        <v>49.608440000000002</v>
      </c>
      <c r="R41" s="188"/>
      <c r="S41" s="188" cm="1">
        <f t="array" ref="S41">_xll.BDP($A41&amp;" Index","CHG_PCT_2D")/100</f>
        <v>6.4921810000000005E-3</v>
      </c>
      <c r="T41" s="188" cm="1">
        <f t="array" ref="T41">_xll.BDP($A41&amp;" Index","CHG_PCT_5D")/100</f>
        <v>3.1498539999999998E-2</v>
      </c>
      <c r="U41" s="188" cm="1">
        <f t="array" ref="U41">K41/_xll.BDP($A41&amp;" Index","HIGH_52WEEK")-1</f>
        <v>-4.8350682148302182E-2</v>
      </c>
      <c r="V41" s="188" cm="1">
        <f t="array" ref="V41">K41/_xll.BDP($A41&amp;" Index","LOW_52WEEK")-1</f>
        <v>0.31879612515739542</v>
      </c>
      <c r="W41" s="188"/>
      <c r="X41" s="192" cm="1">
        <f t="array" ref="X41">_xll.BDP($A41&amp;" Index","RSI_14D")</f>
        <v>66.864980000000003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0.77127775552630529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2.9075618975205053E-4</v>
      </c>
      <c r="AN41" s="194">
        <f ca="1">IF(ISTEXT(B41),AP41/_xll.BDH(B41 &amp;  " Equity","BEST_EPS",$AN$3,$AN$3,"BEST_FPERIOD_OVERRIDE=1BF","CDR=US","Fill=p")-1,"")</f>
        <v>5.7630004493106846E-2</v>
      </c>
      <c r="AO41" s="196">
        <f t="shared" ca="1" si="14"/>
        <v>24.533807351757442</v>
      </c>
      <c r="AP41" s="196" cm="1">
        <f t="array" aca="1" ref="AP41" ca="1">IF(ISTEXT(B41),_xll.BDH(B41 &amp;  " Equity","BEST_EPS",$Q$3,$Q$3,"BEST_FPERIOD_OVERRIDE=1BF","CDR=US","Fill=p"),"")</f>
        <v>8.9448000000000008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219.45</v>
      </c>
      <c r="H42" s="188" cm="1">
        <f t="array" ref="H42">G42/_xll.BDP(B42&amp;" Equity", "PREV_CLOSE_VAL")-1</f>
        <v>1.4281752634498046E-2</v>
      </c>
      <c r="I42" s="187" cm="1">
        <f t="array" ref="I42">_xll.BDP(C42&amp;" Equity","LAST PRICE")</f>
        <v>43.02</v>
      </c>
      <c r="J42" s="188" cm="1">
        <f t="array" ref="J42">I42/_xll.BDP(C42&amp;" Equity", "PREV_CLOSE_VAL")-1</f>
        <v>1.3966480446927498E-3</v>
      </c>
      <c r="K42" s="189">
        <f t="shared" ref="K42:K55" si="18">G42/I42</f>
        <v>5.1011157601115755</v>
      </c>
      <c r="L42" s="188" cm="1">
        <f t="array" ref="L42">K42/(_xll.BDP(B42&amp;" Equity", "PREV_CLOSE_VAL")/_xll.BDP(C42&amp;" Equity", "PREV_CLOSE_VAL"))-1</f>
        <v>1.2867133732636704E-2</v>
      </c>
      <c r="M42" s="188"/>
      <c r="N42" s="190">
        <f t="shared" ref="N42:N55" si="19">ABS(L42/O42)</f>
        <v>0.86904757528868171</v>
      </c>
      <c r="O42" s="191">
        <f t="shared" si="17"/>
        <v>1.4806017643352239E-2</v>
      </c>
      <c r="P42" s="192" cm="1">
        <f t="array" ref="P42">_xll.BDP($A42&amp;" Index","VOLATILITY_30D")</f>
        <v>23.497150000000001</v>
      </c>
      <c r="Q42" s="192" cm="1">
        <f t="array" aca="1" ref="Q42" ca="1">(_xll.BDP(($B42&amp; " Equity"),"CORR_COEF", "BETA_OVERRIDE_REL_INDEX",($C42&amp; " Equity"),"BETA_OVERRIDE_END_DT",$Q$5,"BETA_OVERRIDE_START_DT",$Q$4))*100</f>
        <v>61.180230000000002</v>
      </c>
      <c r="R42" s="188"/>
      <c r="S42" s="188" cm="1">
        <f t="array" ref="S42">_xll.BDP($A42&amp;" Index","CHG_PCT_2D")/100</f>
        <v>1.057698E-2</v>
      </c>
      <c r="T42" s="188" cm="1">
        <f t="array" ref="T42">_xll.BDP($A42&amp;" Index","CHG_PCT_5D")/100</f>
        <v>3.3277549999999996E-2</v>
      </c>
      <c r="U42" s="188" cm="1">
        <f t="array" ref="U42">K42/_xll.BDP($A42&amp;" Index","HIGH_52WEEK")-1</f>
        <v>1.0211951582136169E-2</v>
      </c>
      <c r="V42" s="188" cm="1">
        <f t="array" ref="V42">K42/_xll.BDP($A42&amp;" Index","LOW_52WEEK")-1</f>
        <v>0.55864914846447844</v>
      </c>
      <c r="W42" s="188"/>
      <c r="X42" s="192" cm="1">
        <f t="array" ref="X42">_xll.BDP($A42&amp;" Index","RSI_14D")</f>
        <v>60.479559999999999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1.1174233627297645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2.9075618975205053E-4</v>
      </c>
      <c r="AN42" s="194">
        <f ca="1">IF(ISTEXT(B42),AP42/_xll.BDH(B42 &amp;  " Equity","BEST_EPS",$AN$3,$AN$3,"BEST_FPERIOD_OVERRIDE=1BF","CDR=US","Fill=p")-1,"")</f>
        <v>5.7630004493106846E-2</v>
      </c>
      <c r="AO42" s="196">
        <f t="shared" ref="AO42:AO55" ca="1" si="23">G42/AP42</f>
        <v>24.533807351757442</v>
      </c>
      <c r="AP42" s="196" cm="1">
        <f t="array" aca="1" ref="AP42" ca="1">IF(ISTEXT(B42),_xll.BDH(B42 &amp;  " Equity","BEST_EPS",$Q$3,$Q$3,"BEST_FPERIOD_OVERRIDE=1BF","CDR=US","Fill=p"),"")</f>
        <v>8.9448000000000008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685.4</v>
      </c>
      <c r="H44" s="188" cm="1">
        <f t="array" ref="H44">G44/_xll.BDP(B44&amp;" Equity", "PREV_CLOSE_VAL")-1</f>
        <v>1.1541072640868899E-2</v>
      </c>
      <c r="I44" s="187" cm="1">
        <f t="array" ref="I44">_xll.BDP(C44&amp;" Equity","LAST PRICE")</f>
        <v>199.4</v>
      </c>
      <c r="J44" s="188" cm="1">
        <f t="array" ref="J44">I44/_xll.BDP(C44&amp;" Equity", "PREV_CLOSE_VAL")-1</f>
        <v>1.6931864545083553E-2</v>
      </c>
      <c r="K44" s="189">
        <f t="shared" si="18"/>
        <v>3.437311935807422</v>
      </c>
      <c r="L44" s="188" cm="1">
        <f t="array" ref="L44">K44/(_xll.BDP(B44&amp;" Equity", "PREV_CLOSE_VAL")/_xll.BDP(C44&amp;" Equity", "PREV_CLOSE_VAL"))-1</f>
        <v>-5.3010354893602285E-3</v>
      </c>
      <c r="M44" s="188"/>
      <c r="N44" s="190">
        <f t="shared" si="19"/>
        <v>1.1380182918538078</v>
      </c>
      <c r="O44" s="191">
        <f t="shared" si="17"/>
        <v>4.6581285444234413E-3</v>
      </c>
      <c r="P44" s="192" cm="1">
        <f t="array" ref="P44">_xll.BDP($A44&amp;" Index","VOLATILITY_30D")</f>
        <v>7.3924500000000002</v>
      </c>
      <c r="Q44" s="192" cm="1">
        <f t="array" aca="1" ref="Q44" ca="1">(_xll.BDP(($B44&amp; " Equity"),"CORR_COEF", "BETA_OVERRIDE_REL_INDEX",($C44&amp; " Equity"),"BETA_OVERRIDE_END_DT",$Q$5,"BETA_OVERRIDE_START_DT",$Q$4))*100</f>
        <v>73.543230174910917</v>
      </c>
      <c r="R44" s="188"/>
      <c r="S44" s="188" cm="1">
        <f t="array" ref="S44">_xll.BDP($A44&amp;" Index","CHG_PCT_2D")/100</f>
        <v>-7.5903540000000005E-3</v>
      </c>
      <c r="T44" s="188" cm="1">
        <f t="array" ref="T44">_xll.BDP($A44&amp;" Index","CHG_PCT_5D")/100</f>
        <v>-7.5697899999999999E-3</v>
      </c>
      <c r="U44" s="188" cm="1">
        <f t="array" ref="U44">K44/_xll.BDP($A44&amp;" Index","HIGH_52WEEK")-1</f>
        <v>-5.8250061423970378E-2</v>
      </c>
      <c r="V44" s="188" cm="1">
        <f t="array" ref="V44">K44/_xll.BDP($A44&amp;" Index","LOW_52WEEK")-1</f>
        <v>6.926142603181118E-2</v>
      </c>
      <c r="W44" s="188"/>
      <c r="X44" s="192" cm="1">
        <f t="array" ref="X44">_xll.BDP($A44&amp;" Index","RSI_14D")</f>
        <v>31.271509999999999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1.2684477943208494</v>
      </c>
      <c r="AI44" s="196" cm="1">
        <f t="array" ref="AI44">(_xll.BDP(C44&amp;" Equity","SHORT_INT")/_xll.BDP(C44&amp;" Equity","VOLUME_AVG_90D"))</f>
        <v>3.0931106449692027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616.28</v>
      </c>
      <c r="H45" s="188" cm="1">
        <f t="array" ref="H45">G45/_xll.BDP(B45&amp;" Equity", "PREV_CLOSE_VAL")-1</f>
        <v>1.351840278919858E-2</v>
      </c>
      <c r="I45" s="187" cm="1">
        <f t="array" ref="I45">_xll.BDP(C45&amp;" Equity","LAST PRICE")</f>
        <v>104.5</v>
      </c>
      <c r="J45" s="188" cm="1">
        <f t="array" ref="J45">I45/_xll.BDP(C45&amp;" Equity", "PREV_CLOSE_VAL")-1</f>
        <v>1.6339233612137738E-2</v>
      </c>
      <c r="K45" s="189">
        <f t="shared" si="18"/>
        <v>5.8974162679425834</v>
      </c>
      <c r="L45" s="188" cm="1">
        <f t="array" ref="L45">K45/(_xll.BDP(B45&amp;" Equity", "PREV_CLOSE_VAL")/_xll.BDP(C45&amp;" Equity", "PREV_CLOSE_VAL"))-1</f>
        <v>-2.7754815810011602E-3</v>
      </c>
      <c r="M45" s="188"/>
      <c r="N45" s="190">
        <f t="shared" si="19"/>
        <v>0.62668971222296777</v>
      </c>
      <c r="O45" s="191">
        <f t="shared" si="17"/>
        <v>4.4287971014492751E-3</v>
      </c>
      <c r="P45" s="192" cm="1">
        <f t="array" ref="P45">_xll.BDP($A45&amp;" Index","VOLATILITY_30D")</f>
        <v>7.0285010000000003</v>
      </c>
      <c r="Q45" s="192" cm="1">
        <f t="array" aca="1" ref="Q45" ca="1">(_xll.BDP(($B45&amp; " Equity"),"CORR_COEF", "BETA_OVERRIDE_REL_INDEX",($C45&amp; " Equity"),"BETA_OVERRIDE_END_DT",$Q$5,"BETA_OVERRIDE_START_DT",$Q$4))*100</f>
        <v>86.977197543765101</v>
      </c>
      <c r="R45" s="188"/>
      <c r="S45" s="188" cm="1">
        <f t="array" ref="S45">_xll.BDP($A45&amp;" Index","CHG_PCT_2D")/100</f>
        <v>-9.0210610000000004E-3</v>
      </c>
      <c r="T45" s="188" cm="1">
        <f t="array" ref="T45">_xll.BDP($A45&amp;" Index","CHG_PCT_5D")/100</f>
        <v>-5.9047590000000007E-3</v>
      </c>
      <c r="U45" s="188" cm="1">
        <f t="array" ref="U45">K45/_xll.BDP($A45&amp;" Index","HIGH_52WEEK")-1</f>
        <v>-3.5293265532844176E-2</v>
      </c>
      <c r="V45" s="188" cm="1">
        <f t="array" ref="V45">K45/_xll.BDP($A45&amp;" Index","LOW_52WEEK")-1</f>
        <v>0.10171125282882421</v>
      </c>
      <c r="W45" s="188"/>
      <c r="X45" s="192" cm="1">
        <f t="array" ref="X45">_xll.BDP($A45&amp;" Index","RSI_14D")</f>
        <v>39.524949999999997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0.77127775552630529</v>
      </c>
      <c r="AI45" s="196" cm="1">
        <f t="array" ref="AI45">(_xll.BDP(C45&amp;" Equity","SHORT_INT")/_xll.BDP(C45&amp;" Equity","VOLUME_AVG_90D"))</f>
        <v>4.5135020660373053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616.28</v>
      </c>
      <c r="H46" s="188" cm="1">
        <f t="array" ref="H46">G46/_xll.BDP(B46&amp;" Equity", "PREV_CLOSE_VAL")-1</f>
        <v>1.351840278919858E-2</v>
      </c>
      <c r="I46" s="187" cm="1">
        <f t="array" ref="I46">_xll.BDP(C46&amp;" Equity","LAST PRICE")</f>
        <v>95.4</v>
      </c>
      <c r="J46" s="188" cm="1">
        <f t="array" ref="J46">I46/_xll.BDP(C46&amp;" Equity", "PREV_CLOSE_VAL")-1</f>
        <v>-5.5248618784530246E-3</v>
      </c>
      <c r="K46" s="189">
        <f>G46/I46</f>
        <v>6.4599580712788249</v>
      </c>
      <c r="L46" s="188" cm="1">
        <f t="array" ref="L46">K46/(_xll.BDP(B46&amp;" Equity", "PREV_CLOSE_VAL")/_xll.BDP(C46&amp;" Equity", "PREV_CLOSE_VAL"))-1</f>
        <v>1.9149060582471789E-2</v>
      </c>
      <c r="M46" s="188"/>
      <c r="N46" s="190">
        <f>ABS(L46/O46)</f>
        <v>1.9640214452009859</v>
      </c>
      <c r="O46" s="191">
        <f>P46/15.87/100</f>
        <v>9.7499243856332702E-3</v>
      </c>
      <c r="P46" s="192" cm="1">
        <f t="array" ref="P46">_xll.BDP($A46&amp;" Index","VOLATILITY_30D")</f>
        <v>15.473129999999999</v>
      </c>
      <c r="Q46" s="192" cm="1">
        <f t="array" aca="1" ref="Q46" ca="1">(_xll.BDP(($B46&amp; " Equity"),"CORR_COEF", "BETA_OVERRIDE_REL_INDEX",($C46&amp; " Equity"),"BETA_OVERRIDE_END_DT",$Q$5,"BETA_OVERRIDE_START_DT",$Q$4))*100</f>
        <v>77.553056801821697</v>
      </c>
      <c r="R46" s="188"/>
      <c r="S46" s="188" cm="1">
        <f t="array" ref="S46">_xll.BDP($A46&amp;" Index","CHG_PCT_2D")/100</f>
        <v>2.4254210000000002E-2</v>
      </c>
      <c r="T46" s="188" cm="1">
        <f t="array" ref="T46">_xll.BDP($A46&amp;" Index","CHG_PCT_5D")/100</f>
        <v>5.5915990000000006E-2</v>
      </c>
      <c r="U46" s="188" cm="1">
        <f t="array" ref="U46">K46/_xll.BDP($A46&amp;" Index","HIGH_52WEEK")-1</f>
        <v>1.9149095109444847E-2</v>
      </c>
      <c r="V46" s="188" cm="1">
        <f t="array" ref="V46">K46/_xll.BDP($A46&amp;" Index","LOW_52WEEK")-1</f>
        <v>0.32840041276893595</v>
      </c>
      <c r="W46" s="188"/>
      <c r="X46" s="192" cm="1">
        <f t="array" ref="X46">_xll.BDP($A46&amp;" Index","RSI_14D")</f>
        <v>80.911249999999995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0.77127775552630529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685.4</v>
      </c>
      <c r="H47" s="188" cm="1">
        <f t="array" ref="H47">G47/_xll.BDP(B47&amp;" Equity", "PREV_CLOSE_VAL")-1</f>
        <v>1.1541072640868899E-2</v>
      </c>
      <c r="I47" s="187" cm="1">
        <f t="array" ref="I47">_xll.BDP(C47&amp;" Equity","LAST PRICE")</f>
        <v>616.28</v>
      </c>
      <c r="J47" s="188" cm="1">
        <f t="array" ref="J47">I47/_xll.BDP(C47&amp;" Equity", "PREV_CLOSE_VAL")-1</f>
        <v>1.351840278919858E-2</v>
      </c>
      <c r="K47" s="189">
        <f t="shared" si="18"/>
        <v>1.1121568118387746</v>
      </c>
      <c r="L47" s="188" cm="1">
        <f t="array" ref="L47">K47/(_xll.BDP(B47&amp;" Equity", "PREV_CLOSE_VAL")/_xll.BDP(C47&amp;" Equity", "PREV_CLOSE_VAL"))-1</f>
        <v>-1.9509563347720471E-3</v>
      </c>
      <c r="M47" s="188"/>
      <c r="N47" s="190">
        <f t="shared" si="19"/>
        <v>5.6065963452680216E-2</v>
      </c>
      <c r="O47" s="191">
        <f t="shared" si="17"/>
        <v>3.4797517328292379E-2</v>
      </c>
      <c r="P47" s="192" cm="1">
        <f t="array" ref="P47">_xll.BDP($A47&amp;" Index","VOLATILITY_30D")</f>
        <v>55.223660000000002</v>
      </c>
      <c r="Q47" s="192" cm="1">
        <f t="array" aca="1" ref="Q47" ca="1">(_xll.BDP(($B47&amp; " Equity"),"CORR_COEF", "BETA_OVERRIDE_REL_INDEX",($C47&amp; " Equity"),"BETA_OVERRIDE_END_DT",$Q$5,"BETA_OVERRIDE_START_DT",$Q$4))*100</f>
        <v>94.769761275328563</v>
      </c>
      <c r="R47" s="188"/>
      <c r="S47" s="188" cm="1">
        <f t="array" ref="S47">_xll.BDP($A47&amp;" Index","CHG_PCT_2D")/100</f>
        <v>-2.8364769999999997E-2</v>
      </c>
      <c r="T47" s="188" cm="1">
        <f t="array" ref="T47">_xll.BDP($A47&amp;" Index","CHG_PCT_5D")/100</f>
        <v>-3.5070420000000005E-2</v>
      </c>
      <c r="U47" s="188" cm="1">
        <f t="array" ref="U47">K47/_xll.BDP($A47&amp;" Index","HIGH_52WEEK")-1</f>
        <v>-0.98768102778202504</v>
      </c>
      <c r="V47" s="188" cm="1">
        <f t="array" ref="V47">K47/_xll.BDP($A47&amp;" Index","LOW_52WEEK")-1</f>
        <v>-0.97824844881989492</v>
      </c>
      <c r="W47" s="188"/>
      <c r="X47" s="192" cm="1">
        <f t="array" ref="X47">_xll.BDP($A47&amp;" Index","RSI_14D")</f>
        <v>54.10839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1.2684477943208494</v>
      </c>
      <c r="AI47" s="196" cm="1">
        <f t="array" ref="AI47">(_xll.BDP(C47&amp;" Equity","SHORT_INT")/_xll.BDP(C47&amp;" Equity","VOLUME_AVG_90D"))</f>
        <v>0.77127775552630529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685.4</v>
      </c>
      <c r="H48" s="188" cm="1">
        <f t="array" ref="H48">G48/_xll.BDP(B48&amp;" Equity", "PREV_CLOSE_VAL")-1</f>
        <v>1.1541072640868899E-2</v>
      </c>
      <c r="I48" s="187" cm="1">
        <f t="array" ref="I48">_xll.BDP(C48&amp;" Equity","LAST PRICE")</f>
        <v>267.77</v>
      </c>
      <c r="J48" s="188" cm="1">
        <f t="array" ref="J48">I48/_xll.BDP(C48&amp;" Equity", "PREV_CLOSE_VAL")-1</f>
        <v>1.9765404829004574E-2</v>
      </c>
      <c r="K48" s="189">
        <f t="shared" si="18"/>
        <v>2.5596594091944582</v>
      </c>
      <c r="L48" s="188" cm="1">
        <f t="array" ref="L48">K48/(_xll.BDP(B48&amp;" Equity", "PREV_CLOSE_VAL")/_xll.BDP(C48&amp;" Equity", "PREV_CLOSE_VAL"))-1</f>
        <v>-8.0649256674033554E-3</v>
      </c>
      <c r="M48" s="188"/>
      <c r="N48" s="190">
        <f t="shared" si="19"/>
        <v>1.3675005950324288</v>
      </c>
      <c r="O48" s="191">
        <f t="shared" si="17"/>
        <v>5.89756647763075E-3</v>
      </c>
      <c r="P48" s="192" cm="1">
        <f t="array" ref="P48">_xll.BDP($A48&amp;" Index","VOLATILITY_30D")</f>
        <v>9.3594380000000008</v>
      </c>
      <c r="Q48" s="192" cm="1">
        <f t="array" aca="1" ref="Q48" ca="1">(_xll.BDP(($B48&amp; " Equity"),"CORR_COEF", "BETA_OVERRIDE_REL_INDEX",($C48&amp; " Equity"),"BETA_OVERRIDE_END_DT",$Q$5,"BETA_OVERRIDE_START_DT",$Q$4))*100</f>
        <v>75.631860079898047</v>
      </c>
      <c r="R48" s="188"/>
      <c r="S48" s="188" cm="1">
        <f t="array" ref="S48">_xll.BDP($A48&amp;" Index","CHG_PCT_2D")/100</f>
        <v>-1.240464E-2</v>
      </c>
      <c r="T48" s="188" cm="1">
        <f t="array" ref="T48">_xll.BDP($A48&amp;" Index","CHG_PCT_5D")/100</f>
        <v>-2.0113240000000001E-2</v>
      </c>
      <c r="U48" s="188" cm="1">
        <f t="array" ref="U48">K48/_xll.BDP($A48&amp;" Index","HIGH_52WEEK")-1</f>
        <v>-0.1161946394234965</v>
      </c>
      <c r="V48" s="188" cm="1">
        <f t="array" ref="V48">K48/_xll.BDP($A48&amp;" Index","LOW_52WEEK")-1</f>
        <v>-8.0646513253561647E-3</v>
      </c>
      <c r="W48" s="188"/>
      <c r="X48" s="192" cm="1">
        <f t="array" ref="X48">_xll.BDP($A48&amp;" Index","RSI_14D")</f>
        <v>22.00243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1.2684477943208494</v>
      </c>
      <c r="AI48" s="196" cm="1">
        <f t="array" ref="AI48">(_xll.BDP(C48&amp;" Equity","SHORT_INT")/_xll.BDP(C48&amp;" Equity","VOLUME_AVG_90D"))</f>
        <v>2.0116523175520511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616.28</v>
      </c>
      <c r="H49" s="188" cm="1">
        <f t="array" ref="H49">G49/_xll.BDP(B49&amp;" Equity", "PREV_CLOSE_VAL")-1</f>
        <v>1.351840278919858E-2</v>
      </c>
      <c r="I49" s="187" cm="1">
        <f t="array" ref="I49">_xll.BDP(C49&amp;" Equity","LAST PRICE")</f>
        <v>267.77</v>
      </c>
      <c r="J49" s="188" cm="1">
        <f t="array" ref="J49">I49/_xll.BDP(C49&amp;" Equity", "PREV_CLOSE_VAL")-1</f>
        <v>1.9765404829004574E-2</v>
      </c>
      <c r="K49" s="189">
        <f t="shared" si="18"/>
        <v>2.3015274302573103</v>
      </c>
      <c r="L49" s="188" cm="1">
        <f t="array" ref="L49">K49/(_xll.BDP(B49&amp;" Equity", "PREV_CLOSE_VAL")/_xll.BDP(C49&amp;" Equity", "PREV_CLOSE_VAL"))-1</f>
        <v>-6.1259207364987578E-3</v>
      </c>
      <c r="M49" s="188"/>
      <c r="N49" s="190">
        <f t="shared" si="19"/>
        <v>0.79371582411440478</v>
      </c>
      <c r="O49" s="191">
        <f t="shared" si="17"/>
        <v>7.7180277252678012E-3</v>
      </c>
      <c r="P49" s="192" cm="1">
        <f t="array" ref="P49">_xll.BDP($A49&amp;" Index","VOLATILITY_30D")</f>
        <v>12.24851</v>
      </c>
      <c r="Q49" s="192" cm="1">
        <f t="array" aca="1" ref="Q49" ca="1">(_xll.BDP(($B49&amp; " Equity"),"CORR_COEF", "BETA_OVERRIDE_REL_INDEX",($C49&amp; " Equity"),"BETA_OVERRIDE_END_DT",$Q$5,"BETA_OVERRIDE_START_DT",$Q$4))*100</f>
        <v>63.425127593416484</v>
      </c>
      <c r="R49" s="188"/>
      <c r="S49" s="188" cm="1">
        <f t="array" ref="S49">_xll.BDP($A49&amp;" Index","CHG_PCT_2D")/100</f>
        <v>-9.7075170000000006E-3</v>
      </c>
      <c r="T49" s="188" cm="1">
        <f t="array" ref="T49">_xll.BDP($A49&amp;" Index","CHG_PCT_5D")/100</f>
        <v>-1.6577290000000001E-2</v>
      </c>
      <c r="U49" s="188" cm="1">
        <f t="array" ref="U49">K49/_xll.BDP($A49&amp;" Index","HIGH_52WEEK")-1</f>
        <v>-0.1174448077853707</v>
      </c>
      <c r="V49" s="188" cm="1">
        <f t="array" ref="V49">K49/_xll.BDP($A49&amp;" Index","LOW_52WEEK")-1</f>
        <v>1.3781551843554229E-2</v>
      </c>
      <c r="W49" s="188"/>
      <c r="X49" s="192" cm="1">
        <f t="array" ref="X49">_xll.BDP($A49&amp;" Index","RSI_14D")</f>
        <v>24.404489999999999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0.77127775552630529</v>
      </c>
      <c r="AI49" s="196" cm="1">
        <f t="array" ref="AI49">(_xll.BDP(C49&amp;" Equity","SHORT_INT")/_xll.BDP(C49&amp;" Equity","VOLUME_AVG_90D"))</f>
        <v>2.0116523175520511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401.93</v>
      </c>
      <c r="H50" s="188" cm="1">
        <f t="array" ref="H50">G50/_xll.BDP(B50&amp;" Equity", "PREV_CLOSE_VAL")-1</f>
        <v>2.9560183406337259E-2</v>
      </c>
      <c r="I50" s="187" cm="1">
        <f t="array" ref="I50">_xll.BDP(C50&amp;" Equity","LAST PRICE")</f>
        <v>95.4</v>
      </c>
      <c r="J50" s="188" cm="1">
        <f t="array" ref="J50">I50/_xll.BDP(C50&amp;" Equity", "PREV_CLOSE_VAL")-1</f>
        <v>-5.5248618784530246E-3</v>
      </c>
      <c r="K50" s="189">
        <f>G50/I50</f>
        <v>4.213102725366876</v>
      </c>
      <c r="L50" s="188" cm="1">
        <f t="array" ref="L50">K50/(_xll.BDP(B50&amp;" Equity", "PREV_CLOSE_VAL")/_xll.BDP(C50&amp;" Equity", "PREV_CLOSE_VAL"))-1</f>
        <v>3.5279962203039084E-2</v>
      </c>
      <c r="M50" s="188"/>
      <c r="N50" s="190">
        <f>ABS(L50/O50)</f>
        <v>1.8226193837530289</v>
      </c>
      <c r="O50" s="191">
        <f>P50/15.87/100</f>
        <v>1.935673597983617E-2</v>
      </c>
      <c r="P50" s="192" cm="1">
        <f t="array" ref="P50">_xll.BDP($A50&amp;" Index","VOLATILITY_30D")</f>
        <v>30.719139999999999</v>
      </c>
      <c r="Q50" s="192" cm="1">
        <f t="array" aca="1" ref="Q50" ca="1">(_xll.BDP(($B50&amp; " Equity"),"CORR_COEF", "BETA_OVERRIDE_REL_INDEX",($C50&amp; " Equity"),"BETA_OVERRIDE_END_DT",$Q$5,"BETA_OVERRIDE_START_DT",$Q$4))*100</f>
        <v>61.023650365728287</v>
      </c>
      <c r="R50" s="188"/>
      <c r="S50" s="188" cm="1">
        <f t="array" ref="S50">_xll.BDP($A50&amp;" Index","CHG_PCT_2D")/100</f>
        <v>4.0093759999999999E-2</v>
      </c>
      <c r="T50" s="188" cm="1">
        <f t="array" ref="T50">_xll.BDP($A50&amp;" Index","CHG_PCT_5D")/100</f>
        <v>0.1024452</v>
      </c>
      <c r="U50" s="188" cm="1">
        <f t="array" ref="U50">K50/_xll.BDP($A50&amp;" Index","HIGH_52WEEK")-1</f>
        <v>3.4466494308946549E-2</v>
      </c>
      <c r="V50" s="188" cm="1">
        <f t="array" ref="V50">K50/_xll.BDP($A50&amp;" Index","LOW_52WEEK")-1</f>
        <v>0.92533850279991037</v>
      </c>
      <c r="W50" s="188"/>
      <c r="X50" s="192" cm="1">
        <f t="array" ref="X50">_xll.BDP($A50&amp;" Index","RSI_14D")</f>
        <v>84.533249999999995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1.2347884532342726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401.93</v>
      </c>
      <c r="H51" s="188" cm="1">
        <f t="array" ref="H51">G51/_xll.BDP(B51&amp;" Equity", "PREV_CLOSE_VAL")-1</f>
        <v>2.9560183406337259E-2</v>
      </c>
      <c r="I51" s="187" cm="1">
        <f t="array" ref="I51">_xll.BDP(C51&amp;" Equity","LAST PRICE")</f>
        <v>616.28</v>
      </c>
      <c r="J51" s="188" cm="1">
        <f t="array" ref="J51">I51/_xll.BDP(C51&amp;" Equity", "PREV_CLOSE_VAL")-1</f>
        <v>1.351840278919858E-2</v>
      </c>
      <c r="K51" s="189">
        <f>G51/I51</f>
        <v>0.65218731745310576</v>
      </c>
      <c r="L51" s="188" cm="1">
        <f t="array" ref="L51">K51/(_xll.BDP(B51&amp;" Equity", "PREV_CLOSE_VAL")/_xll.BDP(C51&amp;" Equity", "PREV_CLOSE_VAL"))-1</f>
        <v>1.5827813854185413E-2</v>
      </c>
      <c r="M51" s="188"/>
      <c r="N51" s="190">
        <f>ABS(L51/O51)</f>
        <v>1.2776403051939418</v>
      </c>
      <c r="O51" s="191">
        <f>P51/15.87/100</f>
        <v>1.2388317580340267E-2</v>
      </c>
      <c r="P51" s="192" cm="1">
        <f t="array" ref="P51">_xll.BDP($A51&amp;" Index","VOLATILITY_30D")</f>
        <v>19.660260000000001</v>
      </c>
      <c r="Q51" s="192" cm="1">
        <f t="array" aca="1" ref="Q51" ca="1">(_xll.BDP(($B51&amp; " Equity"),"CORR_COEF", "BETA_OVERRIDE_REL_INDEX",($C51&amp; " Equity"),"BETA_OVERRIDE_END_DT",$Q$5,"BETA_OVERRIDE_START_DT",$Q$4))*100</f>
        <v>87.128007855923997</v>
      </c>
      <c r="R51" s="188"/>
      <c r="S51" s="188" cm="1">
        <f t="array" ref="S51">_xll.BDP($A51&amp;" Index","CHG_PCT_2D")/100</f>
        <v>1.5422340000000001E-2</v>
      </c>
      <c r="T51" s="188" cm="1">
        <f t="array" ref="T51">_xll.BDP($A51&amp;" Index","CHG_PCT_5D")/100</f>
        <v>4.4021949999999997E-2</v>
      </c>
      <c r="U51" s="188" cm="1">
        <f t="array" ref="U51">K51/_xll.BDP($A51&amp;" Index","HIGH_52WEEK")-1</f>
        <v>1.1958970725399976E-2</v>
      </c>
      <c r="V51" s="188" cm="1">
        <f t="array" ref="V51">K51/_xll.BDP($A51&amp;" Index","LOW_52WEEK")-1</f>
        <v>0.52465709148378958</v>
      </c>
      <c r="W51" s="188"/>
      <c r="X51" s="192" cm="1">
        <f t="array" ref="X51">_xll.BDP($A51&amp;" Index","RSI_14D")</f>
        <v>75.62218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1.2347884532342726</v>
      </c>
      <c r="AI51" s="196" cm="1">
        <f t="array" ref="AI51">(_xll.BDP(C51&amp;" Equity","SHORT_INT")/_xll.BDP(C51&amp;" Equity","VOLUME_AVG_90D"))</f>
        <v>0.77127775552630529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86.23</v>
      </c>
      <c r="H52" s="188" cm="1">
        <f t="array" ref="H52">G52/_xll.BDP(B52&amp;" Equity", "PREV_CLOSE_VAL")-1</f>
        <v>1.8063754427390721E-2</v>
      </c>
      <c r="I52" s="187" cm="1">
        <f t="array" ref="I52">_xll.BDP(C52&amp;" Equity","LAST PRICE")</f>
        <v>199.4</v>
      </c>
      <c r="J52" s="188" cm="1">
        <f t="array" ref="J52">I52/_xll.BDP(C52&amp;" Equity", "PREV_CLOSE_VAL")-1</f>
        <v>1.6931864545083553E-2</v>
      </c>
      <c r="K52" s="189">
        <f>G52/I52</f>
        <v>0.43244734202607826</v>
      </c>
      <c r="L52" s="188" cm="1">
        <f t="array" ref="L52">K52/(_xll.BDP(B52&amp;" Equity", "PREV_CLOSE_VAL")/_xll.BDP(C52&amp;" Equity", "PREV_CLOSE_VAL"))-1</f>
        <v>1.1130439725315355E-3</v>
      </c>
      <c r="M52" s="188"/>
      <c r="N52" s="190">
        <f>ABS(L52/O52)</f>
        <v>0.156050467639468</v>
      </c>
      <c r="O52" s="191">
        <f>P52/15.87/100</f>
        <v>7.1325897920604909E-3</v>
      </c>
      <c r="P52" s="192" cm="1">
        <f t="array" ref="P52">_xll.BDP($A52&amp;" Index","VOLATILITY_30D")</f>
        <v>11.319419999999999</v>
      </c>
      <c r="Q52" s="192" cm="1">
        <f t="array" aca="1" ref="Q52" ca="1">(_xll.BDP(($B52&amp; " Equity"),"CORR_COEF", "BETA_OVERRIDE_REL_INDEX",($C52&amp; " Equity"),"BETA_OVERRIDE_END_DT",$Q$5,"BETA_OVERRIDE_START_DT",$Q$4))*100</f>
        <v>65.910675465952977</v>
      </c>
      <c r="R52" s="188"/>
      <c r="S52" s="188" cm="1">
        <f t="array" ref="S52">_xll.BDP($A52&amp;" Index","CHG_PCT_2D")/100</f>
        <v>3.1066029999999999E-3</v>
      </c>
      <c r="T52" s="188" cm="1">
        <f t="array" ref="T52">_xll.BDP($A52&amp;" Index","CHG_PCT_5D")/100</f>
        <v>1.324004E-2</v>
      </c>
      <c r="U52" s="188" cm="1">
        <f t="array" ref="U52">K52/_xll.BDP($A52&amp;" Index","HIGH_52WEEK")-1</f>
        <v>-4.1816577979973735E-2</v>
      </c>
      <c r="V52" s="188" cm="1">
        <f t="array" ref="V52">K52/_xll.BDP($A52&amp;" Index","LOW_52WEEK")-1</f>
        <v>0.27052132099209181</v>
      </c>
      <c r="W52" s="188"/>
      <c r="X52" s="192" cm="1">
        <f t="array" ref="X52">_xll.BDP($A52&amp;" Index","RSI_14D")</f>
        <v>43.687080000000002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1.6735325002558339</v>
      </c>
      <c r="AI52" s="196" cm="1">
        <f t="array" ref="AI52">(_xll.BDP(C52&amp;" Equity","SHORT_INT")/_xll.BDP(C52&amp;" Equity","VOLUME_AVG_90D"))</f>
        <v>3.0931106449692027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86.23</v>
      </c>
      <c r="H53" s="188" cm="1">
        <f t="array" ref="H53">G53/_xll.BDP(B53&amp;" Equity", "PREV_CLOSE_VAL")-1</f>
        <v>1.8063754427390721E-2</v>
      </c>
      <c r="I53" s="187" cm="1">
        <f t="array" ref="I53">_xll.BDP(C53&amp;" Equity","LAST PRICE")</f>
        <v>685.4</v>
      </c>
      <c r="J53" s="188" cm="1">
        <f t="array" ref="J53">I53/_xll.BDP(C53&amp;" Equity", "PREV_CLOSE_VAL")-1</f>
        <v>1.1541072640868899E-2</v>
      </c>
      <c r="K53" s="189">
        <f>G53/I53</f>
        <v>0.1258097461336446</v>
      </c>
      <c r="L53" s="188" cm="1">
        <f t="array" ref="L53">K53/(_xll.BDP(B53&amp;" Equity", "PREV_CLOSE_VAL")/_xll.BDP(C53&amp;" Equity", "PREV_CLOSE_VAL"))-1</f>
        <v>6.4482619272125952E-3</v>
      </c>
      <c r="M53" s="188"/>
      <c r="N53" s="190">
        <f>ABS(L53/O53)</f>
        <v>0.72432483720382868</v>
      </c>
      <c r="O53" s="191">
        <f>P53/15.87/100</f>
        <v>8.9024448645242601E-3</v>
      </c>
      <c r="P53" s="192" cm="1">
        <f t="array" ref="P53">_xll.BDP($A53&amp;" Index","VOLATILITY_30D")</f>
        <v>14.12818</v>
      </c>
      <c r="Q53" s="192" cm="1">
        <f t="array" aca="1" ref="Q53" ca="1">(_xll.BDP(($B53&amp; " Equity"),"CORR_COEF", "BETA_OVERRIDE_REL_INDEX",($C53&amp; " Equity"),"BETA_OVERRIDE_END_DT",$Q$5,"BETA_OVERRIDE_START_DT",$Q$4))*100</f>
        <v>57.372543229203252</v>
      </c>
      <c r="R53" s="188"/>
      <c r="S53" s="188" cm="1">
        <f t="array" ref="S53">_xll.BDP($A53&amp;" Index","CHG_PCT_2D")/100</f>
        <v>1.0751480000000001E-2</v>
      </c>
      <c r="T53" s="188" cm="1">
        <f t="array" ref="T53">_xll.BDP($A53&amp;" Index","CHG_PCT_5D")/100</f>
        <v>2.0941130000000002E-2</v>
      </c>
      <c r="U53" s="188" cm="1">
        <f t="array" ref="U53">K53/_xll.BDP($A53&amp;" Index","HIGH_52WEEK")-1</f>
        <v>-1.7955302992392563E-2</v>
      </c>
      <c r="V53" s="188" cm="1">
        <f t="array" ref="V53">K53/_xll.BDP($A53&amp;" Index","LOW_52WEEK")-1</f>
        <v>0.20599833333631712</v>
      </c>
      <c r="W53" s="188"/>
      <c r="X53" s="192" cm="1">
        <f t="array" ref="X53">_xll.BDP($A53&amp;" Index","RSI_14D")</f>
        <v>54.594250000000002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1.6735325002558339</v>
      </c>
      <c r="AI53" s="196" cm="1">
        <f t="array" ref="AI53">(_xll.BDP(C53&amp;" Equity","SHORT_INT")/_xll.BDP(C53&amp;" Equity","VOLUME_AVG_90D"))</f>
        <v>1.2684477943208494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86.23</v>
      </c>
      <c r="H54" s="188" cm="1">
        <f t="array" ref="H54">G54/_xll.BDP(B54&amp;" Equity", "PREV_CLOSE_VAL")-1</f>
        <v>1.8063754427390721E-2</v>
      </c>
      <c r="I54" s="187" cm="1">
        <f t="array" ref="I54">_xll.BDP(C54&amp;" Equity","LAST PRICE")</f>
        <v>70.09</v>
      </c>
      <c r="J54" s="188" cm="1">
        <f t="array" ref="J54">I54/_xll.BDP(C54&amp;" Equity", "PREV_CLOSE_VAL")-1</f>
        <v>4.674432497013159E-2</v>
      </c>
      <c r="K54" s="189">
        <f>G54/I54</f>
        <v>1.2302753602511056</v>
      </c>
      <c r="L54" s="188" cm="1">
        <f t="array" ref="L54">K54/(_xll.BDP(B54&amp;" Equity", "PREV_CLOSE_VAL")/_xll.BDP(C54&amp;" Equity", "PREV_CLOSE_VAL"))-1</f>
        <v>-2.7399786039976171E-2</v>
      </c>
      <c r="M54" s="188"/>
      <c r="N54" s="190">
        <f>ABS(L54/O54)</f>
        <v>3.3711453884914295</v>
      </c>
      <c r="O54" s="191">
        <f>P54/15.87/100</f>
        <v>8.1277378701953389E-3</v>
      </c>
      <c r="P54" s="192" cm="1">
        <f t="array" ref="P54">_xll.BDP($A54&amp;" Index","VOLATILITY_30D")</f>
        <v>12.898720000000001</v>
      </c>
      <c r="Q54" s="192" cm="1">
        <f t="array" aca="1" ref="Q54" ca="1">(_xll.BDP(($B54&amp; " Equity"),"CORR_COEF", "BETA_OVERRIDE_REL_INDEX",($C54&amp; " Equity"),"BETA_OVERRIDE_END_DT",$Q$5,"BETA_OVERRIDE_START_DT",$Q$4))*100</f>
        <v>77.290244542013227</v>
      </c>
      <c r="R54" s="188"/>
      <c r="S54" s="188" cm="1">
        <f t="array" ref="S54">_xll.BDP($A54&amp;" Index","CHG_PCT_2D")/100</f>
        <v>-2.5540240000000002E-2</v>
      </c>
      <c r="T54" s="188" cm="1">
        <f t="array" ref="T54">_xll.BDP($A54&amp;" Index","CHG_PCT_5D")/100</f>
        <v>-2.6507939999999997E-2</v>
      </c>
      <c r="U54" s="188" cm="1">
        <f t="array" ref="U54">K54/_xll.BDP($A54&amp;" Index","HIGH_52WEEK")-1</f>
        <v>-6.7874350119629612E-2</v>
      </c>
      <c r="V54" s="188" cm="1">
        <f t="array" ref="V54">K54/_xll.BDP($A54&amp;" Index","LOW_52WEEK")-1</f>
        <v>0.13277722453534802</v>
      </c>
      <c r="W54" s="188"/>
      <c r="X54" s="192" cm="1">
        <f t="array" ref="X54">_xll.BDP($A54&amp;" Index","RSI_14D")</f>
        <v>40.997369999999997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1.6735325002558339</v>
      </c>
      <c r="AI54" s="196" cm="1">
        <f t="array" ref="AI54">(_xll.BDP(C54&amp;" Equity","SHORT_INT")/_xll.BDP(C54&amp;" Equity","VOLUME_AVG_90D"))</f>
        <v>3.1155656114855974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1893</v>
      </c>
      <c r="AI2" t="s">
        <v>1894</v>
      </c>
    </row>
    <row r="3" spans="3:37">
      <c r="T3" s="40"/>
      <c r="U3" s="40"/>
      <c r="V3" t="s">
        <v>1890</v>
      </c>
      <c r="W3" t="s">
        <v>1891</v>
      </c>
      <c r="X3" t="s">
        <v>169</v>
      </c>
      <c r="Z3" t="s">
        <v>1890</v>
      </c>
      <c r="AA3" t="s">
        <v>1891</v>
      </c>
      <c r="AB3" t="s">
        <v>169</v>
      </c>
      <c r="AD3" t="s">
        <v>1892</v>
      </c>
      <c r="AE3" t="s">
        <v>1907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1895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0.34337347873010993</v>
      </c>
      <c r="G5" s="153" cm="1">
        <f t="array" ref="G5">_xll.BDP($C5&amp;" Equity","volatility_30d")/100</f>
        <v>0.36352763450081066</v>
      </c>
      <c r="J5" t="s">
        <v>1740</v>
      </c>
      <c r="K5" s="276">
        <v>70</v>
      </c>
      <c r="L5" cm="1">
        <f t="array" ref="L5">_xll.BDP(J5&amp;" Equity","LAST PRICE")</f>
        <v>105.92</v>
      </c>
      <c r="M5" s="279">
        <f>L5/K5-1</f>
        <v>0.51314285714285712</v>
      </c>
      <c r="S5" s="36" t="s">
        <v>1770</v>
      </c>
      <c r="T5" t="s">
        <v>1889</v>
      </c>
      <c r="U5" t="s">
        <v>1895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0.34337347873010993</v>
      </c>
      <c r="G6" s="153" cm="1">
        <f t="array" ref="G6">_xll.BDP($C6&amp;" Equity","volatility_30d")/100</f>
        <v>0.36352763450081066</v>
      </c>
      <c r="J6" t="s">
        <v>1740</v>
      </c>
      <c r="K6" s="276">
        <v>70</v>
      </c>
      <c r="L6" cm="1">
        <f t="array" ref="L6">_xll.BDP(J6&amp;" Equity","LAST PRICE")</f>
        <v>105.92</v>
      </c>
      <c r="M6" s="279">
        <f>L6/K6-1</f>
        <v>0.51314285714285712</v>
      </c>
      <c r="S6" s="36" t="s">
        <v>1770</v>
      </c>
      <c r="T6" t="s">
        <v>1905</v>
      </c>
      <c r="U6" t="s">
        <v>1902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0.21562216699263764</v>
      </c>
      <c r="G7" s="153" cm="1">
        <f t="array" ref="G7">_xll.BDP($C7&amp;" Equity","volatility_30d")/100</f>
        <v>0.22497433217017077</v>
      </c>
      <c r="J7" t="s">
        <v>1743</v>
      </c>
      <c r="K7" s="276">
        <v>28.5</v>
      </c>
      <c r="L7" cm="1">
        <f t="array" ref="L7">_xll.BDP(J7&amp;" Equity","LAST PRICE")</f>
        <v>20.239999999999998</v>
      </c>
      <c r="M7" s="279">
        <f t="shared" ref="M7:M13" si="6">L7/K7-1</f>
        <v>-0.28982456140350887</v>
      </c>
      <c r="S7" s="36" t="s">
        <v>1770</v>
      </c>
      <c r="T7" t="s">
        <v>81</v>
      </c>
      <c r="U7" t="s">
        <v>1881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0.29553001151192287</v>
      </c>
      <c r="G8" s="153" cm="1">
        <f t="array" ref="G8">_xll.BDP($C8&amp;" Equity","volatility_30d")/100</f>
        <v>0.39827237967655871</v>
      </c>
      <c r="J8" t="s">
        <v>400</v>
      </c>
      <c r="K8" s="276">
        <v>318.75</v>
      </c>
      <c r="L8" cm="1">
        <f t="array" ref="L8">_xll.BDP(J8&amp;" Equity","LAST PRICE")</f>
        <v>280.72000000000003</v>
      </c>
      <c r="M8" s="279">
        <f t="shared" si="6"/>
        <v>-0.11930980392156854</v>
      </c>
      <c r="S8" s="36" t="s">
        <v>1770</v>
      </c>
      <c r="T8" t="s">
        <v>83</v>
      </c>
      <c r="U8" t="s">
        <v>1881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0.17752453071230379</v>
      </c>
      <c r="G9" s="153" cm="1">
        <f t="array" ref="G9">_xll.BDP($C9&amp;" Equity","volatility_30d")/100</f>
        <v>0.21242951304309143</v>
      </c>
      <c r="J9" t="s">
        <v>134</v>
      </c>
      <c r="K9" s="276">
        <v>265.95999999999998</v>
      </c>
      <c r="L9" cm="1">
        <f t="array" ref="L9">_xll.BDP(J9&amp;" Equity","LAST PRICE")</f>
        <v>221.58</v>
      </c>
      <c r="M9" s="279">
        <f t="shared" si="6"/>
        <v>-0.16686719807489836</v>
      </c>
      <c r="S9" s="36" t="s">
        <v>1770</v>
      </c>
      <c r="T9" t="s">
        <v>399</v>
      </c>
      <c r="U9" t="s">
        <v>1881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0.19231670000000001</v>
      </c>
      <c r="G10" s="153" cm="1">
        <f t="array" ref="G10">_xll.BDP($C10&amp;" Equity","volatility_30d")/100</f>
        <v>0.24772230000000001</v>
      </c>
      <c r="J10" t="s">
        <v>1753</v>
      </c>
      <c r="K10" s="276">
        <v>251.52</v>
      </c>
      <c r="L10" cm="1">
        <f t="array" ref="L10">_xll.BDP(J10&amp;" Equity","LAST PRICE")</f>
        <v>183.41</v>
      </c>
      <c r="M10" s="279">
        <f t="shared" si="6"/>
        <v>-0.27079357506361323</v>
      </c>
      <c r="S10" s="36" t="s">
        <v>1770</v>
      </c>
      <c r="T10" t="s">
        <v>1906</v>
      </c>
      <c r="U10" t="s">
        <v>1896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0.19161623858062374</v>
      </c>
      <c r="G11" s="153" cm="1">
        <f t="array" ref="G11">_xll.BDP($C11&amp;" Equity","volatility_30d")/100</f>
        <v>0.16246480798773033</v>
      </c>
      <c r="J11" t="s">
        <v>353</v>
      </c>
      <c r="K11" s="276">
        <v>117.4</v>
      </c>
      <c r="L11" cm="1">
        <f t="array" ref="L11">_xll.BDP(J11&amp;" Equity","LAST PRICE")</f>
        <v>210.13</v>
      </c>
      <c r="M11" s="279">
        <f t="shared" si="6"/>
        <v>0.78986371379897768</v>
      </c>
      <c r="S11" s="36" t="s">
        <v>1770</v>
      </c>
      <c r="T11" t="s">
        <v>94</v>
      </c>
      <c r="U11" t="s">
        <v>1882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0.37593791110316532</v>
      </c>
      <c r="G12" s="153" cm="1">
        <f t="array" ref="G12">_xll.BDP($C12&amp;" Equity","volatility_30d")/100</f>
        <v>0.26841455809714454</v>
      </c>
      <c r="J12" t="s">
        <v>1742</v>
      </c>
      <c r="K12" s="276">
        <v>5420</v>
      </c>
      <c r="L12" cm="1">
        <f t="array" ref="L12">_xll.BDP(J12&amp;" Index","LAST PRICE")</f>
        <v>5752</v>
      </c>
      <c r="M12" s="279">
        <f t="shared" si="6"/>
        <v>6.125461254612552E-2</v>
      </c>
      <c r="S12" s="36" t="s">
        <v>1770</v>
      </c>
      <c r="T12" t="s">
        <v>137</v>
      </c>
      <c r="U12" t="s">
        <v>1896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0.42865143677480433</v>
      </c>
      <c r="G13" s="153" cm="1">
        <f t="array" ref="G13">_xll.BDP($C13&amp;" Equity","volatility_30d")/100</f>
        <v>0.30258906508212113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1882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0.17598375989781856</v>
      </c>
      <c r="G14" s="153" cm="1">
        <f t="array" ref="G14">_xll.BDP($C14&amp;" Equity","volatility_30d")/100</f>
        <v>0.15363949905861146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0.2125794987437902</v>
      </c>
      <c r="G15" s="153" cm="1">
        <f t="array" ref="G15">_xll.BDP($C15&amp;" Equity","volatility_30d")/100</f>
        <v>0.18850348326960542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0.3126350380727772</v>
      </c>
      <c r="G16" s="153" cm="1">
        <f t="array" ref="G16">_xll.BDP($C16&amp;" Equity","volatility_30d")/100</f>
        <v>0.22016211226701177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0.30497464942422287</v>
      </c>
      <c r="G17" s="153" cm="1">
        <f t="array" ref="G17">_xll.BDP($C17&amp;" Equity","volatility_30d")/100</f>
        <v>0.33054829696713112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0.32822419109789619</v>
      </c>
      <c r="G18" s="153" cm="1">
        <f t="array" ref="G18">_xll.BDP($C18&amp;" Equity","volatility_30d")/100</f>
        <v>0.31578582969832525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0.13274774623569821</v>
      </c>
      <c r="G19" s="153" cm="1">
        <f t="array" ref="G19">_xll.BDP($C19&amp;" Equity","volatility_30d")/100</f>
        <v>0.12427593343736949</v>
      </c>
      <c r="AP19" t="s">
        <v>1770</v>
      </c>
    </row>
    <row r="20" spans="3:42">
      <c r="C20" t="s">
        <v>1851</v>
      </c>
      <c r="D20" s="276">
        <v>1</v>
      </c>
      <c r="F20" s="153" cm="1">
        <f t="array" ref="F20">_xll.BDP($C20&amp;" Equity","volatility_10d")/100</f>
        <v>0.17136482887039281</v>
      </c>
      <c r="G20" s="153" cm="1">
        <f t="array" ref="G20">_xll.BDP($C20&amp;" Equity","volatility_30d")/100</f>
        <v>0.16888868700210707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0.13926264114592887</v>
      </c>
      <c r="G21" s="153" cm="1">
        <f t="array" ref="G21">_xll.BDP($C21&amp;" Equity","volatility_30d")/100</f>
        <v>0.11756628494722683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0.15272579333530267</v>
      </c>
      <c r="G22" s="153" cm="1">
        <f t="array" ref="G22">_xll.BDP($C22&amp;" Equity","volatility_30d")/100</f>
        <v>0.11172013746147759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0.18460717404055449</v>
      </c>
      <c r="G23" s="153" cm="1">
        <f t="array" ref="G23">_xll.BDP($C23&amp;" Equity","volatility_30d")/100</f>
        <v>0.15213440788388957</v>
      </c>
      <c r="K23" s="376" t="s">
        <v>1915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0.13728893104170473</v>
      </c>
      <c r="G24" s="153" cm="1">
        <f t="array" ref="G24">_xll.BDP($C24&amp;" Equity","volatility_30d")/100</f>
        <v>0.15099843768944746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0.15821823888814199</v>
      </c>
      <c r="G25" s="153" cm="1">
        <f t="array" ref="G25">_xll.BDP($C25&amp;" Equity","volatility_30d")/100</f>
        <v>0.23180670997270517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1.2145662307739258</v>
      </c>
      <c r="F26" s="153" cm="1">
        <f t="array" ref="F26">_xll.BDP($C26&amp;" Equity","volatility_10d")/100</f>
        <v>0.26695939271744729</v>
      </c>
      <c r="G26" s="153" cm="1">
        <f t="array" ref="G26">_xll.BDP($C26&amp;" Equity","volatility_30d")/100</f>
        <v>0.21182500442053037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1.0606956481933594</v>
      </c>
      <c r="F27" s="153" cm="1">
        <f t="array" ref="F27">_xll.BDP($C27&amp;" Equity","volatility_10d")/100</f>
        <v>0.22510459741134226</v>
      </c>
      <c r="G27" s="153" cm="1">
        <f t="array" ref="G27">_xll.BDP($C27&amp;" Equity","volatility_30d")/100</f>
        <v>0.15399244081001212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1.1984794139862061</v>
      </c>
      <c r="F28" s="153" cm="1">
        <f t="array" ref="F28">_xll.BDP($C28&amp;" Equity","volatility_10d")/100</f>
        <v>0.22908369631323799</v>
      </c>
      <c r="G28" s="153" cm="1">
        <f t="array" ref="G28">_xll.BDP($C28&amp;" Equity","volatility_30d")/100</f>
        <v>0.35418483910053106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0.84171849489212036</v>
      </c>
      <c r="F29" s="153" cm="1">
        <f t="array" ref="F29">_xll.BDP($C29&amp;" Equity","volatility_10d")/100</f>
        <v>9.6248654021362318E-2</v>
      </c>
      <c r="G29" s="153" cm="1">
        <f t="array" ref="G29">_xll.BDP($C29&amp;" Equity","volatility_30d")/100</f>
        <v>0.1890945774938606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1.0225951671600342</v>
      </c>
      <c r="F30" s="153" cm="1">
        <f t="array" ref="F30">_xll.BDP($C30&amp;" Equity","volatility_10d")/100</f>
        <v>0.16317144303213652</v>
      </c>
      <c r="G30" s="153" cm="1">
        <f t="array" ref="G30">_xll.BDP($C30&amp;" Equity","volatility_30d")/100</f>
        <v>0.17820344914796704</v>
      </c>
      <c r="K30" s="373" t="s">
        <v>1903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1.2045568227767944</v>
      </c>
      <c r="F31" s="153" cm="1">
        <f t="array" ref="F31">_xll.BDP($C31&amp;" Equity","volatility_10d")/100</f>
        <v>0.47354967601411035</v>
      </c>
      <c r="G31" s="153" cm="1">
        <f t="array" ref="G31">_xll.BDP($C31&amp;" Equity","volatility_30d")/100</f>
        <v>0.32572281234594608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0.85003966093063354</v>
      </c>
      <c r="F32" s="153" cm="1">
        <f t="array" ref="F32">_xll.BDP($C32&amp;" Equity","volatility_10d")/100</f>
        <v>0.19629294180924231</v>
      </c>
      <c r="G32" s="153" cm="1">
        <f t="array" ref="G32">_xll.BDP($C32&amp;" Equity","volatility_30d")/100</f>
        <v>0.22478879290477047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0.83411502838134766</v>
      </c>
      <c r="F33" s="153" cm="1">
        <f t="array" ref="F33">_xll.BDP($C33&amp;" Equity","volatility_10d")/100</f>
        <v>0.25049465053325942</v>
      </c>
      <c r="G33" s="153" cm="1">
        <f t="array" ref="G33">_xll.BDP($C33&amp;" Equity","volatility_30d")/100</f>
        <v>0.26075598663278421</v>
      </c>
      <c r="K33" s="373" t="s">
        <v>1916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0.62634414434432983</v>
      </c>
      <c r="F34" s="153" cm="1">
        <f t="array" ref="F34">_xll.BDP($C34&amp;" Equity","volatility_10d")/100</f>
        <v>0.10419120039596576</v>
      </c>
      <c r="G34" s="153" cm="1">
        <f t="array" ref="G34">_xll.BDP($C34&amp;" Equity","volatility_30d")/100</f>
        <v>0.13066467037102869</v>
      </c>
      <c r="K34" s="376" t="s">
        <v>1881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1.4717037677764893</v>
      </c>
      <c r="F35" s="153" cm="1">
        <f t="array" ref="F35">_xll.BDP($C35&amp;" Equity","volatility_10d")/100</f>
        <v>0.40389304979159624</v>
      </c>
      <c r="G35" s="153" cm="1">
        <f t="array" ref="G35">_xll.BDP($C35&amp;" Equity","volatility_30d")/100</f>
        <v>0.36608283597992702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1.8585629463195801</v>
      </c>
      <c r="F36" s="153" cm="1">
        <f t="array" ref="F36">_xll.BDP($C36&amp;" Equity","volatility_10d")/100</f>
        <v>0.38354922179868917</v>
      </c>
      <c r="G36" s="153" cm="1">
        <f t="array" ref="G36">_xll.BDP($C36&amp;" Equity","volatility_30d")/100</f>
        <v>0.32160742367948247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1.654245138168335</v>
      </c>
      <c r="F37" s="153" cm="1">
        <f t="array" ref="F37">_xll.BDP($C37&amp;" Equity","volatility_10d")/100</f>
        <v>0.76304110270034842</v>
      </c>
      <c r="G37" s="153" cm="1">
        <f t="array" ref="G37">_xll.BDP($C37&amp;" Equity","volatility_30d")/100</f>
        <v>0.73281895134285113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1.1732878684997559</v>
      </c>
      <c r="F38" s="153" cm="1">
        <f t="array" ref="F38">_xll.BDP($C38&amp;" Equity","volatility_10d")/100</f>
        <v>0.35874859738446152</v>
      </c>
      <c r="G38" s="153" cm="1">
        <f t="array" ref="G38">_xll.BDP($C38&amp;" Equity","volatility_30d")/100</f>
        <v>0.2575463921173991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1.0831750631332397</v>
      </c>
      <c r="F39" s="153" cm="1">
        <f t="array" ref="F39">_xll.BDP($C39&amp;" Equity","volatility_10d")/100</f>
        <v>0.25958024143805547</v>
      </c>
      <c r="G39" s="153" cm="1">
        <f t="array" ref="G39">_xll.BDP($C39&amp;" Equity","volatility_30d")/100</f>
        <v>0.20665947205806873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0.60224384069442749</v>
      </c>
      <c r="F40" s="153" cm="1">
        <f t="array" ref="F40">_xll.BDP($C40&amp;" Equity","volatility_10d")/100</f>
        <v>0.22469427817346962</v>
      </c>
      <c r="G40" s="153" cm="1">
        <f t="array" ref="G40">_xll.BDP($C40&amp;" Equity","volatility_30d")/100</f>
        <v>0.31104555136565337</v>
      </c>
      <c r="K40" s="373" t="s">
        <v>1919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0.5356372594833374</v>
      </c>
      <c r="F41" s="153" cm="1">
        <f t="array" ref="F41">_xll.BDP($C41&amp;" Equity","volatility_10d")/100</f>
        <v>0.23358517070653143</v>
      </c>
      <c r="G41" s="153" cm="1">
        <f t="array" ref="G41">_xll.BDP($C41&amp;" Equity","volatility_30d")/100</f>
        <v>0.21484106973901076</v>
      </c>
      <c r="K41" s="376" t="s">
        <v>1880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0.54939818382263184</v>
      </c>
      <c r="F42" s="153" cm="1">
        <f t="array" ref="F42">_xll.BDP($C42&amp;" Equity","volatility_10d")/100</f>
        <v>0.14157781258013208</v>
      </c>
      <c r="G42" s="153" cm="1">
        <f t="array" ref="G42">_xll.BDP($C42&amp;" Equity","volatility_30d")/100</f>
        <v>0.21731790002681392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0.74849462509155273</v>
      </c>
      <c r="F43" s="153" cm="1">
        <f t="array" ref="F43">_xll.BDP($C43&amp;" Equity","volatility_10d")/100</f>
        <v>0.21977677200407722</v>
      </c>
      <c r="G43" s="153" cm="1">
        <f t="array" ref="G43">_xll.BDP($C43&amp;" Equity","volatility_30d")/100</f>
        <v>0.23793087496996987</v>
      </c>
      <c r="K43" s="373" t="s">
        <v>1889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0.66748231649398804</v>
      </c>
      <c r="F44" s="153" cm="1">
        <f t="array" ref="F44">_xll.BDP($C44&amp;" Equity","volatility_10d")/100</f>
        <v>0.72123179881027033</v>
      </c>
      <c r="G44" s="153" cm="1">
        <f t="array" ref="G44">_xll.BDP($C44&amp;" Equity","volatility_30d")/100</f>
        <v>0.63588937852051663</v>
      </c>
      <c r="K44" s="376" t="s">
        <v>1882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0.56310278177261353</v>
      </c>
      <c r="F45" s="153" cm="1">
        <f t="array" ref="F45">_xll.BDP($C45&amp;" Equity","volatility_10d")/100</f>
        <v>0.68819846419334085</v>
      </c>
      <c r="G45" s="153" cm="1">
        <f t="array" ref="G45">_xll.BDP($C45&amp;" Equity","volatility_30d")/100</f>
        <v>0.58428187593998915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1852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1897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1918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6" priority="6" operator="lessThan">
      <formula>0</formula>
    </cfRule>
  </conditionalFormatting>
  <conditionalFormatting sqref="L23:O59">
    <cfRule type="cellIs" dxfId="1665" priority="5" operator="lessThan">
      <formula>0</formula>
    </cfRule>
  </conditionalFormatting>
  <conditionalFormatting sqref="R23:R59">
    <cfRule type="cellIs" dxfId="1664" priority="4" operator="lessThan">
      <formula>0</formula>
    </cfRule>
  </conditionalFormatting>
  <conditionalFormatting sqref="Q45:Q48">
    <cfRule type="cellIs" dxfId="1663" priority="3" operator="lessThan">
      <formula>0</formula>
    </cfRule>
  </conditionalFormatting>
  <conditionalFormatting sqref="Q42:Q43">
    <cfRule type="cellIs" dxfId="1662" priority="2" operator="lessThan">
      <formula>0</formula>
    </cfRule>
  </conditionalFormatting>
  <conditionalFormatting sqref="Q39">
    <cfRule type="cellIs" dxfId="1661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1985</v>
      </c>
      <c r="K3" s="6" t="s">
        <v>1986</v>
      </c>
      <c r="M3" s="6" t="s">
        <v>1987</v>
      </c>
    </row>
    <row r="4" spans="4:15">
      <c r="D4" s="6" t="s">
        <v>1974</v>
      </c>
      <c r="E4" s="390" t="s">
        <v>1975</v>
      </c>
      <c r="F4" s="6" t="s">
        <v>1979</v>
      </c>
      <c r="G4" s="6" t="s">
        <v>1980</v>
      </c>
      <c r="H4" s="6"/>
      <c r="I4" s="6" t="s">
        <v>1967</v>
      </c>
      <c r="J4" s="6" t="s">
        <v>1976</v>
      </c>
      <c r="K4" s="6" t="s">
        <v>1980</v>
      </c>
      <c r="L4" s="6"/>
      <c r="M4" s="6" t="s">
        <v>1977</v>
      </c>
    </row>
    <row r="5" spans="4:15">
      <c r="D5" t="s">
        <v>1973</v>
      </c>
      <c r="E5" s="80">
        <v>45960</v>
      </c>
      <c r="F5" s="267">
        <v>140</v>
      </c>
      <c r="G5" s="267" t="s">
        <v>1984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1983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1978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1981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1982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1968</v>
      </c>
      <c r="E6" s="388" t="s">
        <v>1970</v>
      </c>
      <c r="F6" s="57" t="s">
        <v>1969</v>
      </c>
      <c r="G6" s="388" t="s">
        <v>1970</v>
      </c>
      <c r="H6" s="388" t="s">
        <v>1971</v>
      </c>
      <c r="J6" s="57"/>
      <c r="K6" s="57"/>
      <c r="L6" s="57" t="s">
        <v>1968</v>
      </c>
      <c r="M6" s="388" t="s">
        <v>1970</v>
      </c>
      <c r="N6" s="57" t="s">
        <v>1969</v>
      </c>
      <c r="O6" s="388" t="s">
        <v>1970</v>
      </c>
      <c r="P6" s="57" t="s">
        <v>1972</v>
      </c>
      <c r="Q6" s="388" t="s">
        <v>1970</v>
      </c>
      <c r="R6" s="388" t="s">
        <v>1971</v>
      </c>
      <c r="T6" s="57"/>
      <c r="U6" s="57"/>
      <c r="V6" s="57" t="s">
        <v>1968</v>
      </c>
      <c r="W6" s="388" t="s">
        <v>1970</v>
      </c>
      <c r="X6" s="57" t="s">
        <v>1969</v>
      </c>
      <c r="Y6" s="388" t="s">
        <v>1970</v>
      </c>
      <c r="Z6" s="57" t="s">
        <v>1972</v>
      </c>
      <c r="AA6" s="388" t="s">
        <v>1970</v>
      </c>
      <c r="AB6" s="388" t="s">
        <v>1971</v>
      </c>
    </row>
    <row r="7" spans="2:28">
      <c r="B7" t="s">
        <v>1966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1966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1966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1963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1963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1963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1964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1964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1964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1965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1965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1965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G24" sqref="G24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1.1503361287528027</v>
      </c>
      <c r="F4" s="284">
        <f>'Master P&amp;L'!U5</f>
        <v>2.0187738453693958E-2</v>
      </c>
    </row>
    <row r="5" spans="1:28">
      <c r="A5" s="297" t="s">
        <v>65</v>
      </c>
      <c r="C5" s="298">
        <f>'Master P&amp;L'!V6</f>
        <v>-0.16693314076377436</v>
      </c>
      <c r="F5" s="284">
        <f>'Master P&amp;L'!U6</f>
        <v>-1.9726442985252795E-3</v>
      </c>
    </row>
    <row r="6" spans="1:28" s="304" customFormat="1">
      <c r="A6" s="299" t="s">
        <v>66</v>
      </c>
      <c r="B6" s="300"/>
      <c r="C6" s="301">
        <f>'Master P&amp;L'!V7</f>
        <v>0.98340298798902825</v>
      </c>
      <c r="D6" s="302"/>
      <c r="E6" s="302"/>
      <c r="F6" s="302">
        <f>'Master P&amp;L'!U7</f>
        <v>1.8215094155168678E-2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2.2160382752219238E-2</v>
      </c>
    </row>
    <row r="8" spans="1:28">
      <c r="A8" s="306" t="s">
        <v>68</v>
      </c>
      <c r="B8" s="307"/>
      <c r="C8" s="308">
        <f>'Master P&amp;L'!V7*'Master P&amp;L'!AD5/10000</f>
        <v>220875.75969993402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1174308.0640206693</v>
      </c>
      <c r="D9" s="312"/>
      <c r="E9" s="312"/>
      <c r="F9" s="312"/>
      <c r="G9" s="313"/>
      <c r="H9" s="312"/>
    </row>
    <row r="10" spans="1:28">
      <c r="A10" s="438" t="s">
        <v>2140</v>
      </c>
      <c r="B10" s="442">
        <f>Options!AI1</f>
        <v>-15.891355915912214</v>
      </c>
      <c r="H10" s="286"/>
    </row>
    <row r="11" spans="1:28">
      <c r="A11" s="314">
        <f ca="1">TODAY()</f>
        <v>46043</v>
      </c>
      <c r="H11" s="286"/>
      <c r="L11" s="284"/>
    </row>
    <row r="12" spans="1:28" s="365" customFormat="1" ht="47.25">
      <c r="A12" s="568" t="s">
        <v>72</v>
      </c>
      <c r="B12" s="561" t="s">
        <v>73</v>
      </c>
      <c r="C12" s="567" t="s">
        <v>74</v>
      </c>
      <c r="D12" s="567" t="s">
        <v>75</v>
      </c>
      <c r="E12" s="567" t="s">
        <v>76</v>
      </c>
      <c r="F12" s="567" t="s">
        <v>77</v>
      </c>
      <c r="G12" s="364"/>
      <c r="I12" s="366"/>
      <c r="L12" s="315"/>
      <c r="AA12" s="367"/>
      <c r="AB12" s="367"/>
    </row>
    <row r="13" spans="1:28">
      <c r="A13" s="562" t="s">
        <v>1915</v>
      </c>
      <c r="B13" s="563">
        <v>4.2152340873949035E-2</v>
      </c>
      <c r="C13" s="566">
        <v>0.28086152078267018</v>
      </c>
      <c r="D13" s="564">
        <v>4.7518933997419625E-4</v>
      </c>
      <c r="E13" s="564">
        <v>7.6775805245235073E-4</v>
      </c>
      <c r="F13" s="564">
        <v>1.2429473924265469E-3</v>
      </c>
      <c r="G13" s="316"/>
      <c r="H13" s="286"/>
      <c r="L13" s="316"/>
    </row>
    <row r="14" spans="1:28">
      <c r="A14" s="565" t="s">
        <v>38</v>
      </c>
      <c r="B14" s="563">
        <v>7.4671445639187262E-3</v>
      </c>
      <c r="C14" s="566">
        <v>1.5821159644733837E-2</v>
      </c>
      <c r="D14" s="564">
        <v>0</v>
      </c>
      <c r="E14" s="564">
        <v>7.6775805245235073E-4</v>
      </c>
      <c r="F14" s="564">
        <v>7.6775805245235073E-4</v>
      </c>
      <c r="G14" s="316"/>
      <c r="H14" s="286"/>
      <c r="I14" s="285"/>
      <c r="L14" s="316"/>
    </row>
    <row r="15" spans="1:28">
      <c r="A15" s="565" t="s">
        <v>2166</v>
      </c>
      <c r="B15" s="563">
        <v>8.0255965871217194E-2</v>
      </c>
      <c r="C15" s="566">
        <v>0.17636688528210501</v>
      </c>
      <c r="D15" s="564">
        <v>2.3739217133569732E-4</v>
      </c>
      <c r="E15" s="564">
        <v>0</v>
      </c>
      <c r="F15" s="564">
        <v>2.3739217133569732E-4</v>
      </c>
      <c r="G15" s="316"/>
      <c r="H15" s="286"/>
      <c r="I15" s="285"/>
      <c r="L15" s="316"/>
    </row>
    <row r="16" spans="1:28">
      <c r="A16" s="565" t="s">
        <v>461</v>
      </c>
      <c r="B16" s="563">
        <v>3.8733912186711184E-2</v>
      </c>
      <c r="C16" s="566">
        <v>8.8673475855831338E-2</v>
      </c>
      <c r="D16" s="564">
        <v>2.3779716863849893E-4</v>
      </c>
      <c r="E16" s="564">
        <v>0</v>
      </c>
      <c r="F16" s="564">
        <v>2.3779716863849893E-4</v>
      </c>
      <c r="G16" s="316"/>
      <c r="H16" s="286"/>
      <c r="I16" s="285"/>
      <c r="L16" s="316"/>
    </row>
    <row r="17" spans="1:12">
      <c r="A17" s="562" t="s">
        <v>78</v>
      </c>
      <c r="B17" s="563">
        <v>1.3191798402260257E-2</v>
      </c>
      <c r="C17" s="566">
        <v>-0.1333464595350215</v>
      </c>
      <c r="D17" s="564">
        <v>0</v>
      </c>
      <c r="E17" s="564">
        <v>-7.1385375532140749E-4</v>
      </c>
      <c r="F17" s="564">
        <v>-7.1385375532140749E-4</v>
      </c>
      <c r="G17" s="316"/>
      <c r="H17" s="286"/>
      <c r="I17" s="285"/>
      <c r="L17" s="316"/>
    </row>
    <row r="18" spans="1:12">
      <c r="A18" s="565" t="s">
        <v>2324</v>
      </c>
      <c r="B18" s="563">
        <v>1.3191798402260257E-2</v>
      </c>
      <c r="C18" s="566">
        <v>-0.1333464595350215</v>
      </c>
      <c r="D18" s="564">
        <v>0</v>
      </c>
      <c r="E18" s="564">
        <v>-7.1385375532140749E-4</v>
      </c>
      <c r="F18" s="564">
        <v>-7.1385375532140749E-4</v>
      </c>
      <c r="G18" s="316"/>
      <c r="H18" s="286"/>
      <c r="I18" s="285"/>
      <c r="L18" s="316"/>
    </row>
    <row r="19" spans="1:12">
      <c r="A19" s="562" t="s">
        <v>2159</v>
      </c>
      <c r="B19" s="563">
        <v>-2.7033186433335818E-3</v>
      </c>
      <c r="C19" s="566">
        <v>-0.26167656815738882</v>
      </c>
      <c r="D19" s="564">
        <v>8.3629163586177195E-4</v>
      </c>
      <c r="E19" s="564">
        <v>4.5443977526042037E-4</v>
      </c>
      <c r="F19" s="564">
        <v>1.2907314111221923E-3</v>
      </c>
      <c r="G19" s="316"/>
      <c r="H19" s="286"/>
      <c r="I19" s="285"/>
      <c r="L19" s="316"/>
    </row>
    <row r="20" spans="1:12">
      <c r="A20" s="565" t="s">
        <v>131</v>
      </c>
      <c r="B20" s="563">
        <v>-6.8078205742164166E-3</v>
      </c>
      <c r="C20" s="566">
        <v>-0.27319497790690889</v>
      </c>
      <c r="D20" s="564">
        <v>6.2593041780586631E-4</v>
      </c>
      <c r="E20" s="564">
        <v>4.5443977526042037E-4</v>
      </c>
      <c r="F20" s="564">
        <v>1.0803701930662867E-3</v>
      </c>
      <c r="G20" s="316"/>
      <c r="H20" s="286"/>
      <c r="L20" s="316"/>
    </row>
    <row r="21" spans="1:12">
      <c r="A21" s="565" t="s">
        <v>484</v>
      </c>
      <c r="B21" s="563">
        <v>5.5056852184320881E-3</v>
      </c>
      <c r="C21" s="566">
        <v>1.1518409749520083E-2</v>
      </c>
      <c r="D21" s="564">
        <v>2.1036121805590558E-4</v>
      </c>
      <c r="E21" s="564"/>
      <c r="F21" s="564">
        <v>2.1036121805590558E-4</v>
      </c>
      <c r="G21" s="316"/>
      <c r="H21" s="286"/>
      <c r="I21" s="285"/>
      <c r="L21" s="316"/>
    </row>
    <row r="22" spans="1:12">
      <c r="A22" s="562" t="s">
        <v>1882</v>
      </c>
      <c r="B22" s="563">
        <v>2.9520842476890574E-4</v>
      </c>
      <c r="C22" s="566">
        <v>-0.2127522479464139</v>
      </c>
      <c r="D22" s="564">
        <v>4.1201501830693057E-3</v>
      </c>
      <c r="E22" s="564">
        <v>3.7548291138051124E-3</v>
      </c>
      <c r="F22" s="564">
        <v>7.8749792968744198E-3</v>
      </c>
      <c r="G22" s="316"/>
      <c r="H22" s="286"/>
      <c r="I22" s="285"/>
      <c r="L22" s="316"/>
    </row>
    <row r="23" spans="1:12">
      <c r="A23" s="565" t="s">
        <v>94</v>
      </c>
      <c r="B23" s="563">
        <v>3.0156679957320076E-2</v>
      </c>
      <c r="C23" s="566">
        <v>0.56905551526528098</v>
      </c>
      <c r="D23" s="564">
        <v>1.9439021176957734E-3</v>
      </c>
      <c r="E23" s="564">
        <v>0</v>
      </c>
      <c r="F23" s="564">
        <v>1.9439021176957734E-3</v>
      </c>
      <c r="G23" s="316"/>
      <c r="H23" s="286"/>
      <c r="I23" s="285"/>
      <c r="L23" s="316"/>
    </row>
    <row r="24" spans="1:12">
      <c r="A24" s="565" t="s">
        <v>96</v>
      </c>
      <c r="B24" s="563">
        <v>-9.7228211993454963E-3</v>
      </c>
      <c r="C24" s="566">
        <v>-0.44716469849332158</v>
      </c>
      <c r="D24" s="564">
        <v>1.2922445471270241E-3</v>
      </c>
      <c r="E24" s="564">
        <v>3.659074370935188E-3</v>
      </c>
      <c r="F24" s="564">
        <v>4.9513189180622119E-3</v>
      </c>
      <c r="G24" s="316"/>
      <c r="H24" s="291"/>
      <c r="I24" s="285"/>
      <c r="L24" s="316"/>
    </row>
    <row r="25" spans="1:12">
      <c r="A25" s="565" t="s">
        <v>137</v>
      </c>
      <c r="B25" s="563">
        <v>-7.47744159717878E-3</v>
      </c>
      <c r="C25" s="566">
        <v>-0.27164249659284462</v>
      </c>
      <c r="D25" s="564">
        <v>9.5799365087392732E-4</v>
      </c>
      <c r="E25" s="564">
        <v>2.3758694677792188E-4</v>
      </c>
      <c r="F25" s="564">
        <v>1.1955805976518491E-3</v>
      </c>
      <c r="G25" s="316"/>
      <c r="H25" s="291"/>
      <c r="I25" s="285"/>
      <c r="L25" s="316"/>
    </row>
    <row r="26" spans="1:12">
      <c r="A26" s="565" t="s">
        <v>138</v>
      </c>
      <c r="B26" s="563">
        <v>8.1641671166126084E-3</v>
      </c>
      <c r="C26" s="566">
        <v>-6.3000568125528733E-2</v>
      </c>
      <c r="D26" s="564">
        <v>-7.3990132627418638E-5</v>
      </c>
      <c r="E26" s="564">
        <v>-1.4183220390799728E-4</v>
      </c>
      <c r="F26" s="564">
        <v>-2.1582233653541592E-4</v>
      </c>
      <c r="G26" s="316"/>
      <c r="H26" s="286"/>
      <c r="I26" s="285"/>
      <c r="L26" s="316"/>
    </row>
    <row r="27" spans="1:12">
      <c r="A27" s="562" t="s">
        <v>2158</v>
      </c>
      <c r="B27" s="563">
        <v>3.270933525920286E-2</v>
      </c>
      <c r="C27" s="566">
        <v>0.85834815801904596</v>
      </c>
      <c r="D27" s="564">
        <v>2.5316102964588502E-3</v>
      </c>
      <c r="E27" s="564">
        <v>1.1900354431090441E-4</v>
      </c>
      <c r="F27" s="564">
        <v>2.6506138407697546E-3</v>
      </c>
      <c r="G27" s="316"/>
      <c r="H27" s="291"/>
      <c r="I27" s="285"/>
      <c r="L27" s="316"/>
    </row>
    <row r="28" spans="1:12">
      <c r="A28" s="565" t="s">
        <v>1754</v>
      </c>
      <c r="B28" s="563">
        <v>4.1587816526989174E-2</v>
      </c>
      <c r="C28" s="566">
        <v>0.80891788469182502</v>
      </c>
      <c r="D28" s="564">
        <v>2.025975594845172E-3</v>
      </c>
      <c r="E28" s="564">
        <v>0</v>
      </c>
      <c r="F28" s="564">
        <v>2.025975594845172E-3</v>
      </c>
      <c r="G28" s="316"/>
      <c r="H28" s="286"/>
      <c r="I28" s="285"/>
      <c r="L28" s="316"/>
    </row>
    <row r="29" spans="1:12">
      <c r="A29" s="565" t="s">
        <v>2341</v>
      </c>
      <c r="B29" s="563">
        <v>-8.02685321119051E-3</v>
      </c>
      <c r="C29" s="566">
        <v>-3.5872732209078516E-2</v>
      </c>
      <c r="D29" s="564">
        <v>5.056347016136781E-4</v>
      </c>
      <c r="E29" s="564">
        <v>0</v>
      </c>
      <c r="F29" s="564">
        <v>5.056347016136781E-4</v>
      </c>
      <c r="G29" s="316"/>
      <c r="H29" s="286"/>
      <c r="I29" s="285"/>
      <c r="L29" s="316"/>
    </row>
    <row r="30" spans="1:12">
      <c r="A30" s="565" t="s">
        <v>2348</v>
      </c>
      <c r="B30" s="563">
        <v>0.10530323093220328</v>
      </c>
      <c r="C30" s="566">
        <v>8.530300553629945E-2</v>
      </c>
      <c r="D30" s="564">
        <v>0</v>
      </c>
      <c r="E30" s="564">
        <v>1.1900354431090441E-4</v>
      </c>
      <c r="F30" s="564">
        <v>1.1900354431090441E-4</v>
      </c>
      <c r="G30" s="316"/>
      <c r="H30" s="286"/>
      <c r="I30" s="285"/>
      <c r="L30" s="316"/>
    </row>
    <row r="31" spans="1:12">
      <c r="A31" s="562" t="s">
        <v>2073</v>
      </c>
      <c r="B31" s="563">
        <v>1.0816720739269758E-2</v>
      </c>
      <c r="C31" s="566">
        <v>6.4382067828204131E-2</v>
      </c>
      <c r="D31" s="564">
        <v>0</v>
      </c>
      <c r="E31" s="564">
        <v>6.1671756107102842E-4</v>
      </c>
      <c r="F31" s="564">
        <v>6.1671756107102853E-4</v>
      </c>
      <c r="G31" s="316"/>
      <c r="H31" s="286"/>
      <c r="I31" s="285"/>
      <c r="L31" s="316"/>
    </row>
    <row r="32" spans="1:12">
      <c r="A32" s="565" t="s">
        <v>2072</v>
      </c>
      <c r="B32" s="563">
        <v>1.0816720739269758E-2</v>
      </c>
      <c r="C32" s="566">
        <v>6.4382067828204131E-2</v>
      </c>
      <c r="D32" s="564">
        <v>0</v>
      </c>
      <c r="E32" s="564">
        <v>6.1671756107102842E-4</v>
      </c>
      <c r="F32" s="564">
        <v>6.1671756107102853E-4</v>
      </c>
      <c r="G32" s="316"/>
      <c r="H32" s="286"/>
      <c r="L32" s="316"/>
    </row>
    <row r="33" spans="1:28">
      <c r="A33" s="562" t="s">
        <v>2151</v>
      </c>
      <c r="B33" s="563">
        <v>-2.4882801101765939E-2</v>
      </c>
      <c r="C33" s="566">
        <v>-8.1385828087352355E-2</v>
      </c>
      <c r="D33" s="564">
        <v>1.7308655069220037E-4</v>
      </c>
      <c r="E33" s="564">
        <v>0</v>
      </c>
      <c r="F33" s="564">
        <v>1.7308655069220037E-4</v>
      </c>
      <c r="G33" s="316"/>
      <c r="H33" s="286"/>
      <c r="I33" s="285"/>
      <c r="L33" s="316"/>
    </row>
    <row r="34" spans="1:28">
      <c r="A34" s="565" t="s">
        <v>2150</v>
      </c>
      <c r="B34" s="563">
        <v>-2.4882801101765939E-2</v>
      </c>
      <c r="C34" s="566">
        <v>-8.1385828087352355E-2</v>
      </c>
      <c r="D34" s="564">
        <v>1.7308655069220037E-4</v>
      </c>
      <c r="E34" s="564">
        <v>0</v>
      </c>
      <c r="F34" s="564">
        <v>1.7308655069220037E-4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62" t="s">
        <v>2297</v>
      </c>
      <c r="B35" s="563">
        <v>-1.8910529643637966E-4</v>
      </c>
      <c r="C35" s="566">
        <v>8.845274806900208E-2</v>
      </c>
      <c r="D35" s="564">
        <v>5.2603139987107382E-3</v>
      </c>
      <c r="E35" s="564">
        <v>1.3314084522662957E-3</v>
      </c>
      <c r="F35" s="564">
        <v>6.591722450977033E-3</v>
      </c>
      <c r="G35" s="316"/>
      <c r="H35" s="286"/>
      <c r="I35" s="285"/>
      <c r="L35" s="316"/>
    </row>
    <row r="36" spans="1:28">
      <c r="A36" s="565" t="s">
        <v>81</v>
      </c>
      <c r="B36" s="563">
        <v>1.3590015228762464E-2</v>
      </c>
      <c r="C36" s="566">
        <v>0.26196035506426302</v>
      </c>
      <c r="D36" s="564">
        <v>1.5332756178094591E-3</v>
      </c>
      <c r="E36" s="564">
        <v>4.8694294783123459E-4</v>
      </c>
      <c r="F36" s="564">
        <v>2.0202185656406934E-3</v>
      </c>
      <c r="G36" s="316"/>
      <c r="H36" s="286"/>
      <c r="I36" s="285"/>
      <c r="L36" s="316"/>
    </row>
    <row r="37" spans="1:28">
      <c r="A37" s="565" t="s">
        <v>90</v>
      </c>
      <c r="B37" s="563">
        <v>-1.9678525095659372E-2</v>
      </c>
      <c r="C37" s="566">
        <v>-0.42048338737613944</v>
      </c>
      <c r="D37" s="564">
        <v>5.9592042816453074E-4</v>
      </c>
      <c r="E37" s="564">
        <v>8.4446550443506097E-4</v>
      </c>
      <c r="F37" s="564">
        <v>1.4403859325995917E-3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65" t="s">
        <v>399</v>
      </c>
      <c r="B38" s="563">
        <v>1.1688311688311526E-3</v>
      </c>
      <c r="C38" s="566">
        <v>1.2884968906216132E-2</v>
      </c>
      <c r="D38" s="564">
        <v>1.1036691699779599E-3</v>
      </c>
      <c r="E38" s="564">
        <v>0</v>
      </c>
      <c r="F38" s="564">
        <v>1.1036691699779599E-3</v>
      </c>
      <c r="G38" s="316"/>
      <c r="H38" s="286"/>
      <c r="I38" s="285"/>
      <c r="L38" s="316"/>
      <c r="AA38" s="319"/>
      <c r="AB38" s="319"/>
    </row>
    <row r="39" spans="1:28">
      <c r="A39" s="565" t="s">
        <v>2175</v>
      </c>
      <c r="B39" s="563">
        <v>1.1731786007553424E-2</v>
      </c>
      <c r="C39" s="566">
        <v>0.23409081147466237</v>
      </c>
      <c r="D39" s="564">
        <v>2.0274487827587882E-3</v>
      </c>
      <c r="E39" s="564">
        <v>0</v>
      </c>
      <c r="F39" s="564">
        <v>2.0274487827587882E-3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62" t="s">
        <v>2303</v>
      </c>
      <c r="B40" s="563">
        <v>-1.4692057412697329E-2</v>
      </c>
      <c r="C40" s="566">
        <v>8.7242563844664014E-2</v>
      </c>
      <c r="D40" s="564">
        <v>-1.8939124363963697E-5</v>
      </c>
      <c r="E40" s="564">
        <v>0</v>
      </c>
      <c r="F40" s="564">
        <v>-1.8939124363963697E-5</v>
      </c>
      <c r="G40" s="286"/>
      <c r="H40" s="286"/>
      <c r="L40" s="316"/>
    </row>
    <row r="41" spans="1:28">
      <c r="A41" s="565" t="s">
        <v>88</v>
      </c>
      <c r="B41" s="563">
        <v>-6.3105688644549129E-4</v>
      </c>
      <c r="C41" s="566">
        <v>3.3302184854611783E-2</v>
      </c>
      <c r="D41" s="564">
        <v>1.0200443883954917E-3</v>
      </c>
      <c r="E41" s="564">
        <v>0</v>
      </c>
      <c r="F41" s="564">
        <v>1.0200443883954917E-3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65" t="s">
        <v>4</v>
      </c>
      <c r="B42" s="563">
        <v>3.6425449247201591E-4</v>
      </c>
      <c r="C42" s="566">
        <v>-3.4430029142587921E-3</v>
      </c>
      <c r="D42" s="564">
        <v>-9.4556336701923701E-4</v>
      </c>
      <c r="E42" s="564">
        <v>0</v>
      </c>
      <c r="F42" s="564">
        <v>-9.4556336701923701E-4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65" t="s">
        <v>2330</v>
      </c>
      <c r="B43" s="563">
        <v>-5.787037037037035E-2</v>
      </c>
      <c r="C43" s="566">
        <v>5.7383381904311019E-2</v>
      </c>
      <c r="D43" s="564">
        <v>-9.3420145740218352E-5</v>
      </c>
      <c r="E43" s="564">
        <v>0</v>
      </c>
      <c r="F43" s="564">
        <v>-9.3420145740218352E-5</v>
      </c>
      <c r="G43" s="286"/>
      <c r="H43" s="286"/>
      <c r="I43" s="285"/>
      <c r="L43" s="316"/>
    </row>
    <row r="44" spans="1:28">
      <c r="A44" s="562" t="s">
        <v>97</v>
      </c>
      <c r="B44" s="563">
        <v>5.3546318598384646E-3</v>
      </c>
      <c r="C44" s="566">
        <v>0.69012595481740968</v>
      </c>
      <c r="D44" s="564">
        <v>1.3377702880403099E-2</v>
      </c>
      <c r="E44" s="564">
        <v>6.3303027438447058E-3</v>
      </c>
      <c r="F44" s="564">
        <v>1.9708005624247807E-2</v>
      </c>
      <c r="G44" s="286"/>
      <c r="H44" s="286"/>
      <c r="I44" s="285"/>
      <c r="L44" s="316"/>
      <c r="S44" s="317"/>
      <c r="T44" s="317"/>
      <c r="U44" s="317"/>
    </row>
    <row r="45" spans="1:28">
      <c r="A45"/>
      <c r="B45"/>
      <c r="C45"/>
      <c r="D45"/>
      <c r="E45"/>
      <c r="F45"/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60" priority="10085" operator="lessThan">
      <formula>0</formula>
    </cfRule>
  </conditionalFormatting>
  <conditionalFormatting sqref="H86:H1048576 F1:H9 F12:G12 G10:G11">
    <cfRule type="cellIs" dxfId="1659" priority="10082" operator="lessThan">
      <formula>0</formula>
    </cfRule>
    <cfRule type="cellIs" dxfId="1658" priority="10083" operator="lessThan">
      <formula>0</formula>
    </cfRule>
  </conditionalFormatting>
  <conditionalFormatting sqref="F136:G1048576 G86:G135">
    <cfRule type="cellIs" dxfId="1657" priority="5718" operator="lessThan">
      <formula>0</formula>
    </cfRule>
  </conditionalFormatting>
  <conditionalFormatting sqref="F136:G1048576 G86:G135">
    <cfRule type="cellIs" dxfId="1656" priority="5717" operator="lessThan">
      <formula>0</formula>
    </cfRule>
  </conditionalFormatting>
  <conditionalFormatting sqref="F136:G1048576 G86:G135">
    <cfRule type="cellIs" dxfId="1655" priority="5715" operator="lessThan">
      <formula>0</formula>
    </cfRule>
    <cfRule type="cellIs" dxfId="1654" priority="5716" operator="lessThan">
      <formula>0</formula>
    </cfRule>
  </conditionalFormatting>
  <conditionalFormatting sqref="F136:G1048576 G86:G135">
    <cfRule type="cellIs" dxfId="1653" priority="5714" operator="lessThan">
      <formula>0</formula>
    </cfRule>
  </conditionalFormatting>
  <conditionalFormatting sqref="F136:G1048576 G86:G135">
    <cfRule type="cellIs" dxfId="1652" priority="5713" operator="lessThan">
      <formula>0</formula>
    </cfRule>
  </conditionalFormatting>
  <conditionalFormatting sqref="F136:G1048576 G86:G135">
    <cfRule type="cellIs" dxfId="1651" priority="5712" operator="lessThan">
      <formula>0</formula>
    </cfRule>
  </conditionalFormatting>
  <conditionalFormatting sqref="F136:G1048576 G86:G135">
    <cfRule type="cellIs" dxfId="1650" priority="5711" operator="lessThan">
      <formula>0</formula>
    </cfRule>
  </conditionalFormatting>
  <conditionalFormatting sqref="F136:G1048576 G86:G135">
    <cfRule type="cellIs" dxfId="1649" priority="5710" operator="lessThan">
      <formula>0</formula>
    </cfRule>
  </conditionalFormatting>
  <conditionalFormatting sqref="F136:G1048576 G86:G135">
    <cfRule type="cellIs" dxfId="1648" priority="5709" operator="lessThan">
      <formula>0</formula>
    </cfRule>
  </conditionalFormatting>
  <conditionalFormatting sqref="F136:G1048576 G86:G135">
    <cfRule type="cellIs" dxfId="1647" priority="5708" operator="lessThan">
      <formula>0</formula>
    </cfRule>
  </conditionalFormatting>
  <conditionalFormatting sqref="F136:G1048576 G86:G135">
    <cfRule type="cellIs" dxfId="1646" priority="5707" operator="lessThan">
      <formula>0</formula>
    </cfRule>
  </conditionalFormatting>
  <conditionalFormatting sqref="F136:G1048576 G86:G135">
    <cfRule type="cellIs" dxfId="1645" priority="5706" operator="lessThan">
      <formula>0</formula>
    </cfRule>
  </conditionalFormatting>
  <conditionalFormatting sqref="F136:G1048576 G86:G135">
    <cfRule type="cellIs" dxfId="1644" priority="5705" operator="lessThan">
      <formula>0</formula>
    </cfRule>
  </conditionalFormatting>
  <conditionalFormatting sqref="F136:G1048576 G86:G135">
    <cfRule type="cellIs" dxfId="1643" priority="5704" operator="lessThan">
      <formula>0</formula>
    </cfRule>
  </conditionalFormatting>
  <conditionalFormatting sqref="F136:G1048576 G86:G135">
    <cfRule type="cellIs" dxfId="1642" priority="5703" operator="lessThan">
      <formula>0</formula>
    </cfRule>
  </conditionalFormatting>
  <conditionalFormatting sqref="F136:G1048576 G86:G135">
    <cfRule type="cellIs" dxfId="1641" priority="5702" operator="lessThan">
      <formula>0</formula>
    </cfRule>
  </conditionalFormatting>
  <conditionalFormatting sqref="F136:G1048576 G86:G135">
    <cfRule type="cellIs" dxfId="1640" priority="5701" operator="lessThan">
      <formula>0</formula>
    </cfRule>
  </conditionalFormatting>
  <conditionalFormatting sqref="F136:G1048576 G86:G135">
    <cfRule type="cellIs" dxfId="1639" priority="5700" operator="lessThan">
      <formula>0</formula>
    </cfRule>
  </conditionalFormatting>
  <conditionalFormatting sqref="F136:G1048576 G86:G135">
    <cfRule type="cellIs" dxfId="1638" priority="5699" operator="lessThan">
      <formula>0</formula>
    </cfRule>
  </conditionalFormatting>
  <conditionalFormatting sqref="F136:G1048576 G86:G135">
    <cfRule type="cellIs" dxfId="1637" priority="5698" operator="lessThan">
      <formula>0</formula>
    </cfRule>
  </conditionalFormatting>
  <conditionalFormatting sqref="F136:G1048576 G86:G135">
    <cfRule type="cellIs" dxfId="1636" priority="5697" operator="lessThan">
      <formula>0</formula>
    </cfRule>
  </conditionalFormatting>
  <conditionalFormatting sqref="F136:G1048576 G86:G135">
    <cfRule type="cellIs" dxfId="1635" priority="5696" operator="lessThan">
      <formula>0</formula>
    </cfRule>
  </conditionalFormatting>
  <conditionalFormatting sqref="F136:G1048576 G86:G135">
    <cfRule type="cellIs" dxfId="1634" priority="5695" operator="lessThan">
      <formula>0</formula>
    </cfRule>
  </conditionalFormatting>
  <conditionalFormatting sqref="F136:G1048576 G86:G135">
    <cfRule type="cellIs" dxfId="1633" priority="5694" operator="lessThan">
      <formula>0</formula>
    </cfRule>
  </conditionalFormatting>
  <conditionalFormatting sqref="F136:G1048576 G86:G135">
    <cfRule type="cellIs" dxfId="1632" priority="5693" operator="lessThan">
      <formula>0</formula>
    </cfRule>
  </conditionalFormatting>
  <conditionalFormatting sqref="F136:G1048576 G86:G135">
    <cfRule type="cellIs" dxfId="1631" priority="5692" operator="lessThan">
      <formula>0</formula>
    </cfRule>
  </conditionalFormatting>
  <conditionalFormatting sqref="F136:G1048576 G86:G135">
    <cfRule type="cellIs" dxfId="1630" priority="5691" operator="lessThan">
      <formula>0</formula>
    </cfRule>
  </conditionalFormatting>
  <conditionalFormatting sqref="F136:G1048576 G86:G135">
    <cfRule type="cellIs" dxfId="1629" priority="5690" operator="lessThan">
      <formula>0</formula>
    </cfRule>
  </conditionalFormatting>
  <conditionalFormatting sqref="F136:G1048576 G86:G135">
    <cfRule type="cellIs" dxfId="1628" priority="5689" operator="lessThan">
      <formula>0</formula>
    </cfRule>
  </conditionalFormatting>
  <conditionalFormatting sqref="F136:G1048576 G86:G135">
    <cfRule type="cellIs" dxfId="1627" priority="5688" operator="lessThan">
      <formula>0</formula>
    </cfRule>
  </conditionalFormatting>
  <conditionalFormatting sqref="F136:G1048576 G86:G135">
    <cfRule type="cellIs" dxfId="1626" priority="5687" operator="lessThan">
      <formula>0</formula>
    </cfRule>
  </conditionalFormatting>
  <conditionalFormatting sqref="F136:G1048576 G86:G135">
    <cfRule type="cellIs" dxfId="1625" priority="5686" operator="lessThan">
      <formula>0</formula>
    </cfRule>
  </conditionalFormatting>
  <conditionalFormatting sqref="F136:G1048576 G86:G135">
    <cfRule type="cellIs" dxfId="1624" priority="5685" operator="lessThan">
      <formula>0</formula>
    </cfRule>
  </conditionalFormatting>
  <conditionalFormatting sqref="F136:G1048576 G86:G135">
    <cfRule type="cellIs" dxfId="1623" priority="5684" operator="lessThan">
      <formula>0</formula>
    </cfRule>
  </conditionalFormatting>
  <conditionalFormatting sqref="F136:G1048576 G86:G135">
    <cfRule type="cellIs" dxfId="1622" priority="5683" operator="lessThan">
      <formula>0</formula>
    </cfRule>
  </conditionalFormatting>
  <conditionalFormatting sqref="F136:G1048576 G86:G135">
    <cfRule type="cellIs" dxfId="1621" priority="5682" operator="lessThan">
      <formula>0</formula>
    </cfRule>
  </conditionalFormatting>
  <conditionalFormatting sqref="F136:G1048576 G86:G135">
    <cfRule type="cellIs" dxfId="1620" priority="5681" operator="lessThan">
      <formula>0</formula>
    </cfRule>
  </conditionalFormatting>
  <conditionalFormatting sqref="F136:G1048576 G86:G135">
    <cfRule type="cellIs" dxfId="1619" priority="5680" operator="lessThan">
      <formula>0</formula>
    </cfRule>
  </conditionalFormatting>
  <conditionalFormatting sqref="F136:G1048576 G86:G135">
    <cfRule type="cellIs" dxfId="1618" priority="5679" operator="lessThan">
      <formula>0</formula>
    </cfRule>
  </conditionalFormatting>
  <conditionalFormatting sqref="F136:G1048576 G86:G135">
    <cfRule type="cellIs" dxfId="1617" priority="5678" operator="lessThan">
      <formula>0</formula>
    </cfRule>
  </conditionalFormatting>
  <conditionalFormatting sqref="F136:G1048576 G86:G135">
    <cfRule type="cellIs" dxfId="1616" priority="5677" operator="lessThan">
      <formula>0</formula>
    </cfRule>
  </conditionalFormatting>
  <conditionalFormatting sqref="F136:G1048576 G86:G135">
    <cfRule type="cellIs" dxfId="1615" priority="5676" operator="lessThan">
      <formula>0</formula>
    </cfRule>
  </conditionalFormatting>
  <conditionalFormatting sqref="F136:G1048576 G86:G135">
    <cfRule type="cellIs" dxfId="1614" priority="5675" operator="lessThan">
      <formula>0</formula>
    </cfRule>
  </conditionalFormatting>
  <conditionalFormatting sqref="F136:G1048576 G86:G135">
    <cfRule type="cellIs" dxfId="1613" priority="5674" operator="lessThan">
      <formula>0</formula>
    </cfRule>
  </conditionalFormatting>
  <conditionalFormatting sqref="F136:G1048576 G86:G135">
    <cfRule type="cellIs" dxfId="1612" priority="5673" operator="lessThan">
      <formula>0</formula>
    </cfRule>
  </conditionalFormatting>
  <conditionalFormatting sqref="F136:G1048576 G86:G135">
    <cfRule type="cellIs" dxfId="1611" priority="5672" operator="lessThan">
      <formula>0</formula>
    </cfRule>
  </conditionalFormatting>
  <conditionalFormatting sqref="F136:G1048576 G86:G135">
    <cfRule type="cellIs" dxfId="1610" priority="5671" operator="lessThan">
      <formula>0</formula>
    </cfRule>
  </conditionalFormatting>
  <conditionalFormatting sqref="F136:G1048576 G86:G135">
    <cfRule type="cellIs" dxfId="1609" priority="5670" operator="lessThan">
      <formula>0</formula>
    </cfRule>
  </conditionalFormatting>
  <conditionalFormatting sqref="F136:G1048576 G86:G135">
    <cfRule type="cellIs" dxfId="1608" priority="5669" operator="lessThan">
      <formula>0</formula>
    </cfRule>
  </conditionalFormatting>
  <conditionalFormatting sqref="F136:G1048576 G86:G135">
    <cfRule type="cellIs" dxfId="1607" priority="5668" operator="lessThan">
      <formula>0</formula>
    </cfRule>
  </conditionalFormatting>
  <conditionalFormatting sqref="F136:G1048576 G86:G135">
    <cfRule type="cellIs" dxfId="1606" priority="5667" operator="lessThan">
      <formula>0</formula>
    </cfRule>
  </conditionalFormatting>
  <conditionalFormatting sqref="F136:G1048576 G86:G135">
    <cfRule type="cellIs" dxfId="1605" priority="5666" operator="lessThan">
      <formula>0</formula>
    </cfRule>
  </conditionalFormatting>
  <conditionalFormatting sqref="F136:G1048576 G86:G135">
    <cfRule type="cellIs" dxfId="1604" priority="5665" operator="lessThan">
      <formula>0</formula>
    </cfRule>
  </conditionalFormatting>
  <conditionalFormatting sqref="F136:G1048576 G86:G135">
    <cfRule type="cellIs" dxfId="1603" priority="5664" operator="lessThan">
      <formula>0</formula>
    </cfRule>
  </conditionalFormatting>
  <conditionalFormatting sqref="F136:G1048576 G86:G135">
    <cfRule type="cellIs" dxfId="1602" priority="5663" operator="lessThan">
      <formula>0</formula>
    </cfRule>
  </conditionalFormatting>
  <conditionalFormatting sqref="F136:G1048576 G86:G135">
    <cfRule type="cellIs" dxfId="1601" priority="5662" operator="lessThan">
      <formula>0</formula>
    </cfRule>
  </conditionalFormatting>
  <conditionalFormatting sqref="F136:G1048576 G86:G135">
    <cfRule type="cellIs" dxfId="1600" priority="5661" operator="lessThan">
      <formula>0</formula>
    </cfRule>
  </conditionalFormatting>
  <conditionalFormatting sqref="F136:G1048576 G86:G135">
    <cfRule type="cellIs" dxfId="1599" priority="5660" operator="lessThan">
      <formula>0</formula>
    </cfRule>
  </conditionalFormatting>
  <conditionalFormatting sqref="F136:G1048576 G86:G135">
    <cfRule type="cellIs" dxfId="1598" priority="5659" operator="lessThan">
      <formula>0</formula>
    </cfRule>
  </conditionalFormatting>
  <conditionalFormatting sqref="F136:G1048576 G86:G135">
    <cfRule type="cellIs" dxfId="1597" priority="5658" operator="lessThan">
      <formula>0</formula>
    </cfRule>
  </conditionalFormatting>
  <conditionalFormatting sqref="F136:G1048576 G86:G135">
    <cfRule type="cellIs" dxfId="1596" priority="5657" operator="lessThan">
      <formula>0</formula>
    </cfRule>
  </conditionalFormatting>
  <conditionalFormatting sqref="F136:G1048576 G86:G135">
    <cfRule type="cellIs" dxfId="1595" priority="5656" operator="lessThan">
      <formula>0</formula>
    </cfRule>
  </conditionalFormatting>
  <conditionalFormatting sqref="F136:G1048576 G86:G135">
    <cfRule type="cellIs" dxfId="1594" priority="5655" operator="lessThan">
      <formula>0</formula>
    </cfRule>
  </conditionalFormatting>
  <conditionalFormatting sqref="F136:G1048576 G86:G135">
    <cfRule type="cellIs" dxfId="1593" priority="5654" operator="lessThan">
      <formula>0</formula>
    </cfRule>
  </conditionalFormatting>
  <conditionalFormatting sqref="F136:G1048576 G86:G135">
    <cfRule type="cellIs" dxfId="1592" priority="5653" operator="lessThan">
      <formula>0</formula>
    </cfRule>
  </conditionalFormatting>
  <conditionalFormatting sqref="F136:G1048576 G86:G135">
    <cfRule type="cellIs" dxfId="1591" priority="5652" operator="lessThan">
      <formula>0</formula>
    </cfRule>
  </conditionalFormatting>
  <conditionalFormatting sqref="F136:G1048576 G86:G135">
    <cfRule type="cellIs" dxfId="1590" priority="5651" operator="lessThan">
      <formula>0</formula>
    </cfRule>
  </conditionalFormatting>
  <conditionalFormatting sqref="F136:G1048576 G86:G135">
    <cfRule type="cellIs" dxfId="1589" priority="5650" operator="lessThan">
      <formula>0</formula>
    </cfRule>
  </conditionalFormatting>
  <conditionalFormatting sqref="F136:G1048576 G86:G135">
    <cfRule type="cellIs" dxfId="1588" priority="5649" operator="lessThan">
      <formula>0</formula>
    </cfRule>
  </conditionalFormatting>
  <conditionalFormatting sqref="F136:G1048576 G86:G135">
    <cfRule type="cellIs" dxfId="1587" priority="5648" operator="lessThan">
      <formula>0</formula>
    </cfRule>
  </conditionalFormatting>
  <conditionalFormatting sqref="F136:G1048576 G86:G135">
    <cfRule type="cellIs" dxfId="1586" priority="5647" operator="lessThan">
      <formula>0</formula>
    </cfRule>
  </conditionalFormatting>
  <conditionalFormatting sqref="F136:G1048576 G86:G135">
    <cfRule type="cellIs" dxfId="1585" priority="5646" operator="lessThan">
      <formula>0</formula>
    </cfRule>
  </conditionalFormatting>
  <conditionalFormatting sqref="F136:G1048576 G86:G135">
    <cfRule type="cellIs" dxfId="1584" priority="5645" operator="lessThan">
      <formula>0</formula>
    </cfRule>
  </conditionalFormatting>
  <conditionalFormatting sqref="F136:G1048576 G86:G135">
    <cfRule type="cellIs" dxfId="1583" priority="5644" operator="lessThan">
      <formula>0</formula>
    </cfRule>
  </conditionalFormatting>
  <conditionalFormatting sqref="F136:G1048576 G86:G135">
    <cfRule type="cellIs" dxfId="1582" priority="5643" operator="lessThan">
      <formula>0</formula>
    </cfRule>
  </conditionalFormatting>
  <conditionalFormatting sqref="F136:G1048576 G86:G135">
    <cfRule type="cellIs" dxfId="1581" priority="5642" operator="lessThan">
      <formula>0</formula>
    </cfRule>
  </conditionalFormatting>
  <conditionalFormatting sqref="F136:G1048576 G86:G135">
    <cfRule type="cellIs" dxfId="1580" priority="5641" operator="lessThan">
      <formula>0</formula>
    </cfRule>
  </conditionalFormatting>
  <conditionalFormatting sqref="F136:G1048576 G86:G135">
    <cfRule type="cellIs" dxfId="1579" priority="5640" operator="lessThan">
      <formula>0</formula>
    </cfRule>
  </conditionalFormatting>
  <conditionalFormatting sqref="F136:G1048576 G86:G135">
    <cfRule type="cellIs" dxfId="1578" priority="5639" operator="lessThan">
      <formula>0</formula>
    </cfRule>
  </conditionalFormatting>
  <conditionalFormatting sqref="F136:G1048576 G86:G135">
    <cfRule type="cellIs" dxfId="1577" priority="5638" operator="lessThan">
      <formula>0</formula>
    </cfRule>
  </conditionalFormatting>
  <conditionalFormatting sqref="F136:G1048576 G86:G135">
    <cfRule type="cellIs" dxfId="1576" priority="5637" operator="lessThan">
      <formula>0</formula>
    </cfRule>
  </conditionalFormatting>
  <conditionalFormatting sqref="F136:G1048576 G86:G135">
    <cfRule type="cellIs" dxfId="1575" priority="5636" operator="lessThan">
      <formula>0</formula>
    </cfRule>
  </conditionalFormatting>
  <conditionalFormatting sqref="F136:G1048576 G86:G135">
    <cfRule type="cellIs" dxfId="1574" priority="5635" operator="lessThan">
      <formula>0</formula>
    </cfRule>
  </conditionalFormatting>
  <conditionalFormatting sqref="F136:G1048576 G86:G135">
    <cfRule type="cellIs" dxfId="1573" priority="5634" operator="lessThan">
      <formula>0</formula>
    </cfRule>
  </conditionalFormatting>
  <conditionalFormatting sqref="F136:G1048576 G86:G135">
    <cfRule type="cellIs" dxfId="1572" priority="5633" operator="lessThan">
      <formula>0</formula>
    </cfRule>
  </conditionalFormatting>
  <conditionalFormatting sqref="F136:G1048576 G86:G135">
    <cfRule type="cellIs" dxfId="1571" priority="5632" operator="lessThan">
      <formula>0</formula>
    </cfRule>
  </conditionalFormatting>
  <conditionalFormatting sqref="F136:G1048576 G86:G135">
    <cfRule type="cellIs" dxfId="1570" priority="5631" operator="lessThan">
      <formula>0</formula>
    </cfRule>
  </conditionalFormatting>
  <conditionalFormatting sqref="F136:G1048576 G86:G135">
    <cfRule type="cellIs" dxfId="1569" priority="5630" operator="lessThan">
      <formula>0</formula>
    </cfRule>
  </conditionalFormatting>
  <conditionalFormatting sqref="F136:G1048576 G86:G135">
    <cfRule type="cellIs" dxfId="1568" priority="5629" operator="lessThan">
      <formula>0</formula>
    </cfRule>
  </conditionalFormatting>
  <conditionalFormatting sqref="F136:G1048576 G86:G135">
    <cfRule type="cellIs" dxfId="1567" priority="5628" operator="lessThan">
      <formula>0</formula>
    </cfRule>
  </conditionalFormatting>
  <conditionalFormatting sqref="F136:G1048576 G86:G135">
    <cfRule type="cellIs" dxfId="1566" priority="5627" operator="lessThan">
      <formula>0</formula>
    </cfRule>
  </conditionalFormatting>
  <conditionalFormatting sqref="F136:G1048576 G86:G135">
    <cfRule type="cellIs" dxfId="1565" priority="5626" operator="lessThan">
      <formula>0</formula>
    </cfRule>
  </conditionalFormatting>
  <conditionalFormatting sqref="F136:G1048576 G86:G135">
    <cfRule type="cellIs" dxfId="1564" priority="5625" operator="lessThan">
      <formula>0</formula>
    </cfRule>
  </conditionalFormatting>
  <conditionalFormatting sqref="F136:G1048576 G86:G135">
    <cfRule type="cellIs" dxfId="1563" priority="5624" operator="lessThan">
      <formula>0</formula>
    </cfRule>
  </conditionalFormatting>
  <conditionalFormatting sqref="F136:G1048576 G86:G135">
    <cfRule type="cellIs" dxfId="1562" priority="5623" operator="lessThan">
      <formula>0</formula>
    </cfRule>
  </conditionalFormatting>
  <conditionalFormatting sqref="F136:G1048576 G86:G135">
    <cfRule type="cellIs" dxfId="1561" priority="5622" operator="lessThan">
      <formula>0</formula>
    </cfRule>
  </conditionalFormatting>
  <conditionalFormatting sqref="F136:G1048576 G86:G135">
    <cfRule type="cellIs" dxfId="1560" priority="5621" operator="lessThan">
      <formula>0</formula>
    </cfRule>
  </conditionalFormatting>
  <conditionalFormatting sqref="F136:G1048576 G86:G135">
    <cfRule type="cellIs" dxfId="1559" priority="5620" operator="lessThan">
      <formula>0</formula>
    </cfRule>
  </conditionalFormatting>
  <conditionalFormatting sqref="F136:G1048576 G86:G135">
    <cfRule type="cellIs" dxfId="1558" priority="5619" operator="lessThan">
      <formula>0</formula>
    </cfRule>
  </conditionalFormatting>
  <conditionalFormatting sqref="F136:G1048576 G86:G135">
    <cfRule type="cellIs" dxfId="1557" priority="5618" operator="lessThan">
      <formula>0</formula>
    </cfRule>
  </conditionalFormatting>
  <conditionalFormatting sqref="F136:G1048576 G86:G135">
    <cfRule type="cellIs" dxfId="1556" priority="5617" operator="lessThan">
      <formula>0</formula>
    </cfRule>
  </conditionalFormatting>
  <conditionalFormatting sqref="F136:G1048576 G86:G135">
    <cfRule type="cellIs" dxfId="1555" priority="5616" operator="lessThan">
      <formula>0</formula>
    </cfRule>
  </conditionalFormatting>
  <conditionalFormatting sqref="F136:G1048576 G86:G135">
    <cfRule type="cellIs" dxfId="1554" priority="5615" operator="lessThan">
      <formula>0</formula>
    </cfRule>
  </conditionalFormatting>
  <conditionalFormatting sqref="F136:G1048576 G86:G135">
    <cfRule type="cellIs" dxfId="1553" priority="5614" operator="lessThan">
      <formula>0</formula>
    </cfRule>
  </conditionalFormatting>
  <conditionalFormatting sqref="F136:G1048576 G86:G135">
    <cfRule type="cellIs" dxfId="1552" priority="5613" operator="lessThan">
      <formula>0</formula>
    </cfRule>
  </conditionalFormatting>
  <conditionalFormatting sqref="F136:G1048576 G86:G135">
    <cfRule type="cellIs" dxfId="1551" priority="5612" operator="lessThan">
      <formula>0</formula>
    </cfRule>
  </conditionalFormatting>
  <conditionalFormatting sqref="F136:G1048576 G86:G135">
    <cfRule type="cellIs" dxfId="1550" priority="5611" operator="lessThan">
      <formula>0</formula>
    </cfRule>
  </conditionalFormatting>
  <conditionalFormatting sqref="F136:G1048576 G86:G135">
    <cfRule type="cellIs" dxfId="1549" priority="5610" operator="lessThan">
      <formula>0</formula>
    </cfRule>
  </conditionalFormatting>
  <conditionalFormatting sqref="F136:G1048576 G86:G135">
    <cfRule type="cellIs" dxfId="1548" priority="5609" operator="lessThan">
      <formula>0</formula>
    </cfRule>
  </conditionalFormatting>
  <conditionalFormatting sqref="F136:G1048576 G86:G135">
    <cfRule type="cellIs" dxfId="1547" priority="5608" operator="lessThan">
      <formula>0</formula>
    </cfRule>
  </conditionalFormatting>
  <conditionalFormatting sqref="F136:G1048576 G86:G135">
    <cfRule type="cellIs" dxfId="1546" priority="5607" operator="lessThan">
      <formula>0</formula>
    </cfRule>
  </conditionalFormatting>
  <conditionalFormatting sqref="F136:G1048576 G86:G135">
    <cfRule type="cellIs" dxfId="1545" priority="5606" operator="lessThan">
      <formula>0</formula>
    </cfRule>
  </conditionalFormatting>
  <conditionalFormatting sqref="F136:G1048576 G86:G135">
    <cfRule type="cellIs" dxfId="1544" priority="5605" operator="lessThan">
      <formula>0</formula>
    </cfRule>
  </conditionalFormatting>
  <conditionalFormatting sqref="F136:G1048576 G86:G135">
    <cfRule type="cellIs" dxfId="1543" priority="5604" operator="lessThan">
      <formula>0</formula>
    </cfRule>
  </conditionalFormatting>
  <conditionalFormatting sqref="F136:G1048576 G86:G135">
    <cfRule type="cellIs" dxfId="1542" priority="5603" operator="lessThan">
      <formula>0</formula>
    </cfRule>
  </conditionalFormatting>
  <conditionalFormatting sqref="F136:G1048576 G86:G135">
    <cfRule type="cellIs" dxfId="1541" priority="5602" operator="lessThan">
      <formula>0</formula>
    </cfRule>
  </conditionalFormatting>
  <conditionalFormatting sqref="F136:G1048576 G86:G135">
    <cfRule type="cellIs" dxfId="1540" priority="5601" operator="lessThan">
      <formula>0</formula>
    </cfRule>
  </conditionalFormatting>
  <conditionalFormatting sqref="F136:G1048576 G86:G135">
    <cfRule type="cellIs" dxfId="1539" priority="5600" operator="lessThan">
      <formula>0</formula>
    </cfRule>
  </conditionalFormatting>
  <conditionalFormatting sqref="F136:G1048576 G86:G135">
    <cfRule type="cellIs" dxfId="1538" priority="5599" operator="lessThan">
      <formula>0</formula>
    </cfRule>
  </conditionalFormatting>
  <conditionalFormatting sqref="F136:G1048576 G86:G135">
    <cfRule type="cellIs" dxfId="1537" priority="5598" operator="lessThan">
      <formula>0</formula>
    </cfRule>
  </conditionalFormatting>
  <conditionalFormatting sqref="F136:G1048576 G86:G135">
    <cfRule type="cellIs" dxfId="1536" priority="5597" operator="lessThan">
      <formula>0</formula>
    </cfRule>
  </conditionalFormatting>
  <conditionalFormatting sqref="F136:G1048576 G86:G135">
    <cfRule type="cellIs" dxfId="1535" priority="5596" operator="lessThan">
      <formula>0</formula>
    </cfRule>
  </conditionalFormatting>
  <conditionalFormatting sqref="F136:G1048576 G86:G135">
    <cfRule type="cellIs" dxfId="1534" priority="5595" operator="lessThan">
      <formula>0</formula>
    </cfRule>
  </conditionalFormatting>
  <conditionalFormatting sqref="F136:G1048576 G86:G135">
    <cfRule type="cellIs" dxfId="1533" priority="5594" operator="lessThan">
      <formula>0</formula>
    </cfRule>
  </conditionalFormatting>
  <conditionalFormatting sqref="F136:G1048576 G86:G135">
    <cfRule type="cellIs" dxfId="1532" priority="5593" operator="lessThan">
      <formula>0</formula>
    </cfRule>
  </conditionalFormatting>
  <conditionalFormatting sqref="F136:G1048576 G86:G135">
    <cfRule type="cellIs" dxfId="1531" priority="5592" operator="lessThan">
      <formula>0</formula>
    </cfRule>
  </conditionalFormatting>
  <conditionalFormatting sqref="F136:G1048576 G86:G135">
    <cfRule type="cellIs" dxfId="1530" priority="5591" operator="lessThan">
      <formula>0</formula>
    </cfRule>
  </conditionalFormatting>
  <conditionalFormatting sqref="F136:G1048576 G86:G135">
    <cfRule type="cellIs" dxfId="1529" priority="5590" operator="lessThan">
      <formula>0</formula>
    </cfRule>
  </conditionalFormatting>
  <conditionalFormatting sqref="F136:G1048576 G86:G135">
    <cfRule type="cellIs" dxfId="1528" priority="5589" operator="lessThan">
      <formula>0</formula>
    </cfRule>
  </conditionalFormatting>
  <conditionalFormatting sqref="F136:G1048576 G86:G135">
    <cfRule type="cellIs" dxfId="1527" priority="5588" operator="lessThan">
      <formula>0</formula>
    </cfRule>
  </conditionalFormatting>
  <conditionalFormatting sqref="F136:G1048576 G86:G135">
    <cfRule type="cellIs" dxfId="1526" priority="5587" operator="lessThan">
      <formula>0</formula>
    </cfRule>
  </conditionalFormatting>
  <conditionalFormatting sqref="F136:G1048576 G86:G135">
    <cfRule type="cellIs" dxfId="1525" priority="5586" operator="lessThan">
      <formula>0</formula>
    </cfRule>
  </conditionalFormatting>
  <conditionalFormatting sqref="F136:G1048576 G86:G135">
    <cfRule type="cellIs" dxfId="1524" priority="5585" operator="lessThan">
      <formula>0</formula>
    </cfRule>
  </conditionalFormatting>
  <conditionalFormatting sqref="F136:G1048576 G86:G135">
    <cfRule type="cellIs" dxfId="1523" priority="5584" operator="lessThan">
      <formula>0</formula>
    </cfRule>
  </conditionalFormatting>
  <conditionalFormatting sqref="F136:G1048576 G86:G135">
    <cfRule type="cellIs" dxfId="1522" priority="5583" operator="lessThan">
      <formula>0</formula>
    </cfRule>
  </conditionalFormatting>
  <conditionalFormatting sqref="F136:G1048576 G86:G135">
    <cfRule type="cellIs" dxfId="1521" priority="5582" operator="lessThan">
      <formula>0</formula>
    </cfRule>
  </conditionalFormatting>
  <conditionalFormatting sqref="F136:G1048576 G86:G135">
    <cfRule type="cellIs" dxfId="1520" priority="5581" operator="lessThan">
      <formula>0</formula>
    </cfRule>
  </conditionalFormatting>
  <conditionalFormatting sqref="F136:G1048576 G86:G135">
    <cfRule type="cellIs" dxfId="1519" priority="5580" operator="lessThan">
      <formula>0</formula>
    </cfRule>
  </conditionalFormatting>
  <conditionalFormatting sqref="F136:G1048576 G86:G135">
    <cfRule type="cellIs" dxfId="1518" priority="5579" operator="lessThan">
      <formula>0</formula>
    </cfRule>
  </conditionalFormatting>
  <conditionalFormatting sqref="F136:G1048576 G86:G135">
    <cfRule type="cellIs" dxfId="1517" priority="5578" operator="lessThan">
      <formula>0</formula>
    </cfRule>
  </conditionalFormatting>
  <conditionalFormatting sqref="F136:G1048576 G86:G135">
    <cfRule type="cellIs" dxfId="1516" priority="5577" operator="lessThan">
      <formula>0</formula>
    </cfRule>
  </conditionalFormatting>
  <conditionalFormatting sqref="F136:G1048576 G86:G135">
    <cfRule type="cellIs" dxfId="1515" priority="5576" operator="lessThan">
      <formula>0</formula>
    </cfRule>
  </conditionalFormatting>
  <conditionalFormatting sqref="F136:G1048576 G86:G135">
    <cfRule type="cellIs" dxfId="1514" priority="5575" operator="lessThan">
      <formula>0</formula>
    </cfRule>
  </conditionalFormatting>
  <conditionalFormatting sqref="F136:G1048576 G86:G135">
    <cfRule type="cellIs" dxfId="1513" priority="5574" operator="lessThan">
      <formula>0</formula>
    </cfRule>
  </conditionalFormatting>
  <conditionalFormatting sqref="F136:G1048576 G86:G135">
    <cfRule type="cellIs" dxfId="1512" priority="5573" operator="lessThan">
      <formula>0</formula>
    </cfRule>
  </conditionalFormatting>
  <conditionalFormatting sqref="F136:G1048576 G86:G135">
    <cfRule type="cellIs" dxfId="1511" priority="5572" operator="lessThan">
      <formula>0</formula>
    </cfRule>
  </conditionalFormatting>
  <conditionalFormatting sqref="F136:G1048576 G86:G135">
    <cfRule type="cellIs" dxfId="1510" priority="5571" operator="lessThan">
      <formula>0</formula>
    </cfRule>
  </conditionalFormatting>
  <conditionalFormatting sqref="F136:G1048576 G86:G135">
    <cfRule type="cellIs" dxfId="1509" priority="5570" operator="lessThan">
      <formula>0</formula>
    </cfRule>
  </conditionalFormatting>
  <conditionalFormatting sqref="F136:G1048576 G86:G135">
    <cfRule type="cellIs" dxfId="1508" priority="5569" operator="lessThan">
      <formula>0</formula>
    </cfRule>
  </conditionalFormatting>
  <conditionalFormatting sqref="F136:G1048576 G86:G135">
    <cfRule type="cellIs" dxfId="1507" priority="5568" operator="lessThan">
      <formula>0</formula>
    </cfRule>
  </conditionalFormatting>
  <conditionalFormatting sqref="F136:G1048576 G86:G135">
    <cfRule type="cellIs" dxfId="1506" priority="5567" operator="lessThan">
      <formula>0</formula>
    </cfRule>
  </conditionalFormatting>
  <conditionalFormatting sqref="F136:G1048576 G86:G135">
    <cfRule type="cellIs" dxfId="1505" priority="5566" operator="lessThan">
      <formula>0</formula>
    </cfRule>
  </conditionalFormatting>
  <conditionalFormatting sqref="F136:G1048576 G86:G135">
    <cfRule type="cellIs" dxfId="1504" priority="5565" operator="lessThan">
      <formula>0</formula>
    </cfRule>
  </conditionalFormatting>
  <conditionalFormatting sqref="F136:G1048576 G86:G135">
    <cfRule type="cellIs" dxfId="1503" priority="5564" operator="lessThan">
      <formula>0</formula>
    </cfRule>
  </conditionalFormatting>
  <conditionalFormatting sqref="F136:G1048576 G86:G135">
    <cfRule type="cellIs" dxfId="1502" priority="5563" operator="lessThan">
      <formula>0</formula>
    </cfRule>
  </conditionalFormatting>
  <conditionalFormatting sqref="F136:G1048576 G86:G135">
    <cfRule type="cellIs" dxfId="1501" priority="5562" operator="lessThan">
      <formula>0</formula>
    </cfRule>
  </conditionalFormatting>
  <conditionalFormatting sqref="F136:G1048576 G86:G135">
    <cfRule type="cellIs" dxfId="1500" priority="5561" operator="lessThan">
      <formula>0</formula>
    </cfRule>
  </conditionalFormatting>
  <conditionalFormatting sqref="F136:G1048576 G86:G135">
    <cfRule type="cellIs" dxfId="1499" priority="5560" operator="lessThan">
      <formula>0</formula>
    </cfRule>
  </conditionalFormatting>
  <conditionalFormatting sqref="F136:G1048576 G86:G135">
    <cfRule type="cellIs" dxfId="1498" priority="5559" operator="lessThan">
      <formula>0</formula>
    </cfRule>
  </conditionalFormatting>
  <conditionalFormatting sqref="F136:G1048576 G86:G135">
    <cfRule type="cellIs" dxfId="1497" priority="5558" operator="lessThan">
      <formula>0</formula>
    </cfRule>
  </conditionalFormatting>
  <conditionalFormatting sqref="F136:G1048576 G86:G135">
    <cfRule type="cellIs" dxfId="1496" priority="5557" operator="lessThan">
      <formula>0</formula>
    </cfRule>
  </conditionalFormatting>
  <conditionalFormatting sqref="F136:G1048576 G86:G135">
    <cfRule type="cellIs" dxfId="1495" priority="5556" operator="lessThan">
      <formula>0</formula>
    </cfRule>
  </conditionalFormatting>
  <conditionalFormatting sqref="F136:G1048576 G86:G135">
    <cfRule type="cellIs" dxfId="1494" priority="5555" operator="lessThan">
      <formula>0</formula>
    </cfRule>
  </conditionalFormatting>
  <conditionalFormatting sqref="F136:G1048576 G86:G135">
    <cfRule type="cellIs" dxfId="1493" priority="5554" operator="lessThan">
      <formula>0</formula>
    </cfRule>
  </conditionalFormatting>
  <conditionalFormatting sqref="F136:G1048576 G86:G135">
    <cfRule type="cellIs" dxfId="1492" priority="5553" operator="lessThan">
      <formula>0</formula>
    </cfRule>
  </conditionalFormatting>
  <conditionalFormatting sqref="F136:G1048576 G86:G135">
    <cfRule type="cellIs" dxfId="1491" priority="5552" operator="lessThan">
      <formula>0</formula>
    </cfRule>
  </conditionalFormatting>
  <conditionalFormatting sqref="F136:G1048576 G86:G135">
    <cfRule type="cellIs" dxfId="1490" priority="5551" operator="lessThan">
      <formula>0</formula>
    </cfRule>
  </conditionalFormatting>
  <conditionalFormatting sqref="F136:G1048576 G86:G135">
    <cfRule type="cellIs" dxfId="1489" priority="5550" operator="lessThan">
      <formula>0</formula>
    </cfRule>
  </conditionalFormatting>
  <conditionalFormatting sqref="F136:G1048576 G86:G135">
    <cfRule type="cellIs" dxfId="1488" priority="5549" operator="lessThan">
      <formula>0</formula>
    </cfRule>
  </conditionalFormatting>
  <conditionalFormatting sqref="F136:G1048576 G86:G135">
    <cfRule type="cellIs" dxfId="1487" priority="5548" operator="lessThan">
      <formula>0</formula>
    </cfRule>
  </conditionalFormatting>
  <conditionalFormatting sqref="F136:G1048576 G86:G135">
    <cfRule type="cellIs" dxfId="1486" priority="5547" operator="lessThan">
      <formula>0</formula>
    </cfRule>
  </conditionalFormatting>
  <conditionalFormatting sqref="F136:G1048576 G86:G135">
    <cfRule type="cellIs" dxfId="1485" priority="5546" operator="lessThan">
      <formula>0</formula>
    </cfRule>
  </conditionalFormatting>
  <conditionalFormatting sqref="F136:G1048576 G86:G135">
    <cfRule type="cellIs" dxfId="1484" priority="5545" operator="lessThan">
      <formula>0</formula>
    </cfRule>
  </conditionalFormatting>
  <conditionalFormatting sqref="F136:G1048576 G86:G135">
    <cfRule type="cellIs" dxfId="1483" priority="5544" operator="lessThan">
      <formula>0</formula>
    </cfRule>
  </conditionalFormatting>
  <conditionalFormatting sqref="F136:G1048576 G86:G135">
    <cfRule type="cellIs" dxfId="1482" priority="5543" operator="lessThan">
      <formula>0</formula>
    </cfRule>
  </conditionalFormatting>
  <conditionalFormatting sqref="F136:G1048576 G86:G135">
    <cfRule type="cellIs" dxfId="1481" priority="5542" operator="lessThan">
      <formula>0</formula>
    </cfRule>
  </conditionalFormatting>
  <conditionalFormatting sqref="F136:G1048576 G86:G135">
    <cfRule type="cellIs" dxfId="1480" priority="5541" operator="lessThan">
      <formula>0</formula>
    </cfRule>
  </conditionalFormatting>
  <conditionalFormatting sqref="F136:G1048576 G86:G135">
    <cfRule type="cellIs" dxfId="1479" priority="5540" operator="lessThan">
      <formula>0</formula>
    </cfRule>
  </conditionalFormatting>
  <conditionalFormatting sqref="F136:G1048576 G86:G135">
    <cfRule type="cellIs" dxfId="1478" priority="5539" operator="lessThan">
      <formula>0</formula>
    </cfRule>
  </conditionalFormatting>
  <conditionalFormatting sqref="F136:G1048576 G86:G135">
    <cfRule type="cellIs" dxfId="1477" priority="5538" operator="lessThan">
      <formula>0</formula>
    </cfRule>
  </conditionalFormatting>
  <conditionalFormatting sqref="F136:G1048576 G86:G135">
    <cfRule type="cellIs" dxfId="1476" priority="5537" operator="lessThan">
      <formula>0</formula>
    </cfRule>
  </conditionalFormatting>
  <conditionalFormatting sqref="F136:G1048576 G86:G135">
    <cfRule type="cellIs" dxfId="1475" priority="5536" operator="lessThan">
      <formula>0</formula>
    </cfRule>
  </conditionalFormatting>
  <conditionalFormatting sqref="F136:G1048576 G86:G135">
    <cfRule type="cellIs" dxfId="1474" priority="5535" operator="lessThan">
      <formula>0</formula>
    </cfRule>
  </conditionalFormatting>
  <conditionalFormatting sqref="F136:G1048576 G86:G135">
    <cfRule type="cellIs" dxfId="1473" priority="5534" operator="lessThan">
      <formula>0</formula>
    </cfRule>
  </conditionalFormatting>
  <conditionalFormatting sqref="F136:G1048576 G86:G135">
    <cfRule type="cellIs" dxfId="1472" priority="5533" operator="lessThan">
      <formula>0</formula>
    </cfRule>
  </conditionalFormatting>
  <conditionalFormatting sqref="F136:G1048576 G86:G135">
    <cfRule type="cellIs" dxfId="1471" priority="5532" operator="lessThan">
      <formula>0</formula>
    </cfRule>
  </conditionalFormatting>
  <conditionalFormatting sqref="F136:G1048576 G86:G135">
    <cfRule type="cellIs" dxfId="1470" priority="5531" operator="lessThan">
      <formula>0</formula>
    </cfRule>
  </conditionalFormatting>
  <conditionalFormatting sqref="F136:G1048576 G86:G135">
    <cfRule type="cellIs" dxfId="1469" priority="5530" operator="lessThan">
      <formula>0</formula>
    </cfRule>
  </conditionalFormatting>
  <conditionalFormatting sqref="F136:G1048576 G86:G135">
    <cfRule type="cellIs" dxfId="1468" priority="5529" operator="lessThan">
      <formula>0</formula>
    </cfRule>
  </conditionalFormatting>
  <conditionalFormatting sqref="F136:G1048576 G86:G135">
    <cfRule type="cellIs" dxfId="1467" priority="5528" operator="lessThan">
      <formula>0</formula>
    </cfRule>
  </conditionalFormatting>
  <conditionalFormatting sqref="F136:G1048576 G86:G135">
    <cfRule type="cellIs" dxfId="1466" priority="5527" operator="lessThan">
      <formula>0</formula>
    </cfRule>
  </conditionalFormatting>
  <conditionalFormatting sqref="F136:G1048576 G86:G135">
    <cfRule type="cellIs" dxfId="1465" priority="5526" operator="lessThan">
      <formula>0</formula>
    </cfRule>
  </conditionalFormatting>
  <conditionalFormatting sqref="F136:G1048576 G86:G135">
    <cfRule type="cellIs" dxfId="1464" priority="5525" operator="lessThan">
      <formula>0</formula>
    </cfRule>
  </conditionalFormatting>
  <conditionalFormatting sqref="F136:G1048576 G86:G135">
    <cfRule type="cellIs" dxfId="1463" priority="5524" operator="lessThan">
      <formula>0</formula>
    </cfRule>
  </conditionalFormatting>
  <conditionalFormatting sqref="F136:G1048576 G86:G135">
    <cfRule type="cellIs" dxfId="1462" priority="5523" operator="lessThan">
      <formula>0</formula>
    </cfRule>
  </conditionalFormatting>
  <conditionalFormatting sqref="F136:G1048576 G86:G135">
    <cfRule type="cellIs" dxfId="1461" priority="5522" operator="lessThan">
      <formula>0</formula>
    </cfRule>
  </conditionalFormatting>
  <conditionalFormatting sqref="F136:G1048576 G86:G135">
    <cfRule type="cellIs" dxfId="1460" priority="5521" operator="lessThan">
      <formula>0</formula>
    </cfRule>
  </conditionalFormatting>
  <conditionalFormatting sqref="F136:G1048576 G86:G135">
    <cfRule type="cellIs" dxfId="1459" priority="5520" operator="lessThan">
      <formula>0</formula>
    </cfRule>
  </conditionalFormatting>
  <conditionalFormatting sqref="F136:G1048576 G86:G135">
    <cfRule type="cellIs" dxfId="1458" priority="5519" operator="lessThan">
      <formula>0</formula>
    </cfRule>
  </conditionalFormatting>
  <conditionalFormatting sqref="F136:G1048576 G86:G135">
    <cfRule type="cellIs" dxfId="1457" priority="5518" operator="lessThan">
      <formula>0</formula>
    </cfRule>
  </conditionalFormatting>
  <conditionalFormatting sqref="F136:G1048576 G86:G135">
    <cfRule type="cellIs" dxfId="1456" priority="5517" operator="lessThan">
      <formula>0</formula>
    </cfRule>
  </conditionalFormatting>
  <conditionalFormatting sqref="F136:G1048576 G86:G135">
    <cfRule type="cellIs" dxfId="1455" priority="5516" operator="lessThan">
      <formula>0</formula>
    </cfRule>
  </conditionalFormatting>
  <conditionalFormatting sqref="F136:G1048576 G86:G135">
    <cfRule type="cellIs" dxfId="1454" priority="5515" operator="lessThan">
      <formula>0</formula>
    </cfRule>
  </conditionalFormatting>
  <conditionalFormatting sqref="F136:G1048576 G86:G135">
    <cfRule type="cellIs" dxfId="1453" priority="5514" operator="lessThan">
      <formula>0</formula>
    </cfRule>
  </conditionalFormatting>
  <conditionalFormatting sqref="F136:G1048576 G86:G135">
    <cfRule type="cellIs" dxfId="1452" priority="5513" operator="lessThan">
      <formula>0</formula>
    </cfRule>
  </conditionalFormatting>
  <conditionalFormatting sqref="F136:G1048576 G86:G135">
    <cfRule type="cellIs" dxfId="1451" priority="5512" operator="lessThan">
      <formula>0</formula>
    </cfRule>
  </conditionalFormatting>
  <conditionalFormatting sqref="F136:G1048576 G86:G135">
    <cfRule type="cellIs" dxfId="1450" priority="5511" operator="lessThan">
      <formula>0</formula>
    </cfRule>
  </conditionalFormatting>
  <conditionalFormatting sqref="F136:G1048576 G86:G135">
    <cfRule type="cellIs" dxfId="1449" priority="5510" operator="lessThan">
      <formula>0</formula>
    </cfRule>
  </conditionalFormatting>
  <conditionalFormatting sqref="F136:G1048576 G86:G135">
    <cfRule type="cellIs" dxfId="1448" priority="5509" operator="lessThan">
      <formula>0</formula>
    </cfRule>
  </conditionalFormatting>
  <conditionalFormatting sqref="F136:G1048576 G86:G135">
    <cfRule type="cellIs" dxfId="1447" priority="5508" operator="lessThan">
      <formula>0</formula>
    </cfRule>
  </conditionalFormatting>
  <conditionalFormatting sqref="F136:G1048576 G86:G135">
    <cfRule type="cellIs" dxfId="1446" priority="5507" operator="lessThan">
      <formula>0</formula>
    </cfRule>
  </conditionalFormatting>
  <conditionalFormatting sqref="F136:G1048576 G86:G135">
    <cfRule type="cellIs" dxfId="1445" priority="5506" operator="lessThan">
      <formula>0</formula>
    </cfRule>
  </conditionalFormatting>
  <conditionalFormatting sqref="F136:G1048576 G86:G135">
    <cfRule type="cellIs" dxfId="1444" priority="5505" operator="lessThan">
      <formula>0</formula>
    </cfRule>
  </conditionalFormatting>
  <conditionalFormatting sqref="F136:G1048576 G86:G135">
    <cfRule type="cellIs" dxfId="1443" priority="5504" operator="lessThan">
      <formula>0</formula>
    </cfRule>
  </conditionalFormatting>
  <conditionalFormatting sqref="F136:G1048576 G86:G135">
    <cfRule type="cellIs" dxfId="1442" priority="5503" operator="lessThan">
      <formula>0</formula>
    </cfRule>
  </conditionalFormatting>
  <conditionalFormatting sqref="F136:G1048576 G86:G135">
    <cfRule type="cellIs" dxfId="1441" priority="5502" operator="lessThan">
      <formula>0</formula>
    </cfRule>
  </conditionalFormatting>
  <conditionalFormatting sqref="F136:G1048576 G86:G135">
    <cfRule type="cellIs" dxfId="1440" priority="5501" operator="lessThan">
      <formula>0</formula>
    </cfRule>
  </conditionalFormatting>
  <conditionalFormatting sqref="F136:G1048576 G86:G135">
    <cfRule type="cellIs" dxfId="1439" priority="5500" operator="lessThan">
      <formula>0</formula>
    </cfRule>
  </conditionalFormatting>
  <conditionalFormatting sqref="F136:G1048576 G86:G135">
    <cfRule type="cellIs" dxfId="1438" priority="5499" operator="lessThan">
      <formula>0</formula>
    </cfRule>
  </conditionalFormatting>
  <conditionalFormatting sqref="F136:G1048576 G86:G135">
    <cfRule type="cellIs" dxfId="1437" priority="5498" operator="lessThan">
      <formula>0</formula>
    </cfRule>
  </conditionalFormatting>
  <conditionalFormatting sqref="F136:G1048576 G86:G135">
    <cfRule type="cellIs" dxfId="1436" priority="5497" operator="lessThan">
      <formula>0</formula>
    </cfRule>
  </conditionalFormatting>
  <conditionalFormatting sqref="F136:G1048576 G86:G135">
    <cfRule type="cellIs" dxfId="1435" priority="5496" operator="lessThan">
      <formula>0</formula>
    </cfRule>
  </conditionalFormatting>
  <conditionalFormatting sqref="F136:G1048576 G86:G135">
    <cfRule type="cellIs" dxfId="1434" priority="5495" operator="lessThan">
      <formula>0</formula>
    </cfRule>
  </conditionalFormatting>
  <conditionalFormatting sqref="F136:G1048576 G86:G135">
    <cfRule type="cellIs" dxfId="1433" priority="5494" operator="lessThan">
      <formula>0</formula>
    </cfRule>
  </conditionalFormatting>
  <conditionalFormatting sqref="F136:G1048576 G86:G135">
    <cfRule type="cellIs" dxfId="1432" priority="5493" operator="lessThan">
      <formula>0</formula>
    </cfRule>
  </conditionalFormatting>
  <conditionalFormatting sqref="F136:G1048576 G86:G135">
    <cfRule type="cellIs" dxfId="1431" priority="5492" operator="lessThan">
      <formula>0</formula>
    </cfRule>
  </conditionalFormatting>
  <conditionalFormatting sqref="F136:G1048576 G86:G135">
    <cfRule type="cellIs" dxfId="1430" priority="5491" operator="lessThan">
      <formula>0</formula>
    </cfRule>
  </conditionalFormatting>
  <conditionalFormatting sqref="F136:G1048576 G86:G135">
    <cfRule type="cellIs" dxfId="1429" priority="5490" operator="lessThan">
      <formula>0</formula>
    </cfRule>
  </conditionalFormatting>
  <conditionalFormatting sqref="F136:G1048576 G86:G135">
    <cfRule type="cellIs" dxfId="1428" priority="5489" operator="lessThan">
      <formula>0</formula>
    </cfRule>
  </conditionalFormatting>
  <conditionalFormatting sqref="F136:G1048576 G86:G135">
    <cfRule type="cellIs" dxfId="1427" priority="5488" operator="lessThan">
      <formula>0</formula>
    </cfRule>
  </conditionalFormatting>
  <conditionalFormatting sqref="F136:G1048576 G86:G135">
    <cfRule type="cellIs" dxfId="1426" priority="5487" operator="lessThan">
      <formula>0</formula>
    </cfRule>
  </conditionalFormatting>
  <conditionalFormatting sqref="F136:G1048576 G86:G135">
    <cfRule type="cellIs" dxfId="1425" priority="5486" operator="lessThan">
      <formula>0</formula>
    </cfRule>
  </conditionalFormatting>
  <conditionalFormatting sqref="F136:G1048576 G86:G135">
    <cfRule type="cellIs" dxfId="1424" priority="5485" operator="lessThan">
      <formula>0</formula>
    </cfRule>
  </conditionalFormatting>
  <conditionalFormatting sqref="F136:G1048576 G86:G135">
    <cfRule type="cellIs" dxfId="1423" priority="5484" operator="lessThan">
      <formula>0</formula>
    </cfRule>
  </conditionalFormatting>
  <conditionalFormatting sqref="F136:G1048576 G86:G135">
    <cfRule type="cellIs" dxfId="1422" priority="5483" operator="lessThan">
      <formula>0</formula>
    </cfRule>
  </conditionalFormatting>
  <conditionalFormatting sqref="F136:G1048576 G86:G135">
    <cfRule type="cellIs" dxfId="1421" priority="5482" operator="lessThan">
      <formula>0</formula>
    </cfRule>
  </conditionalFormatting>
  <conditionalFormatting sqref="F136:G1048576 G86:G135">
    <cfRule type="cellIs" dxfId="1420" priority="5481" operator="lessThan">
      <formula>0</formula>
    </cfRule>
  </conditionalFormatting>
  <conditionalFormatting sqref="F136:G1048576 G86:G135">
    <cfRule type="cellIs" dxfId="1419" priority="5480" operator="lessThan">
      <formula>0</formula>
    </cfRule>
  </conditionalFormatting>
  <conditionalFormatting sqref="F136:G1048576 G86:G135">
    <cfRule type="cellIs" dxfId="1418" priority="5479" operator="lessThan">
      <formula>0</formula>
    </cfRule>
  </conditionalFormatting>
  <conditionalFormatting sqref="F136:G1048576 G86:G135">
    <cfRule type="cellIs" dxfId="1417" priority="5478" operator="lessThan">
      <formula>0</formula>
    </cfRule>
  </conditionalFormatting>
  <conditionalFormatting sqref="F136:G1048576 G86:G135">
    <cfRule type="cellIs" dxfId="1416" priority="5477" operator="lessThan">
      <formula>0</formula>
    </cfRule>
  </conditionalFormatting>
  <conditionalFormatting sqref="F136:G1048576 G86:G135">
    <cfRule type="cellIs" dxfId="1415" priority="5476" operator="lessThan">
      <formula>0</formula>
    </cfRule>
  </conditionalFormatting>
  <conditionalFormatting sqref="F136:G1048576 G86:G135">
    <cfRule type="cellIs" dxfId="1414" priority="5475" operator="lessThan">
      <formula>0</formula>
    </cfRule>
  </conditionalFormatting>
  <conditionalFormatting sqref="F136:G1048576 G86:G135">
    <cfRule type="cellIs" dxfId="1413" priority="5474" operator="lessThan">
      <formula>0</formula>
    </cfRule>
  </conditionalFormatting>
  <conditionalFormatting sqref="F136:G1048576 G86:G135">
    <cfRule type="cellIs" dxfId="1412" priority="5473" operator="lessThan">
      <formula>0</formula>
    </cfRule>
  </conditionalFormatting>
  <conditionalFormatting sqref="F136:G1048576 G86:G135">
    <cfRule type="cellIs" dxfId="1411" priority="5472" operator="lessThan">
      <formula>0</formula>
    </cfRule>
  </conditionalFormatting>
  <conditionalFormatting sqref="F136:G1048576 G86:G135">
    <cfRule type="cellIs" dxfId="1410" priority="5471" operator="lessThan">
      <formula>0</formula>
    </cfRule>
  </conditionalFormatting>
  <conditionalFormatting sqref="F136:G1048576 G86:G135">
    <cfRule type="cellIs" dxfId="1409" priority="5470" operator="lessThan">
      <formula>0</formula>
    </cfRule>
  </conditionalFormatting>
  <conditionalFormatting sqref="F136:G1048576 G86:G135">
    <cfRule type="cellIs" dxfId="1408" priority="5469" operator="lessThan">
      <formula>0</formula>
    </cfRule>
  </conditionalFormatting>
  <conditionalFormatting sqref="F136:G1048576 G86:G135">
    <cfRule type="cellIs" dxfId="1407" priority="5468" operator="lessThan">
      <formula>0</formula>
    </cfRule>
  </conditionalFormatting>
  <conditionalFormatting sqref="F136:G1048576 G86:G135">
    <cfRule type="cellIs" dxfId="1406" priority="5467" operator="lessThan">
      <formula>0</formula>
    </cfRule>
  </conditionalFormatting>
  <conditionalFormatting sqref="F136:G1048576 G86:G135">
    <cfRule type="cellIs" dxfId="1405" priority="5466" operator="lessThan">
      <formula>0</formula>
    </cfRule>
  </conditionalFormatting>
  <conditionalFormatting sqref="F136:G1048576 G86:G135">
    <cfRule type="cellIs" dxfId="1404" priority="5465" operator="lessThan">
      <formula>0</formula>
    </cfRule>
  </conditionalFormatting>
  <conditionalFormatting sqref="F136:G1048576 G86:G135">
    <cfRule type="cellIs" dxfId="1403" priority="5464" operator="lessThan">
      <formula>0</formula>
    </cfRule>
  </conditionalFormatting>
  <conditionalFormatting sqref="F136:G1048576 G86:G135">
    <cfRule type="cellIs" dxfId="1402" priority="5463" operator="lessThan">
      <formula>0</formula>
    </cfRule>
  </conditionalFormatting>
  <conditionalFormatting sqref="F136:G1048576 G61:G135">
    <cfRule type="cellIs" dxfId="1401" priority="5462" operator="lessThan">
      <formula>0</formula>
    </cfRule>
  </conditionalFormatting>
  <conditionalFormatting sqref="F136:G1048576 G61:G135">
    <cfRule type="cellIs" dxfId="1400" priority="5461" operator="lessThan">
      <formula>0</formula>
    </cfRule>
  </conditionalFormatting>
  <conditionalFormatting sqref="F136:G1048576 G61:G135">
    <cfRule type="cellIs" dxfId="1399" priority="5460" operator="lessThan">
      <formula>0</formula>
    </cfRule>
  </conditionalFormatting>
  <conditionalFormatting sqref="F136:G1048576 G61:G135">
    <cfRule type="cellIs" dxfId="1398" priority="5459" operator="lessThan">
      <formula>0</formula>
    </cfRule>
  </conditionalFormatting>
  <conditionalFormatting sqref="F136:G1048576 G61:G135">
    <cfRule type="cellIs" dxfId="1397" priority="5458" operator="lessThan">
      <formula>0</formula>
    </cfRule>
  </conditionalFormatting>
  <conditionalFormatting sqref="F136:G1048576 G61:G135">
    <cfRule type="cellIs" dxfId="1396" priority="5457" operator="lessThan">
      <formula>0</formula>
    </cfRule>
  </conditionalFormatting>
  <conditionalFormatting sqref="F136:G1048576 G61:G135">
    <cfRule type="cellIs" dxfId="1395" priority="5456" operator="lessThan">
      <formula>0</formula>
    </cfRule>
  </conditionalFormatting>
  <conditionalFormatting sqref="F136:G1048576 G61:G135">
    <cfRule type="cellIs" dxfId="1394" priority="5455" operator="lessThan">
      <formula>0</formula>
    </cfRule>
  </conditionalFormatting>
  <conditionalFormatting sqref="F136:G1048576 G61:G135">
    <cfRule type="cellIs" dxfId="1393" priority="5454" operator="lessThan">
      <formula>0</formula>
    </cfRule>
  </conditionalFormatting>
  <conditionalFormatting sqref="F136:G1048576 G61:G135">
    <cfRule type="cellIs" dxfId="1392" priority="5453" operator="lessThan">
      <formula>0</formula>
    </cfRule>
  </conditionalFormatting>
  <conditionalFormatting sqref="F136:G1048576 G61:G135">
    <cfRule type="cellIs" dxfId="1391" priority="5452" operator="lessThan">
      <formula>0</formula>
    </cfRule>
  </conditionalFormatting>
  <conditionalFormatting sqref="F136:G1048576 G61:G135">
    <cfRule type="cellIs" dxfId="1390" priority="5451" operator="lessThan">
      <formula>0</formula>
    </cfRule>
  </conditionalFormatting>
  <conditionalFormatting sqref="F136:G1048576 G61:G135">
    <cfRule type="cellIs" dxfId="1389" priority="5450" operator="lessThan">
      <formula>0</formula>
    </cfRule>
  </conditionalFormatting>
  <conditionalFormatting sqref="F136:G1048576 G61:G135">
    <cfRule type="cellIs" dxfId="1388" priority="5449" operator="lessThan">
      <formula>0</formula>
    </cfRule>
  </conditionalFormatting>
  <conditionalFormatting sqref="F136:G1048576 G61:G135">
    <cfRule type="cellIs" dxfId="1387" priority="5448" operator="lessThan">
      <formula>0</formula>
    </cfRule>
  </conditionalFormatting>
  <conditionalFormatting sqref="F136:G1048576 G61:G135">
    <cfRule type="cellIs" dxfId="1386" priority="5447" operator="lessThan">
      <formula>0</formula>
    </cfRule>
  </conditionalFormatting>
  <conditionalFormatting sqref="F136:G1048576 G61:G135">
    <cfRule type="cellIs" dxfId="1385" priority="5446" operator="lessThan">
      <formula>0</formula>
    </cfRule>
  </conditionalFormatting>
  <conditionalFormatting sqref="F136:G1048576 G61:G135">
    <cfRule type="cellIs" dxfId="1384" priority="5445" operator="lessThan">
      <formula>0</formula>
    </cfRule>
  </conditionalFormatting>
  <conditionalFormatting sqref="F136:G1048576 G61:G135">
    <cfRule type="cellIs" dxfId="1383" priority="5444" operator="lessThan">
      <formula>0</formula>
    </cfRule>
  </conditionalFormatting>
  <conditionalFormatting sqref="F136:G1048576 G61:G135">
    <cfRule type="cellIs" dxfId="1382" priority="5443" operator="lessThan">
      <formula>0</formula>
    </cfRule>
  </conditionalFormatting>
  <conditionalFormatting sqref="F136:G1048576 G61:G135">
    <cfRule type="cellIs" dxfId="1381" priority="5442" operator="lessThan">
      <formula>0</formula>
    </cfRule>
  </conditionalFormatting>
  <conditionalFormatting sqref="F136:G1048576 G61:G135">
    <cfRule type="cellIs" dxfId="1380" priority="5441" operator="lessThan">
      <formula>0</formula>
    </cfRule>
  </conditionalFormatting>
  <conditionalFormatting sqref="F136:G1048576 G61:G135">
    <cfRule type="cellIs" dxfId="1379" priority="5440" operator="lessThan">
      <formula>0</formula>
    </cfRule>
  </conditionalFormatting>
  <conditionalFormatting sqref="F136:G1048576 G61:G135">
    <cfRule type="cellIs" dxfId="1378" priority="5439" operator="lessThan">
      <formula>0</formula>
    </cfRule>
  </conditionalFormatting>
  <conditionalFormatting sqref="F136:G1048576 G61:G135">
    <cfRule type="cellIs" dxfId="1377" priority="5438" operator="lessThan">
      <formula>0</formula>
    </cfRule>
  </conditionalFormatting>
  <conditionalFormatting sqref="F136:G1048576 G61:G135">
    <cfRule type="cellIs" dxfId="1376" priority="5437" operator="lessThan">
      <formula>0</formula>
    </cfRule>
  </conditionalFormatting>
  <conditionalFormatting sqref="F136:G1048576 G61:G135">
    <cfRule type="cellIs" dxfId="1375" priority="5436" operator="lessThan">
      <formula>0</formula>
    </cfRule>
  </conditionalFormatting>
  <conditionalFormatting sqref="F136:G1048576 G61:G135">
    <cfRule type="cellIs" dxfId="1374" priority="5435" operator="lessThan">
      <formula>0</formula>
    </cfRule>
  </conditionalFormatting>
  <conditionalFormatting sqref="F136:G1048576 G61:G135">
    <cfRule type="cellIs" dxfId="1373" priority="5434" operator="lessThan">
      <formula>0</formula>
    </cfRule>
  </conditionalFormatting>
  <conditionalFormatting sqref="F136:G1048576 G61:G135">
    <cfRule type="cellIs" dxfId="1372" priority="5433" operator="lessThan">
      <formula>0</formula>
    </cfRule>
  </conditionalFormatting>
  <conditionalFormatting sqref="F136:G1048576 G61:G135">
    <cfRule type="cellIs" dxfId="1371" priority="5432" operator="lessThan">
      <formula>0</formula>
    </cfRule>
  </conditionalFormatting>
  <conditionalFormatting sqref="F136:G1048576 G61:G135">
    <cfRule type="cellIs" dxfId="1370" priority="5431" operator="lessThan">
      <formula>0</formula>
    </cfRule>
  </conditionalFormatting>
  <conditionalFormatting sqref="F136:G1048576 G61:G135">
    <cfRule type="cellIs" dxfId="1369" priority="5430" operator="lessThan">
      <formula>0</formula>
    </cfRule>
  </conditionalFormatting>
  <conditionalFormatting sqref="F136:G1048576 G61:G135">
    <cfRule type="cellIs" dxfId="1368" priority="5429" operator="lessThan">
      <formula>0</formula>
    </cfRule>
  </conditionalFormatting>
  <conditionalFormatting sqref="F136:G1048576 G61:G135">
    <cfRule type="cellIs" dxfId="1367" priority="5428" operator="lessThan">
      <formula>0</formula>
    </cfRule>
  </conditionalFormatting>
  <conditionalFormatting sqref="F136:G1048576 G61:G135">
    <cfRule type="cellIs" dxfId="1366" priority="5427" operator="lessThan">
      <formula>0</formula>
    </cfRule>
  </conditionalFormatting>
  <conditionalFormatting sqref="F136:G1048576 G61:G135">
    <cfRule type="cellIs" dxfId="1365" priority="5426" operator="lessThan">
      <formula>0</formula>
    </cfRule>
  </conditionalFormatting>
  <conditionalFormatting sqref="F136:G1048576 G61:G135">
    <cfRule type="cellIs" dxfId="1364" priority="5425" operator="lessThan">
      <formula>0</formula>
    </cfRule>
  </conditionalFormatting>
  <conditionalFormatting sqref="F136:G1048576 G61:G135">
    <cfRule type="cellIs" dxfId="1363" priority="5424" operator="lessThan">
      <formula>0</formula>
    </cfRule>
  </conditionalFormatting>
  <conditionalFormatting sqref="F136:G1048576 G61:G135">
    <cfRule type="cellIs" dxfId="1362" priority="5423" operator="lessThan">
      <formula>0</formula>
    </cfRule>
  </conditionalFormatting>
  <conditionalFormatting sqref="F136:G1048576 G61:G135">
    <cfRule type="cellIs" dxfId="1361" priority="5422" operator="lessThan">
      <formula>0</formula>
    </cfRule>
  </conditionalFormatting>
  <conditionalFormatting sqref="F136:G1048576 G61:G135">
    <cfRule type="cellIs" dxfId="1360" priority="5421" operator="lessThan">
      <formula>0</formula>
    </cfRule>
  </conditionalFormatting>
  <conditionalFormatting sqref="F136:G1048576 G61:G135">
    <cfRule type="cellIs" dxfId="1359" priority="5420" operator="lessThan">
      <formula>0</formula>
    </cfRule>
  </conditionalFormatting>
  <conditionalFormatting sqref="F136:G1048576 G61:G135">
    <cfRule type="cellIs" dxfId="1358" priority="5419" operator="lessThan">
      <formula>0</formula>
    </cfRule>
  </conditionalFormatting>
  <conditionalFormatting sqref="F136:G1048576 G61:G135">
    <cfRule type="cellIs" dxfId="1357" priority="5418" operator="lessThan">
      <formula>0</formula>
    </cfRule>
  </conditionalFormatting>
  <conditionalFormatting sqref="F136:G1048576 G61:G135">
    <cfRule type="cellIs" dxfId="1356" priority="5417" operator="lessThan">
      <formula>0</formula>
    </cfRule>
  </conditionalFormatting>
  <conditionalFormatting sqref="F136:G1048576 G61:G135">
    <cfRule type="cellIs" dxfId="1355" priority="5416" operator="lessThan">
      <formula>0</formula>
    </cfRule>
  </conditionalFormatting>
  <conditionalFormatting sqref="F136:G1048576 G61:G135">
    <cfRule type="cellIs" dxfId="1354" priority="5415" operator="lessThan">
      <formula>0</formula>
    </cfRule>
  </conditionalFormatting>
  <conditionalFormatting sqref="F136:G1048576 G61:G135">
    <cfRule type="cellIs" dxfId="1353" priority="5414" operator="lessThan">
      <formula>0</formula>
    </cfRule>
  </conditionalFormatting>
  <conditionalFormatting sqref="F136:G1048576 G61:G135">
    <cfRule type="cellIs" dxfId="1352" priority="5413" operator="lessThan">
      <formula>0</formula>
    </cfRule>
  </conditionalFormatting>
  <conditionalFormatting sqref="F136:G1048576 G61:G135">
    <cfRule type="cellIs" dxfId="1351" priority="5412" operator="lessThan">
      <formula>0</formula>
    </cfRule>
  </conditionalFormatting>
  <conditionalFormatting sqref="F136:G1048576 G61:G135">
    <cfRule type="cellIs" dxfId="1350" priority="5411" operator="lessThan">
      <formula>0</formula>
    </cfRule>
  </conditionalFormatting>
  <conditionalFormatting sqref="F136:G1048576 G61:G135">
    <cfRule type="cellIs" dxfId="1349" priority="5410" operator="lessThan">
      <formula>0</formula>
    </cfRule>
  </conditionalFormatting>
  <conditionalFormatting sqref="F136:G1048576 G61:G135">
    <cfRule type="cellIs" dxfId="1348" priority="5409" operator="lessThan">
      <formula>0</formula>
    </cfRule>
  </conditionalFormatting>
  <conditionalFormatting sqref="F136:G1048576 G61:G135">
    <cfRule type="cellIs" dxfId="1347" priority="5408" operator="lessThan">
      <formula>0</formula>
    </cfRule>
  </conditionalFormatting>
  <conditionalFormatting sqref="F136:G1048576 G61:G135">
    <cfRule type="cellIs" dxfId="1346" priority="5407" operator="lessThan">
      <formula>0</formula>
    </cfRule>
  </conditionalFormatting>
  <conditionalFormatting sqref="F136:G1048576 G61:G135">
    <cfRule type="cellIs" dxfId="1345" priority="5406" operator="lessThan">
      <formula>0</formula>
    </cfRule>
  </conditionalFormatting>
  <conditionalFormatting sqref="F136:G1048576 G61:G135">
    <cfRule type="cellIs" dxfId="1344" priority="5405" operator="lessThan">
      <formula>0</formula>
    </cfRule>
  </conditionalFormatting>
  <conditionalFormatting sqref="F136:G1048576 G61:G135">
    <cfRule type="cellIs" dxfId="1343" priority="5404" operator="lessThan">
      <formula>0</formula>
    </cfRule>
  </conditionalFormatting>
  <conditionalFormatting sqref="F136:G1048576 G61:G135">
    <cfRule type="cellIs" dxfId="1342" priority="5403" operator="lessThan">
      <formula>0</formula>
    </cfRule>
  </conditionalFormatting>
  <conditionalFormatting sqref="F136:G1048576 G61:G135">
    <cfRule type="cellIs" dxfId="1341" priority="5402" operator="lessThan">
      <formula>0</formula>
    </cfRule>
  </conditionalFormatting>
  <conditionalFormatting sqref="F136:G1048576 G61:G135">
    <cfRule type="cellIs" dxfId="1340" priority="5401" operator="lessThan">
      <formula>0</formula>
    </cfRule>
  </conditionalFormatting>
  <conditionalFormatting sqref="F136:G1048576 G61:G135">
    <cfRule type="cellIs" dxfId="1339" priority="5400" operator="lessThan">
      <formula>0</formula>
    </cfRule>
  </conditionalFormatting>
  <conditionalFormatting sqref="F136:G1048576 G61:G135">
    <cfRule type="cellIs" dxfId="1338" priority="5399" operator="lessThan">
      <formula>0</formula>
    </cfRule>
  </conditionalFormatting>
  <conditionalFormatting sqref="F136:G1048576 G61:G135">
    <cfRule type="cellIs" dxfId="1337" priority="5398" operator="lessThan">
      <formula>0</formula>
    </cfRule>
  </conditionalFormatting>
  <conditionalFormatting sqref="F136:G1048576 G61:G135">
    <cfRule type="cellIs" dxfId="1336" priority="5397" operator="lessThan">
      <formula>0</formula>
    </cfRule>
  </conditionalFormatting>
  <conditionalFormatting sqref="F136:G1048576 G61:G135">
    <cfRule type="cellIs" dxfId="1335" priority="5396" operator="lessThan">
      <formula>0</formula>
    </cfRule>
  </conditionalFormatting>
  <conditionalFormatting sqref="F136:G1048576 G61:G135">
    <cfRule type="cellIs" dxfId="1334" priority="5395" operator="lessThan">
      <formula>0</formula>
    </cfRule>
  </conditionalFormatting>
  <conditionalFormatting sqref="F136:G1048576 G61:G135">
    <cfRule type="cellIs" dxfId="1333" priority="5394" operator="lessThan">
      <formula>0</formula>
    </cfRule>
  </conditionalFormatting>
  <conditionalFormatting sqref="F136:G1048576 G61:G135">
    <cfRule type="cellIs" dxfId="1332" priority="5393" operator="lessThan">
      <formula>0</formula>
    </cfRule>
  </conditionalFormatting>
  <conditionalFormatting sqref="F136:G1048576 G61:G135">
    <cfRule type="cellIs" dxfId="1331" priority="5392" operator="lessThan">
      <formula>0</formula>
    </cfRule>
  </conditionalFormatting>
  <conditionalFormatting sqref="F136:G1048576 G61:G135">
    <cfRule type="cellIs" dxfId="1330" priority="5391" operator="lessThan">
      <formula>0</formula>
    </cfRule>
  </conditionalFormatting>
  <conditionalFormatting sqref="F136:G1048576 G61:G135">
    <cfRule type="cellIs" dxfId="1329" priority="5390" operator="lessThan">
      <formula>0</formula>
    </cfRule>
  </conditionalFormatting>
  <conditionalFormatting sqref="F136:G1048576 G61:G135">
    <cfRule type="cellIs" dxfId="1328" priority="5389" operator="lessThan">
      <formula>0</formula>
    </cfRule>
  </conditionalFormatting>
  <conditionalFormatting sqref="F136:G1048576 G61:G135">
    <cfRule type="cellIs" dxfId="1327" priority="5388" operator="lessThan">
      <formula>0</formula>
    </cfRule>
  </conditionalFormatting>
  <conditionalFormatting sqref="F136:G1048576 G61:G135">
    <cfRule type="cellIs" dxfId="1326" priority="5387" operator="lessThan">
      <formula>0</formula>
    </cfRule>
  </conditionalFormatting>
  <conditionalFormatting sqref="F136:G1048576 G61:G135">
    <cfRule type="cellIs" dxfId="1325" priority="5386" operator="lessThan">
      <formula>0</formula>
    </cfRule>
  </conditionalFormatting>
  <conditionalFormatting sqref="F136:G1048576 G61:G135">
    <cfRule type="cellIs" dxfId="1324" priority="5385" operator="lessThan">
      <formula>0</formula>
    </cfRule>
  </conditionalFormatting>
  <conditionalFormatting sqref="F136:G1048576 G61:G135">
    <cfRule type="cellIs" dxfId="1323" priority="5384" operator="lessThan">
      <formula>0</formula>
    </cfRule>
  </conditionalFormatting>
  <conditionalFormatting sqref="F136:G1048576 G61:G135">
    <cfRule type="cellIs" dxfId="1322" priority="5383" operator="lessThan">
      <formula>0</formula>
    </cfRule>
  </conditionalFormatting>
  <conditionalFormatting sqref="F136:G1048576 G61:G135">
    <cfRule type="cellIs" dxfId="1321" priority="5382" operator="lessThan">
      <formula>0</formula>
    </cfRule>
  </conditionalFormatting>
  <conditionalFormatting sqref="F136:G1048576 G61:G135">
    <cfRule type="cellIs" dxfId="1320" priority="5381" operator="lessThan">
      <formula>0</formula>
    </cfRule>
  </conditionalFormatting>
  <conditionalFormatting sqref="F136:G1048576 G61:G135">
    <cfRule type="cellIs" dxfId="1319" priority="5380" operator="lessThan">
      <formula>0</formula>
    </cfRule>
  </conditionalFormatting>
  <conditionalFormatting sqref="F136:G1048576 G61:G135">
    <cfRule type="cellIs" dxfId="1318" priority="5379" operator="lessThan">
      <formula>0</formula>
    </cfRule>
  </conditionalFormatting>
  <conditionalFormatting sqref="F136:G1048576 G61:G135">
    <cfRule type="cellIs" dxfId="1317" priority="5378" operator="lessThan">
      <formula>0</formula>
    </cfRule>
  </conditionalFormatting>
  <conditionalFormatting sqref="F136:G1048576 G61:G135">
    <cfRule type="cellIs" dxfId="1316" priority="5377" operator="lessThan">
      <formula>0</formula>
    </cfRule>
  </conditionalFormatting>
  <conditionalFormatting sqref="F136:G1048576 G61:G135">
    <cfRule type="cellIs" dxfId="1315" priority="5376" operator="lessThan">
      <formula>0</formula>
    </cfRule>
  </conditionalFormatting>
  <conditionalFormatting sqref="F136:G1048576 G61:G135">
    <cfRule type="cellIs" dxfId="1314" priority="5375" operator="lessThan">
      <formula>0</formula>
    </cfRule>
  </conditionalFormatting>
  <conditionalFormatting sqref="F136:G1048576 G61:G135">
    <cfRule type="cellIs" dxfId="1313" priority="5374" operator="lessThan">
      <formula>0</formula>
    </cfRule>
  </conditionalFormatting>
  <conditionalFormatting sqref="F136:G1048576 G61:G135">
    <cfRule type="cellIs" dxfId="1312" priority="5373" operator="lessThan">
      <formula>0</formula>
    </cfRule>
  </conditionalFormatting>
  <conditionalFormatting sqref="F136:G1048576 G61:G135">
    <cfRule type="cellIs" dxfId="1311" priority="5372" operator="lessThan">
      <formula>0</formula>
    </cfRule>
  </conditionalFormatting>
  <conditionalFormatting sqref="F136:G1048576 G61:G135">
    <cfRule type="cellIs" dxfId="1310" priority="5371" operator="lessThan">
      <formula>0</formula>
    </cfRule>
  </conditionalFormatting>
  <conditionalFormatting sqref="F136:G1048576 G61:G135">
    <cfRule type="cellIs" dxfId="1309" priority="5370" operator="lessThan">
      <formula>0</formula>
    </cfRule>
  </conditionalFormatting>
  <conditionalFormatting sqref="F136:G1048576 G61:G135">
    <cfRule type="cellIs" dxfId="1308" priority="5369" operator="lessThan">
      <formula>0</formula>
    </cfRule>
  </conditionalFormatting>
  <conditionalFormatting sqref="F136:G1048576 G61:G135">
    <cfRule type="cellIs" dxfId="1307" priority="5368" operator="lessThan">
      <formula>0</formula>
    </cfRule>
  </conditionalFormatting>
  <conditionalFormatting sqref="F136:G1048576 G61:G135">
    <cfRule type="cellIs" dxfId="1306" priority="5367" operator="lessThan">
      <formula>0</formula>
    </cfRule>
  </conditionalFormatting>
  <conditionalFormatting sqref="F136:G1048576 G61:G135">
    <cfRule type="cellIs" dxfId="1305" priority="5366" operator="lessThan">
      <formula>0</formula>
    </cfRule>
  </conditionalFormatting>
  <conditionalFormatting sqref="F136:G1048576 G61:G135">
    <cfRule type="cellIs" dxfId="1304" priority="5365" operator="lessThan">
      <formula>0</formula>
    </cfRule>
  </conditionalFormatting>
  <conditionalFormatting sqref="F136:G1048576 G61:G135">
    <cfRule type="cellIs" dxfId="1303" priority="5364" operator="lessThan">
      <formula>0</formula>
    </cfRule>
  </conditionalFormatting>
  <conditionalFormatting sqref="F136:G1048576 G61:G135">
    <cfRule type="cellIs" dxfId="1302" priority="5363" operator="lessThan">
      <formula>0</formula>
    </cfRule>
  </conditionalFormatting>
  <conditionalFormatting sqref="F136:G1048576 G61:G135">
    <cfRule type="cellIs" dxfId="1301" priority="5362" operator="lessThan">
      <formula>0</formula>
    </cfRule>
  </conditionalFormatting>
  <conditionalFormatting sqref="F136:G1048576 G61:G135">
    <cfRule type="cellIs" dxfId="1300" priority="5361" operator="lessThan">
      <formula>0</formula>
    </cfRule>
  </conditionalFormatting>
  <conditionalFormatting sqref="F136:G1048576 G61:G135">
    <cfRule type="cellIs" dxfId="1299" priority="5360" operator="lessThan">
      <formula>0</formula>
    </cfRule>
  </conditionalFormatting>
  <conditionalFormatting sqref="F136:G1048576 G61:G135">
    <cfRule type="cellIs" dxfId="1298" priority="5359" operator="lessThan">
      <formula>0</formula>
    </cfRule>
  </conditionalFormatting>
  <conditionalFormatting sqref="F136:G1048576 G61:G135">
    <cfRule type="cellIs" dxfId="1297" priority="5358" operator="lessThan">
      <formula>0</formula>
    </cfRule>
  </conditionalFormatting>
  <conditionalFormatting sqref="F136:G1048576 G61:G135">
    <cfRule type="cellIs" dxfId="1296" priority="5357" operator="lessThan">
      <formula>0</formula>
    </cfRule>
  </conditionalFormatting>
  <conditionalFormatting sqref="F136:G1048576 G61:G135">
    <cfRule type="cellIs" dxfId="1295" priority="5356" operator="lessThan">
      <formula>0</formula>
    </cfRule>
  </conditionalFormatting>
  <conditionalFormatting sqref="F136:G1048576 G61:G135">
    <cfRule type="cellIs" dxfId="1294" priority="5355" operator="lessThan">
      <formula>0</formula>
    </cfRule>
  </conditionalFormatting>
  <conditionalFormatting sqref="F136:G1048576 G61:G135">
    <cfRule type="cellIs" dxfId="1293" priority="5354" operator="lessThan">
      <formula>0</formula>
    </cfRule>
  </conditionalFormatting>
  <conditionalFormatting sqref="F136:G1048576 G61:G135">
    <cfRule type="cellIs" dxfId="1292" priority="5353" operator="lessThan">
      <formula>0</formula>
    </cfRule>
  </conditionalFormatting>
  <conditionalFormatting sqref="F136:G1048576 G61:G135">
    <cfRule type="cellIs" dxfId="1291" priority="5352" operator="lessThan">
      <formula>0</formula>
    </cfRule>
  </conditionalFormatting>
  <conditionalFormatting sqref="F136:G1048576 G61:G135">
    <cfRule type="cellIs" dxfId="1290" priority="5351" operator="lessThan">
      <formula>0</formula>
    </cfRule>
  </conditionalFormatting>
  <conditionalFormatting sqref="F136:G1048576 G61:G135">
    <cfRule type="cellIs" dxfId="1289" priority="5350" operator="lessThan">
      <formula>0</formula>
    </cfRule>
  </conditionalFormatting>
  <conditionalFormatting sqref="F136:G1048576 G61:G135">
    <cfRule type="cellIs" dxfId="1288" priority="5349" operator="lessThan">
      <formula>0</formula>
    </cfRule>
  </conditionalFormatting>
  <conditionalFormatting sqref="F136:G1048576 G61:G135">
    <cfRule type="cellIs" dxfId="1287" priority="5348" operator="lessThan">
      <formula>0</formula>
    </cfRule>
  </conditionalFormatting>
  <conditionalFormatting sqref="F136:G1048576 G61:G135">
    <cfRule type="cellIs" dxfId="1286" priority="5347" operator="lessThan">
      <formula>0</formula>
    </cfRule>
  </conditionalFormatting>
  <conditionalFormatting sqref="F136:G1048576 G61:G135">
    <cfRule type="cellIs" dxfId="1285" priority="5346" operator="lessThan">
      <formula>0</formula>
    </cfRule>
  </conditionalFormatting>
  <conditionalFormatting sqref="F136:G1048576 G61:G135">
    <cfRule type="cellIs" dxfId="1284" priority="5345" operator="lessThan">
      <formula>0</formula>
    </cfRule>
  </conditionalFormatting>
  <conditionalFormatting sqref="F136:G1048576 G61:G135">
    <cfRule type="cellIs" dxfId="1283" priority="5344" operator="lessThan">
      <formula>0</formula>
    </cfRule>
  </conditionalFormatting>
  <conditionalFormatting sqref="F136:G1048576 G61:G135">
    <cfRule type="cellIs" dxfId="1282" priority="5343" operator="lessThan">
      <formula>0</formula>
    </cfRule>
  </conditionalFormatting>
  <conditionalFormatting sqref="F136:G1048576 G61:G135">
    <cfRule type="cellIs" dxfId="1281" priority="5342" operator="lessThan">
      <formula>0</formula>
    </cfRule>
  </conditionalFormatting>
  <conditionalFormatting sqref="F136:G1048576 G61:G135">
    <cfRule type="cellIs" dxfId="1280" priority="5341" operator="lessThan">
      <formula>0</formula>
    </cfRule>
  </conditionalFormatting>
  <conditionalFormatting sqref="F136:G1048576 G61:G135">
    <cfRule type="cellIs" dxfId="1279" priority="5340" operator="lessThan">
      <formula>0</formula>
    </cfRule>
  </conditionalFormatting>
  <conditionalFormatting sqref="F136:G1048576 G61:G135">
    <cfRule type="cellIs" dxfId="1278" priority="5339" operator="lessThan">
      <formula>0</formula>
    </cfRule>
  </conditionalFormatting>
  <conditionalFormatting sqref="F136:G1048576 G61:G135">
    <cfRule type="cellIs" dxfId="1277" priority="5338" operator="lessThan">
      <formula>0</formula>
    </cfRule>
  </conditionalFormatting>
  <conditionalFormatting sqref="F136:G1048576 G61:G135">
    <cfRule type="cellIs" dxfId="1276" priority="5337" operator="lessThan">
      <formula>0</formula>
    </cfRule>
  </conditionalFormatting>
  <conditionalFormatting sqref="F136:G1048576 G61:G135">
    <cfRule type="cellIs" dxfId="1275" priority="5336" operator="lessThan">
      <formula>0</formula>
    </cfRule>
  </conditionalFormatting>
  <conditionalFormatting sqref="F136:G1048576 G61:G135">
    <cfRule type="cellIs" dxfId="1274" priority="5335" operator="lessThan">
      <formula>0</formula>
    </cfRule>
  </conditionalFormatting>
  <conditionalFormatting sqref="F136:G1048576 G61:G135">
    <cfRule type="cellIs" dxfId="1273" priority="5334" operator="lessThan">
      <formula>0</formula>
    </cfRule>
  </conditionalFormatting>
  <conditionalFormatting sqref="F136:G1048576 G61:G135">
    <cfRule type="cellIs" dxfId="1272" priority="5333" operator="lessThan">
      <formula>0</formula>
    </cfRule>
  </conditionalFormatting>
  <conditionalFormatting sqref="F136:G1048576 G61:G135">
    <cfRule type="cellIs" dxfId="1271" priority="5332" operator="lessThan">
      <formula>0</formula>
    </cfRule>
  </conditionalFormatting>
  <conditionalFormatting sqref="F136:G1048576 G61:G135">
    <cfRule type="cellIs" dxfId="1270" priority="5331" operator="lessThan">
      <formula>0</formula>
    </cfRule>
  </conditionalFormatting>
  <conditionalFormatting sqref="F136:G1048576 G61:G135">
    <cfRule type="cellIs" dxfId="1269" priority="5330" operator="lessThan">
      <formula>0</formula>
    </cfRule>
  </conditionalFormatting>
  <conditionalFormatting sqref="F136:G1048576 G61:G135">
    <cfRule type="cellIs" dxfId="1268" priority="5329" operator="lessThan">
      <formula>0</formula>
    </cfRule>
  </conditionalFormatting>
  <conditionalFormatting sqref="F136:G1048576 G61:G135">
    <cfRule type="cellIs" dxfId="1267" priority="5328" operator="lessThan">
      <formula>0</formula>
    </cfRule>
  </conditionalFormatting>
  <conditionalFormatting sqref="F136:G1048576 G61:G135">
    <cfRule type="cellIs" dxfId="1266" priority="5327" operator="lessThan">
      <formula>0</formula>
    </cfRule>
  </conditionalFormatting>
  <conditionalFormatting sqref="F136:G1048576 G61:G135">
    <cfRule type="cellIs" dxfId="1265" priority="5326" operator="lessThan">
      <formula>0</formula>
    </cfRule>
  </conditionalFormatting>
  <conditionalFormatting sqref="F136:G1048576 G61:G135">
    <cfRule type="cellIs" dxfId="1264" priority="5325" operator="lessThan">
      <formula>0</formula>
    </cfRule>
  </conditionalFormatting>
  <conditionalFormatting sqref="F136:G1048576 G61:G135">
    <cfRule type="cellIs" dxfId="1263" priority="5324" operator="lessThan">
      <formula>0</formula>
    </cfRule>
  </conditionalFormatting>
  <conditionalFormatting sqref="F136:G1048576 G61:G135">
    <cfRule type="cellIs" dxfId="1262" priority="5323" operator="lessThan">
      <formula>0</formula>
    </cfRule>
  </conditionalFormatting>
  <conditionalFormatting sqref="F136:G1048576 G61:G135">
    <cfRule type="cellIs" dxfId="1261" priority="5322" operator="lessThan">
      <formula>0</formula>
    </cfRule>
  </conditionalFormatting>
  <conditionalFormatting sqref="F136:G1048576 G61:G135">
    <cfRule type="cellIs" dxfId="1260" priority="5321" operator="lessThan">
      <formula>0</formula>
    </cfRule>
  </conditionalFormatting>
  <conditionalFormatting sqref="F136:G1048576 G61:G135">
    <cfRule type="cellIs" dxfId="1259" priority="5320" operator="lessThan">
      <formula>0</formula>
    </cfRule>
  </conditionalFormatting>
  <conditionalFormatting sqref="F136:G1048576 G61:G135">
    <cfRule type="cellIs" dxfId="1258" priority="5319" operator="lessThan">
      <formula>0</formula>
    </cfRule>
  </conditionalFormatting>
  <conditionalFormatting sqref="F136:G1048576 G61:G135">
    <cfRule type="cellIs" dxfId="1257" priority="5318" operator="lessThan">
      <formula>0</formula>
    </cfRule>
  </conditionalFormatting>
  <conditionalFormatting sqref="F136:G1048576 G61:G135">
    <cfRule type="cellIs" dxfId="1256" priority="5317" operator="lessThan">
      <formula>0</formula>
    </cfRule>
  </conditionalFormatting>
  <conditionalFormatting sqref="F136:G1048576 G61:G135">
    <cfRule type="cellIs" dxfId="1255" priority="5316" operator="lessThan">
      <formula>0</formula>
    </cfRule>
  </conditionalFormatting>
  <conditionalFormatting sqref="F136:G1048576 G61:G135">
    <cfRule type="cellIs" dxfId="1254" priority="5315" operator="lessThan">
      <formula>0</formula>
    </cfRule>
  </conditionalFormatting>
  <conditionalFormatting sqref="F136:G1048576 G61:G135">
    <cfRule type="cellIs" dxfId="1253" priority="5314" operator="lessThan">
      <formula>0</formula>
    </cfRule>
  </conditionalFormatting>
  <conditionalFormatting sqref="F136:G1048576 G61:G135">
    <cfRule type="cellIs" dxfId="1252" priority="5313" operator="lessThan">
      <formula>0</formula>
    </cfRule>
  </conditionalFormatting>
  <conditionalFormatting sqref="F136:G1048576 G61:G135">
    <cfRule type="cellIs" dxfId="1251" priority="5312" operator="lessThan">
      <formula>0</formula>
    </cfRule>
  </conditionalFormatting>
  <conditionalFormatting sqref="F136:G1048576 G61:G135">
    <cfRule type="cellIs" dxfId="1250" priority="5311" operator="lessThan">
      <formula>0</formula>
    </cfRule>
  </conditionalFormatting>
  <conditionalFormatting sqref="F136:G1048576 G61:G135">
    <cfRule type="cellIs" dxfId="1249" priority="5310" operator="lessThan">
      <formula>0</formula>
    </cfRule>
  </conditionalFormatting>
  <conditionalFormatting sqref="F136:G1048576 G61:G135">
    <cfRule type="cellIs" dxfId="1248" priority="5309" operator="lessThan">
      <formula>0</formula>
    </cfRule>
  </conditionalFormatting>
  <conditionalFormatting sqref="F136:G1048576 G61:G135">
    <cfRule type="cellIs" dxfId="1247" priority="5308" operator="lessThan">
      <formula>0</formula>
    </cfRule>
  </conditionalFormatting>
  <conditionalFormatting sqref="F136:G1048576 G61:G135">
    <cfRule type="cellIs" dxfId="1246" priority="5307" operator="lessThan">
      <formula>0</formula>
    </cfRule>
  </conditionalFormatting>
  <conditionalFormatting sqref="F136:G1048576 G61:G135">
    <cfRule type="cellIs" dxfId="1245" priority="5306" operator="lessThan">
      <formula>0</formula>
    </cfRule>
  </conditionalFormatting>
  <conditionalFormatting sqref="F136:G1048576 G61:G135">
    <cfRule type="cellIs" dxfId="1244" priority="5305" operator="lessThan">
      <formula>0</formula>
    </cfRule>
  </conditionalFormatting>
  <conditionalFormatting sqref="F136:G1048576 G61:G135">
    <cfRule type="cellIs" dxfId="1243" priority="5304" operator="lessThan">
      <formula>0</formula>
    </cfRule>
  </conditionalFormatting>
  <conditionalFormatting sqref="F136:G1048576 G61:G135">
    <cfRule type="cellIs" dxfId="1242" priority="5303" operator="lessThan">
      <formula>0</formula>
    </cfRule>
  </conditionalFormatting>
  <conditionalFormatting sqref="F136:G1048576 G61:G135">
    <cfRule type="cellIs" dxfId="1241" priority="5302" operator="lessThan">
      <formula>0</formula>
    </cfRule>
  </conditionalFormatting>
  <conditionalFormatting sqref="G42">
    <cfRule type="cellIs" dxfId="1240" priority="4599" operator="lessThan">
      <formula>0</formula>
    </cfRule>
  </conditionalFormatting>
  <conditionalFormatting sqref="G42">
    <cfRule type="cellIs" dxfId="1239" priority="4598" operator="lessThan">
      <formula>0</formula>
    </cfRule>
  </conditionalFormatting>
  <conditionalFormatting sqref="G42">
    <cfRule type="cellIs" dxfId="1238" priority="4597" operator="lessThan">
      <formula>0</formula>
    </cfRule>
  </conditionalFormatting>
  <conditionalFormatting sqref="G42">
    <cfRule type="cellIs" dxfId="1237" priority="4596" operator="lessThan">
      <formula>0</formula>
    </cfRule>
  </conditionalFormatting>
  <conditionalFormatting sqref="G42">
    <cfRule type="cellIs" dxfId="1236" priority="4595" operator="lessThan">
      <formula>0</formula>
    </cfRule>
  </conditionalFormatting>
  <conditionalFormatting sqref="G42">
    <cfRule type="cellIs" dxfId="1235" priority="4594" operator="lessThan">
      <formula>0</formula>
    </cfRule>
  </conditionalFormatting>
  <conditionalFormatting sqref="G42">
    <cfRule type="cellIs" dxfId="1234" priority="4593" operator="lessThan">
      <formula>0</formula>
    </cfRule>
  </conditionalFormatting>
  <conditionalFormatting sqref="G42">
    <cfRule type="cellIs" dxfId="1233" priority="4592" operator="lessThan">
      <formula>0</formula>
    </cfRule>
  </conditionalFormatting>
  <conditionalFormatting sqref="G42">
    <cfRule type="cellIs" dxfId="1232" priority="4591" operator="lessThan">
      <formula>0</formula>
    </cfRule>
  </conditionalFormatting>
  <conditionalFormatting sqref="G42">
    <cfRule type="cellIs" dxfId="1231" priority="4590" operator="lessThan">
      <formula>0</formula>
    </cfRule>
  </conditionalFormatting>
  <conditionalFormatting sqref="G42">
    <cfRule type="cellIs" dxfId="1230" priority="4589" operator="lessThan">
      <formula>0</formula>
    </cfRule>
  </conditionalFormatting>
  <conditionalFormatting sqref="G42">
    <cfRule type="cellIs" dxfId="1229" priority="4588" operator="lessThan">
      <formula>0</formula>
    </cfRule>
  </conditionalFormatting>
  <conditionalFormatting sqref="G42">
    <cfRule type="cellIs" dxfId="1228" priority="4587" operator="lessThan">
      <formula>0</formula>
    </cfRule>
  </conditionalFormatting>
  <conditionalFormatting sqref="G42">
    <cfRule type="cellIs" dxfId="1227" priority="4586" operator="lessThan">
      <formula>0</formula>
    </cfRule>
  </conditionalFormatting>
  <conditionalFormatting sqref="G42">
    <cfRule type="cellIs" dxfId="1226" priority="4585" operator="lessThan">
      <formula>0</formula>
    </cfRule>
  </conditionalFormatting>
  <conditionalFormatting sqref="G42">
    <cfRule type="cellIs" dxfId="1225" priority="4584" operator="lessThan">
      <formula>0</formula>
    </cfRule>
  </conditionalFormatting>
  <conditionalFormatting sqref="G42">
    <cfRule type="cellIs" dxfId="1224" priority="4583" operator="lessThan">
      <formula>0</formula>
    </cfRule>
  </conditionalFormatting>
  <conditionalFormatting sqref="G42">
    <cfRule type="cellIs" dxfId="1223" priority="4582" operator="lessThan">
      <formula>0</formula>
    </cfRule>
  </conditionalFormatting>
  <conditionalFormatting sqref="G42">
    <cfRule type="cellIs" dxfId="1222" priority="4581" operator="lessThan">
      <formula>0</formula>
    </cfRule>
  </conditionalFormatting>
  <conditionalFormatting pivot="1" sqref="F13:F44">
    <cfRule type="cellIs" dxfId="1221" priority="3526" operator="lessThan">
      <formula>0</formula>
    </cfRule>
  </conditionalFormatting>
  <conditionalFormatting sqref="H86:H1048576">
    <cfRule type="cellIs" dxfId="1220" priority="3322" operator="lessThan">
      <formula>0</formula>
    </cfRule>
  </conditionalFormatting>
  <conditionalFormatting sqref="H86:H1048576">
    <cfRule type="cellIs" dxfId="1219" priority="3321" operator="lessThan">
      <formula>0</formula>
    </cfRule>
  </conditionalFormatting>
  <conditionalFormatting sqref="H86:H1048576">
    <cfRule type="cellIs" dxfId="1218" priority="3320" operator="lessThan">
      <formula>0</formula>
    </cfRule>
  </conditionalFormatting>
  <conditionalFormatting sqref="H86:H1048576">
    <cfRule type="cellIs" dxfId="1217" priority="3319" operator="lessThan">
      <formula>0</formula>
    </cfRule>
  </conditionalFormatting>
  <conditionalFormatting sqref="H86:H1048576">
    <cfRule type="cellIs" dxfId="1216" priority="3318" operator="lessThan">
      <formula>0</formula>
    </cfRule>
  </conditionalFormatting>
  <conditionalFormatting sqref="H86:H1048576">
    <cfRule type="cellIs" dxfId="1215" priority="3317" operator="lessThan">
      <formula>0</formula>
    </cfRule>
  </conditionalFormatting>
  <conditionalFormatting sqref="H86:H1048576">
    <cfRule type="cellIs" dxfId="1214" priority="3316" operator="lessThan">
      <formula>0</formula>
    </cfRule>
  </conditionalFormatting>
  <conditionalFormatting sqref="H86:H1048576">
    <cfRule type="cellIs" dxfId="1213" priority="3315" operator="lessThan">
      <formula>0</formula>
    </cfRule>
  </conditionalFormatting>
  <conditionalFormatting sqref="H86:H1048576">
    <cfRule type="cellIs" dxfId="1212" priority="3314" operator="lessThan">
      <formula>0</formula>
    </cfRule>
  </conditionalFormatting>
  <conditionalFormatting sqref="H86:H1048576">
    <cfRule type="cellIs" dxfId="1211" priority="3313" operator="lessThan">
      <formula>0</formula>
    </cfRule>
  </conditionalFormatting>
  <conditionalFormatting sqref="H86:H1048576">
    <cfRule type="cellIs" dxfId="1210" priority="3312" operator="lessThan">
      <formula>0</formula>
    </cfRule>
  </conditionalFormatting>
  <conditionalFormatting sqref="H86:H1048576">
    <cfRule type="cellIs" dxfId="1209" priority="3311" operator="lessThan">
      <formula>0</formula>
    </cfRule>
  </conditionalFormatting>
  <conditionalFormatting sqref="H86:H1048576">
    <cfRule type="cellIs" dxfId="1208" priority="3310" operator="lessThan">
      <formula>0</formula>
    </cfRule>
  </conditionalFormatting>
  <conditionalFormatting sqref="H86:H1048576">
    <cfRule type="cellIs" dxfId="1207" priority="3309" operator="lessThan">
      <formula>0</formula>
    </cfRule>
  </conditionalFormatting>
  <conditionalFormatting sqref="H86:H1048576">
    <cfRule type="cellIs" dxfId="1206" priority="3308" operator="lessThan">
      <formula>0</formula>
    </cfRule>
  </conditionalFormatting>
  <conditionalFormatting sqref="H86:H1048576">
    <cfRule type="cellIs" dxfId="1205" priority="3307" operator="lessThan">
      <formula>0</formula>
    </cfRule>
  </conditionalFormatting>
  <conditionalFormatting sqref="H86:H1048576">
    <cfRule type="cellIs" dxfId="1204" priority="3306" operator="lessThan">
      <formula>0</formula>
    </cfRule>
  </conditionalFormatting>
  <conditionalFormatting sqref="H86:H1048576">
    <cfRule type="cellIs" dxfId="1203" priority="3305" operator="lessThan">
      <formula>0</formula>
    </cfRule>
  </conditionalFormatting>
  <conditionalFormatting sqref="H86:H1048576">
    <cfRule type="cellIs" dxfId="1202" priority="3304" operator="lessThan">
      <formula>0</formula>
    </cfRule>
  </conditionalFormatting>
  <conditionalFormatting sqref="H86:H1048576">
    <cfRule type="cellIs" dxfId="1201" priority="3303" operator="lessThan">
      <formula>0</formula>
    </cfRule>
  </conditionalFormatting>
  <conditionalFormatting sqref="H86:H1048576">
    <cfRule type="cellIs" dxfId="1200" priority="3302" operator="lessThan">
      <formula>0</formula>
    </cfRule>
  </conditionalFormatting>
  <conditionalFormatting sqref="H86:H1048576">
    <cfRule type="cellIs" dxfId="1199" priority="3301" operator="lessThan">
      <formula>0</formula>
    </cfRule>
  </conditionalFormatting>
  <conditionalFormatting sqref="H86:H1048576">
    <cfRule type="cellIs" dxfId="1198" priority="3300" operator="lessThan">
      <formula>0</formula>
    </cfRule>
  </conditionalFormatting>
  <conditionalFormatting sqref="H86:H1048576">
    <cfRule type="cellIs" dxfId="1197" priority="3299" operator="lessThan">
      <formula>0</formula>
    </cfRule>
  </conditionalFormatting>
  <conditionalFormatting sqref="H86:H1048576">
    <cfRule type="cellIs" dxfId="1196" priority="3298" operator="lessThan">
      <formula>0</formula>
    </cfRule>
  </conditionalFormatting>
  <conditionalFormatting sqref="H86:H1048576">
    <cfRule type="cellIs" dxfId="1195" priority="3297" operator="lessThan">
      <formula>0</formula>
    </cfRule>
  </conditionalFormatting>
  <conditionalFormatting sqref="H86:H1048576">
    <cfRule type="cellIs" dxfId="1194" priority="3296" operator="lessThan">
      <formula>0</formula>
    </cfRule>
  </conditionalFormatting>
  <conditionalFormatting sqref="H86:H1048576">
    <cfRule type="cellIs" dxfId="1193" priority="3295" operator="lessThan">
      <formula>0</formula>
    </cfRule>
  </conditionalFormatting>
  <conditionalFormatting sqref="H86:H1048576">
    <cfRule type="cellIs" dxfId="1192" priority="3294" operator="lessThan">
      <formula>0</formula>
    </cfRule>
  </conditionalFormatting>
  <conditionalFormatting sqref="H86:H1048576">
    <cfRule type="cellIs" dxfId="1191" priority="3293" operator="lessThan">
      <formula>0</formula>
    </cfRule>
  </conditionalFormatting>
  <conditionalFormatting sqref="H86:H1048576">
    <cfRule type="cellIs" dxfId="1190" priority="3292" operator="lessThan">
      <formula>0</formula>
    </cfRule>
  </conditionalFormatting>
  <conditionalFormatting sqref="H86:H1048576">
    <cfRule type="cellIs" dxfId="1189" priority="3291" operator="lessThan">
      <formula>0</formula>
    </cfRule>
  </conditionalFormatting>
  <conditionalFormatting sqref="H86:H1048576">
    <cfRule type="cellIs" dxfId="1188" priority="3290" operator="lessThan">
      <formula>0</formula>
    </cfRule>
  </conditionalFormatting>
  <conditionalFormatting sqref="H86:H1048576">
    <cfRule type="cellIs" dxfId="1187" priority="3289" operator="lessThan">
      <formula>0</formula>
    </cfRule>
  </conditionalFormatting>
  <conditionalFormatting sqref="H86:H1048576">
    <cfRule type="cellIs" dxfId="1186" priority="3288" operator="lessThan">
      <formula>0</formula>
    </cfRule>
  </conditionalFormatting>
  <conditionalFormatting sqref="H86:H1048576">
    <cfRule type="cellIs" dxfId="1185" priority="3287" operator="lessThan">
      <formula>0</formula>
    </cfRule>
  </conditionalFormatting>
  <conditionalFormatting sqref="H86:H1048576">
    <cfRule type="cellIs" dxfId="1184" priority="3286" operator="lessThan">
      <formula>0</formula>
    </cfRule>
  </conditionalFormatting>
  <conditionalFormatting sqref="H86:H1048576">
    <cfRule type="cellIs" dxfId="1183" priority="3285" operator="lessThan">
      <formula>0</formula>
    </cfRule>
  </conditionalFormatting>
  <conditionalFormatting sqref="H86:H1048576">
    <cfRule type="cellIs" dxfId="1182" priority="3284" operator="lessThan">
      <formula>0</formula>
    </cfRule>
  </conditionalFormatting>
  <conditionalFormatting sqref="H86:H1048576">
    <cfRule type="cellIs" dxfId="1181" priority="3283" operator="lessThan">
      <formula>0</formula>
    </cfRule>
  </conditionalFormatting>
  <conditionalFormatting sqref="H86:H1048576">
    <cfRule type="cellIs" dxfId="1180" priority="3282" operator="lessThan">
      <formula>0</formula>
    </cfRule>
  </conditionalFormatting>
  <conditionalFormatting sqref="H86:H1048576">
    <cfRule type="cellIs" dxfId="1179" priority="3281" operator="lessThan">
      <formula>0</formula>
    </cfRule>
  </conditionalFormatting>
  <conditionalFormatting sqref="H86:H1048576">
    <cfRule type="cellIs" dxfId="1178" priority="3280" operator="lessThan">
      <formula>0</formula>
    </cfRule>
  </conditionalFormatting>
  <conditionalFormatting sqref="H86:H1048576">
    <cfRule type="cellIs" dxfId="1177" priority="3279" operator="lessThan">
      <formula>0</formula>
    </cfRule>
  </conditionalFormatting>
  <conditionalFormatting sqref="H86:H1048576">
    <cfRule type="cellIs" dxfId="1176" priority="3278" operator="lessThan">
      <formula>0</formula>
    </cfRule>
  </conditionalFormatting>
  <conditionalFormatting sqref="H86:H1048576">
    <cfRule type="cellIs" dxfId="1175" priority="3277" operator="lessThan">
      <formula>0</formula>
    </cfRule>
  </conditionalFormatting>
  <conditionalFormatting sqref="H86:H1048576">
    <cfRule type="cellIs" dxfId="1174" priority="3276" operator="lessThan">
      <formula>0</formula>
    </cfRule>
  </conditionalFormatting>
  <conditionalFormatting sqref="H86:H1048576">
    <cfRule type="cellIs" dxfId="1173" priority="3275" operator="lessThan">
      <formula>0</formula>
    </cfRule>
  </conditionalFormatting>
  <conditionalFormatting sqref="H86:H1048576">
    <cfRule type="cellIs" dxfId="1172" priority="3274" operator="lessThan">
      <formula>0</formula>
    </cfRule>
  </conditionalFormatting>
  <conditionalFormatting sqref="H86:H1048576">
    <cfRule type="cellIs" dxfId="1171" priority="3273" operator="lessThan">
      <formula>0</formula>
    </cfRule>
  </conditionalFormatting>
  <conditionalFormatting sqref="H86:H1048576">
    <cfRule type="cellIs" dxfId="1170" priority="3272" operator="lessThan">
      <formula>0</formula>
    </cfRule>
  </conditionalFormatting>
  <conditionalFormatting sqref="H86:H1048576">
    <cfRule type="cellIs" dxfId="1169" priority="3271" operator="lessThan">
      <formula>0</formula>
    </cfRule>
  </conditionalFormatting>
  <conditionalFormatting sqref="H86:H1048576">
    <cfRule type="cellIs" dxfId="1168" priority="3270" operator="lessThan">
      <formula>0</formula>
    </cfRule>
  </conditionalFormatting>
  <conditionalFormatting sqref="H86:H1048576">
    <cfRule type="cellIs" dxfId="1167" priority="3269" operator="lessThan">
      <formula>0</formula>
    </cfRule>
  </conditionalFormatting>
  <conditionalFormatting sqref="H86:H1048576">
    <cfRule type="cellIs" dxfId="1166" priority="3268" operator="lessThan">
      <formula>0</formula>
    </cfRule>
  </conditionalFormatting>
  <conditionalFormatting sqref="H86:H1048576">
    <cfRule type="cellIs" dxfId="1165" priority="3267" operator="lessThan">
      <formula>0</formula>
    </cfRule>
  </conditionalFormatting>
  <conditionalFormatting sqref="H86:H1048576">
    <cfRule type="cellIs" dxfId="1164" priority="3266" operator="lessThan">
      <formula>0</formula>
    </cfRule>
  </conditionalFormatting>
  <conditionalFormatting sqref="H86:H1048576">
    <cfRule type="cellIs" dxfId="1163" priority="3265" operator="lessThan">
      <formula>0</formula>
    </cfRule>
  </conditionalFormatting>
  <conditionalFormatting sqref="H86:H1048576">
    <cfRule type="cellIs" dxfId="1162" priority="3264" operator="lessThan">
      <formula>0</formula>
    </cfRule>
  </conditionalFormatting>
  <conditionalFormatting sqref="H86:H1048576">
    <cfRule type="cellIs" dxfId="1161" priority="3263" operator="lessThan">
      <formula>0</formula>
    </cfRule>
  </conditionalFormatting>
  <conditionalFormatting sqref="H86:H1048576">
    <cfRule type="cellIs" dxfId="1160" priority="3262" operator="lessThan">
      <formula>0</formula>
    </cfRule>
  </conditionalFormatting>
  <conditionalFormatting sqref="H86:H1048576">
    <cfRule type="cellIs" dxfId="1159" priority="3261" operator="lessThan">
      <formula>0</formula>
    </cfRule>
  </conditionalFormatting>
  <conditionalFormatting sqref="H86:H1048576">
    <cfRule type="cellIs" dxfId="1158" priority="3260" operator="lessThan">
      <formula>0</formula>
    </cfRule>
  </conditionalFormatting>
  <conditionalFormatting sqref="H86:H1048576">
    <cfRule type="cellIs" dxfId="1157" priority="3259" operator="lessThan">
      <formula>0</formula>
    </cfRule>
  </conditionalFormatting>
  <conditionalFormatting sqref="H86:H1048576">
    <cfRule type="cellIs" dxfId="1156" priority="3258" operator="lessThan">
      <formula>0</formula>
    </cfRule>
  </conditionalFormatting>
  <conditionalFormatting sqref="H86:H1048576">
    <cfRule type="cellIs" dxfId="1155" priority="3257" operator="lessThan">
      <formula>0</formula>
    </cfRule>
  </conditionalFormatting>
  <conditionalFormatting sqref="H86:H1048576">
    <cfRule type="cellIs" dxfId="1154" priority="3256" operator="lessThan">
      <formula>0</formula>
    </cfRule>
  </conditionalFormatting>
  <conditionalFormatting sqref="H86:H1048576">
    <cfRule type="cellIs" dxfId="1153" priority="3255" operator="lessThan">
      <formula>0</formula>
    </cfRule>
  </conditionalFormatting>
  <conditionalFormatting sqref="H86:H1048576">
    <cfRule type="cellIs" dxfId="1152" priority="3254" operator="lessThan">
      <formula>0</formula>
    </cfRule>
  </conditionalFormatting>
  <conditionalFormatting sqref="H86:H1048576">
    <cfRule type="cellIs" dxfId="1151" priority="3253" operator="lessThan">
      <formula>0</formula>
    </cfRule>
  </conditionalFormatting>
  <conditionalFormatting sqref="H86:H1048576">
    <cfRule type="cellIs" dxfId="1150" priority="3252" operator="lessThan">
      <formula>0</formula>
    </cfRule>
  </conditionalFormatting>
  <conditionalFormatting sqref="H86:H1048576">
    <cfRule type="cellIs" dxfId="1149" priority="3251" operator="lessThan">
      <formula>0</formula>
    </cfRule>
  </conditionalFormatting>
  <conditionalFormatting sqref="H86:H1048576">
    <cfRule type="cellIs" dxfId="1148" priority="3250" operator="lessThan">
      <formula>0</formula>
    </cfRule>
  </conditionalFormatting>
  <conditionalFormatting sqref="H86:H1048576">
    <cfRule type="cellIs" dxfId="1147" priority="3249" operator="lessThan">
      <formula>0</formula>
    </cfRule>
  </conditionalFormatting>
  <conditionalFormatting sqref="H86:H1048576">
    <cfRule type="cellIs" dxfId="1146" priority="3248" operator="lessThan">
      <formula>0</formula>
    </cfRule>
  </conditionalFormatting>
  <conditionalFormatting sqref="H86:H1048576">
    <cfRule type="cellIs" dxfId="1145" priority="3247" operator="lessThan">
      <formula>0</formula>
    </cfRule>
  </conditionalFormatting>
  <conditionalFormatting sqref="H86:H1048576">
    <cfRule type="cellIs" dxfId="1144" priority="3246" operator="lessThan">
      <formula>0</formula>
    </cfRule>
  </conditionalFormatting>
  <conditionalFormatting sqref="H86:H1048576">
    <cfRule type="cellIs" dxfId="1143" priority="3245" operator="lessThan">
      <formula>0</formula>
    </cfRule>
  </conditionalFormatting>
  <conditionalFormatting sqref="H86:H1048576">
    <cfRule type="cellIs" dxfId="1142" priority="3244" operator="lessThan">
      <formula>0</formula>
    </cfRule>
  </conditionalFormatting>
  <conditionalFormatting sqref="H86:H1048576">
    <cfRule type="cellIs" dxfId="1141" priority="3243" operator="lessThan">
      <formula>0</formula>
    </cfRule>
  </conditionalFormatting>
  <conditionalFormatting sqref="H86:H1048576">
    <cfRule type="cellIs" dxfId="1140" priority="3242" operator="lessThan">
      <formula>0</formula>
    </cfRule>
  </conditionalFormatting>
  <conditionalFormatting sqref="H86:H1048576">
    <cfRule type="cellIs" dxfId="1139" priority="3241" operator="lessThan">
      <formula>0</formula>
    </cfRule>
  </conditionalFormatting>
  <conditionalFormatting sqref="H86:H1048576">
    <cfRule type="cellIs" dxfId="1138" priority="3240" operator="lessThan">
      <formula>0</formula>
    </cfRule>
  </conditionalFormatting>
  <conditionalFormatting sqref="H86:H1048576">
    <cfRule type="cellIs" dxfId="1137" priority="3239" operator="lessThan">
      <formula>0</formula>
    </cfRule>
  </conditionalFormatting>
  <conditionalFormatting sqref="H86:H1048576">
    <cfRule type="cellIs" dxfId="1136" priority="3238" operator="lessThan">
      <formula>0</formula>
    </cfRule>
  </conditionalFormatting>
  <conditionalFormatting sqref="H86:H1048576">
    <cfRule type="cellIs" dxfId="1135" priority="3237" operator="lessThan">
      <formula>0</formula>
    </cfRule>
  </conditionalFormatting>
  <conditionalFormatting sqref="H86:H1048576">
    <cfRule type="cellIs" dxfId="1134" priority="3236" operator="lessThan">
      <formula>0</formula>
    </cfRule>
  </conditionalFormatting>
  <conditionalFormatting sqref="H86:H1048576">
    <cfRule type="cellIs" dxfId="1133" priority="3235" operator="lessThan">
      <formula>0</formula>
    </cfRule>
  </conditionalFormatting>
  <conditionalFormatting sqref="H86:H1048576">
    <cfRule type="cellIs" dxfId="1132" priority="3234" operator="lessThan">
      <formula>0</formula>
    </cfRule>
  </conditionalFormatting>
  <conditionalFormatting sqref="H86:H1048576">
    <cfRule type="cellIs" dxfId="1131" priority="3233" operator="lessThan">
      <formula>0</formula>
    </cfRule>
  </conditionalFormatting>
  <conditionalFormatting sqref="H86:H1048576">
    <cfRule type="cellIs" dxfId="1130" priority="3232" operator="lessThan">
      <formula>0</formula>
    </cfRule>
  </conditionalFormatting>
  <conditionalFormatting sqref="H86:H1048576">
    <cfRule type="cellIs" dxfId="1129" priority="3231" operator="lessThan">
      <formula>0</formula>
    </cfRule>
  </conditionalFormatting>
  <conditionalFormatting sqref="H86:H1048576">
    <cfRule type="cellIs" dxfId="1128" priority="3230" operator="lessThan">
      <formula>0</formula>
    </cfRule>
  </conditionalFormatting>
  <conditionalFormatting sqref="H86:H1048576">
    <cfRule type="cellIs" dxfId="1127" priority="3229" operator="lessThan">
      <formula>0</formula>
    </cfRule>
  </conditionalFormatting>
  <conditionalFormatting sqref="H86:H1048576">
    <cfRule type="cellIs" dxfId="1126" priority="3228" operator="lessThan">
      <formula>0</formula>
    </cfRule>
  </conditionalFormatting>
  <conditionalFormatting sqref="H86:H1048576">
    <cfRule type="cellIs" dxfId="1125" priority="3227" operator="lessThan">
      <formula>0</formula>
    </cfRule>
  </conditionalFormatting>
  <conditionalFormatting sqref="H86:H1048576">
    <cfRule type="cellIs" dxfId="1124" priority="3226" operator="lessThan">
      <formula>0</formula>
    </cfRule>
  </conditionalFormatting>
  <conditionalFormatting sqref="H86:H1048576">
    <cfRule type="cellIs" dxfId="1123" priority="3225" operator="lessThan">
      <formula>0</formula>
    </cfRule>
  </conditionalFormatting>
  <conditionalFormatting sqref="H86:H1048576">
    <cfRule type="cellIs" dxfId="1122" priority="3224" operator="lessThan">
      <formula>0</formula>
    </cfRule>
  </conditionalFormatting>
  <conditionalFormatting sqref="H86:H1048576">
    <cfRule type="cellIs" dxfId="1121" priority="3223" operator="lessThan">
      <formula>0</formula>
    </cfRule>
  </conditionalFormatting>
  <conditionalFormatting sqref="H86:H1048576">
    <cfRule type="cellIs" dxfId="1120" priority="3222" operator="lessThan">
      <formula>0</formula>
    </cfRule>
  </conditionalFormatting>
  <conditionalFormatting sqref="H86:H1048576">
    <cfRule type="cellIs" dxfId="1119" priority="3221" operator="lessThan">
      <formula>0</formula>
    </cfRule>
  </conditionalFormatting>
  <conditionalFormatting sqref="H86:H1048576">
    <cfRule type="cellIs" dxfId="1118" priority="3220" operator="lessThan">
      <formula>0</formula>
    </cfRule>
  </conditionalFormatting>
  <conditionalFormatting sqref="H86:H1048576">
    <cfRule type="cellIs" dxfId="1117" priority="3219" operator="lessThan">
      <formula>0</formula>
    </cfRule>
  </conditionalFormatting>
  <conditionalFormatting sqref="H86:H1048576">
    <cfRule type="cellIs" dxfId="1116" priority="3218" operator="lessThan">
      <formula>0</formula>
    </cfRule>
  </conditionalFormatting>
  <conditionalFormatting sqref="H86:H1048576">
    <cfRule type="cellIs" dxfId="1115" priority="3217" operator="lessThan">
      <formula>0</formula>
    </cfRule>
  </conditionalFormatting>
  <conditionalFormatting sqref="H86:H1048576">
    <cfRule type="cellIs" dxfId="1114" priority="3216" operator="lessThan">
      <formula>0</formula>
    </cfRule>
  </conditionalFormatting>
  <conditionalFormatting sqref="H86:H1048576">
    <cfRule type="cellIs" dxfId="1113" priority="3215" operator="lessThan">
      <formula>0</formula>
    </cfRule>
  </conditionalFormatting>
  <conditionalFormatting sqref="H86:H1048576">
    <cfRule type="cellIs" dxfId="1112" priority="3214" operator="lessThan">
      <formula>0</formula>
    </cfRule>
  </conditionalFormatting>
  <conditionalFormatting sqref="H86:H1048576">
    <cfRule type="cellIs" dxfId="1111" priority="3213" operator="lessThan">
      <formula>0</formula>
    </cfRule>
  </conditionalFormatting>
  <conditionalFormatting sqref="H86:H1048576">
    <cfRule type="cellIs" dxfId="1110" priority="3212" operator="lessThan">
      <formula>0</formula>
    </cfRule>
  </conditionalFormatting>
  <conditionalFormatting sqref="H86:H1048576">
    <cfRule type="cellIs" dxfId="1109" priority="3211" operator="lessThan">
      <formula>0</formula>
    </cfRule>
  </conditionalFormatting>
  <conditionalFormatting sqref="H86:H1048576">
    <cfRule type="cellIs" dxfId="1108" priority="3210" operator="lessThan">
      <formula>0</formula>
    </cfRule>
  </conditionalFormatting>
  <conditionalFormatting sqref="H86:H1048576">
    <cfRule type="cellIs" dxfId="1107" priority="3209" operator="lessThan">
      <formula>0</formula>
    </cfRule>
  </conditionalFormatting>
  <conditionalFormatting sqref="H86:H1048576">
    <cfRule type="cellIs" dxfId="1106" priority="3208" operator="lessThan">
      <formula>0</formula>
    </cfRule>
  </conditionalFormatting>
  <conditionalFormatting sqref="H86:H1048576">
    <cfRule type="cellIs" dxfId="1105" priority="3207" operator="lessThan">
      <formula>0</formula>
    </cfRule>
  </conditionalFormatting>
  <conditionalFormatting sqref="H86:H1048576">
    <cfRule type="cellIs" dxfId="1104" priority="3206" operator="lessThan">
      <formula>0</formula>
    </cfRule>
  </conditionalFormatting>
  <conditionalFormatting sqref="H86:H1048576">
    <cfRule type="cellIs" dxfId="1103" priority="3205" operator="lessThan">
      <formula>0</formula>
    </cfRule>
  </conditionalFormatting>
  <conditionalFormatting sqref="H86:H1048576">
    <cfRule type="cellIs" dxfId="1102" priority="3204" operator="lessThan">
      <formula>0</formula>
    </cfRule>
  </conditionalFormatting>
  <conditionalFormatting sqref="H86:H1048576">
    <cfRule type="cellIs" dxfId="1101" priority="3203" operator="lessThan">
      <formula>0</formula>
    </cfRule>
  </conditionalFormatting>
  <conditionalFormatting sqref="H86:H1048576">
    <cfRule type="cellIs" dxfId="1100" priority="3202" operator="lessThan">
      <formula>0</formula>
    </cfRule>
  </conditionalFormatting>
  <conditionalFormatting sqref="H86:H1048576">
    <cfRule type="cellIs" dxfId="1099" priority="3201" operator="lessThan">
      <formula>0</formula>
    </cfRule>
  </conditionalFormatting>
  <conditionalFormatting sqref="H86:H1048576">
    <cfRule type="cellIs" dxfId="1098" priority="3200" operator="lessThan">
      <formula>0</formula>
    </cfRule>
  </conditionalFormatting>
  <conditionalFormatting sqref="H86:H1048576">
    <cfRule type="cellIs" dxfId="1097" priority="3199" operator="lessThan">
      <formula>0</formula>
    </cfRule>
  </conditionalFormatting>
  <conditionalFormatting sqref="H86:H1048576">
    <cfRule type="cellIs" dxfId="1096" priority="3198" operator="lessThan">
      <formula>0</formula>
    </cfRule>
  </conditionalFormatting>
  <conditionalFormatting sqref="H86:H1048576">
    <cfRule type="cellIs" dxfId="1095" priority="3197" operator="lessThan">
      <formula>0</formula>
    </cfRule>
  </conditionalFormatting>
  <conditionalFormatting sqref="H86:H1048576">
    <cfRule type="cellIs" dxfId="1094" priority="3196" operator="lessThan">
      <formula>0</formula>
    </cfRule>
  </conditionalFormatting>
  <conditionalFormatting sqref="H86:H1048576">
    <cfRule type="cellIs" dxfId="1093" priority="3195" operator="lessThan">
      <formula>0</formula>
    </cfRule>
  </conditionalFormatting>
  <conditionalFormatting sqref="H86:H1048576">
    <cfRule type="cellIs" dxfId="1092" priority="3194" operator="lessThan">
      <formula>0</formula>
    </cfRule>
  </conditionalFormatting>
  <conditionalFormatting sqref="H86:H1048576">
    <cfRule type="cellIs" dxfId="1091" priority="3193" operator="lessThan">
      <formula>0</formula>
    </cfRule>
  </conditionalFormatting>
  <conditionalFormatting sqref="H86:H1048576">
    <cfRule type="cellIs" dxfId="1090" priority="3192" operator="lessThan">
      <formula>0</formula>
    </cfRule>
  </conditionalFormatting>
  <conditionalFormatting sqref="H86:H1048576">
    <cfRule type="cellIs" dxfId="1089" priority="3191" operator="lessThan">
      <formula>0</formula>
    </cfRule>
  </conditionalFormatting>
  <conditionalFormatting sqref="H86:H1048576">
    <cfRule type="cellIs" dxfId="1088" priority="3190" operator="lessThan">
      <formula>0</formula>
    </cfRule>
  </conditionalFormatting>
  <conditionalFormatting sqref="H86:H1048576">
    <cfRule type="cellIs" dxfId="1087" priority="3189" operator="lessThan">
      <formula>0</formula>
    </cfRule>
  </conditionalFormatting>
  <conditionalFormatting sqref="H86:H1048576">
    <cfRule type="cellIs" dxfId="1086" priority="3188" operator="lessThan">
      <formula>0</formula>
    </cfRule>
  </conditionalFormatting>
  <conditionalFormatting sqref="H86:H1048576">
    <cfRule type="cellIs" dxfId="1085" priority="3187" operator="lessThan">
      <formula>0</formula>
    </cfRule>
  </conditionalFormatting>
  <conditionalFormatting sqref="H86:H1048576">
    <cfRule type="cellIs" dxfId="1084" priority="3186" operator="lessThan">
      <formula>0</formula>
    </cfRule>
  </conditionalFormatting>
  <conditionalFormatting sqref="H86:H1048576">
    <cfRule type="cellIs" dxfId="1083" priority="3185" operator="lessThan">
      <formula>0</formula>
    </cfRule>
  </conditionalFormatting>
  <conditionalFormatting sqref="H86:H1048576">
    <cfRule type="cellIs" dxfId="1082" priority="3184" operator="lessThan">
      <formula>0</formula>
    </cfRule>
  </conditionalFormatting>
  <conditionalFormatting sqref="H86:H1048576">
    <cfRule type="cellIs" dxfId="1081" priority="3183" operator="lessThan">
      <formula>0</formula>
    </cfRule>
  </conditionalFormatting>
  <conditionalFormatting sqref="H86:H1048576">
    <cfRule type="cellIs" dxfId="1080" priority="3182" operator="lessThan">
      <formula>0</formula>
    </cfRule>
  </conditionalFormatting>
  <conditionalFormatting sqref="H86:H1048576">
    <cfRule type="cellIs" dxfId="1079" priority="3181" operator="lessThan">
      <formula>0</formula>
    </cfRule>
  </conditionalFormatting>
  <conditionalFormatting sqref="H86:H1048576">
    <cfRule type="cellIs" dxfId="1078" priority="3180" operator="lessThan">
      <formula>0</formula>
    </cfRule>
  </conditionalFormatting>
  <conditionalFormatting sqref="H86:H1048576">
    <cfRule type="cellIs" dxfId="1077" priority="3179" operator="lessThan">
      <formula>0</formula>
    </cfRule>
  </conditionalFormatting>
  <conditionalFormatting sqref="H86:H1048576">
    <cfRule type="cellIs" dxfId="1076" priority="3178" operator="lessThan">
      <formula>0</formula>
    </cfRule>
  </conditionalFormatting>
  <conditionalFormatting sqref="H86:H1048576">
    <cfRule type="cellIs" dxfId="1075" priority="3177" operator="lessThan">
      <formula>0</formula>
    </cfRule>
  </conditionalFormatting>
  <conditionalFormatting sqref="H86:H1048576">
    <cfRule type="cellIs" dxfId="1074" priority="3176" operator="lessThan">
      <formula>0</formula>
    </cfRule>
  </conditionalFormatting>
  <conditionalFormatting sqref="H86:H1048576">
    <cfRule type="cellIs" dxfId="1073" priority="3175" operator="lessThan">
      <formula>0</formula>
    </cfRule>
  </conditionalFormatting>
  <conditionalFormatting sqref="H86:H1048576">
    <cfRule type="cellIs" dxfId="1072" priority="3174" operator="lessThan">
      <formula>0</formula>
    </cfRule>
  </conditionalFormatting>
  <conditionalFormatting sqref="H86:H1048576">
    <cfRule type="cellIs" dxfId="1071" priority="3173" operator="lessThan">
      <formula>0</formula>
    </cfRule>
  </conditionalFormatting>
  <conditionalFormatting sqref="H86:H1048576">
    <cfRule type="cellIs" dxfId="1070" priority="3172" operator="lessThan">
      <formula>0</formula>
    </cfRule>
  </conditionalFormatting>
  <conditionalFormatting sqref="H86:H1048576">
    <cfRule type="cellIs" dxfId="1069" priority="3171" operator="lessThan">
      <formula>0</formula>
    </cfRule>
  </conditionalFormatting>
  <conditionalFormatting sqref="H86:H1048576">
    <cfRule type="cellIs" dxfId="1068" priority="3170" operator="lessThan">
      <formula>0</formula>
    </cfRule>
  </conditionalFormatting>
  <conditionalFormatting sqref="H86:H1048576">
    <cfRule type="cellIs" dxfId="1067" priority="3169" operator="lessThan">
      <formula>0</formula>
    </cfRule>
  </conditionalFormatting>
  <conditionalFormatting sqref="H86:H1048576">
    <cfRule type="cellIs" dxfId="1066" priority="3168" operator="lessThan">
      <formula>0</formula>
    </cfRule>
  </conditionalFormatting>
  <conditionalFormatting sqref="H86:H1048576">
    <cfRule type="cellIs" dxfId="1065" priority="3167" operator="lessThan">
      <formula>0</formula>
    </cfRule>
  </conditionalFormatting>
  <conditionalFormatting sqref="H86:H1048576">
    <cfRule type="cellIs" dxfId="1064" priority="3166" operator="lessThan">
      <formula>0</formula>
    </cfRule>
  </conditionalFormatting>
  <conditionalFormatting sqref="H86:H1048576">
    <cfRule type="cellIs" dxfId="1063" priority="3165" operator="lessThan">
      <formula>0</formula>
    </cfRule>
  </conditionalFormatting>
  <conditionalFormatting sqref="H86:H1048576">
    <cfRule type="cellIs" dxfId="1062" priority="3164" operator="lessThan">
      <formula>0</formula>
    </cfRule>
  </conditionalFormatting>
  <conditionalFormatting sqref="H86:H1048576">
    <cfRule type="cellIs" dxfId="1061" priority="3163" operator="lessThan">
      <formula>0</formula>
    </cfRule>
  </conditionalFormatting>
  <conditionalFormatting sqref="H86:H1048576">
    <cfRule type="cellIs" dxfId="1060" priority="3162" operator="lessThan">
      <formula>0</formula>
    </cfRule>
  </conditionalFormatting>
  <conditionalFormatting sqref="H86:H1048576">
    <cfRule type="cellIs" dxfId="1059" priority="3161" operator="lessThan">
      <formula>0</formula>
    </cfRule>
  </conditionalFormatting>
  <conditionalFormatting sqref="H86:H1048576">
    <cfRule type="cellIs" dxfId="1058" priority="3160" operator="lessThan">
      <formula>0</formula>
    </cfRule>
  </conditionalFormatting>
  <conditionalFormatting sqref="H86:H1048576">
    <cfRule type="cellIs" dxfId="1057" priority="3159" operator="lessThan">
      <formula>0</formula>
    </cfRule>
  </conditionalFormatting>
  <conditionalFormatting sqref="H86:H1048576">
    <cfRule type="cellIs" dxfId="1056" priority="3158" operator="lessThan">
      <formula>0</formula>
    </cfRule>
  </conditionalFormatting>
  <conditionalFormatting sqref="H86:H1048576">
    <cfRule type="cellIs" dxfId="1055" priority="3157" operator="lessThan">
      <formula>0</formula>
    </cfRule>
  </conditionalFormatting>
  <conditionalFormatting sqref="H86:H1048576">
    <cfRule type="cellIs" dxfId="1054" priority="3156" operator="lessThan">
      <formula>0</formula>
    </cfRule>
  </conditionalFormatting>
  <conditionalFormatting sqref="H86:H1048576">
    <cfRule type="cellIs" dxfId="1053" priority="3155" operator="lessThan">
      <formula>0</formula>
    </cfRule>
  </conditionalFormatting>
  <conditionalFormatting sqref="H86:H1048576">
    <cfRule type="cellIs" dxfId="1052" priority="3154" operator="lessThan">
      <formula>0</formula>
    </cfRule>
  </conditionalFormatting>
  <conditionalFormatting sqref="H86:H1048576">
    <cfRule type="cellIs" dxfId="1051" priority="3153" operator="lessThan">
      <formula>0</formula>
    </cfRule>
  </conditionalFormatting>
  <conditionalFormatting sqref="H86:H1048576">
    <cfRule type="cellIs" dxfId="1050" priority="3152" operator="lessThan">
      <formula>0</formula>
    </cfRule>
  </conditionalFormatting>
  <conditionalFormatting sqref="H86:H1048576">
    <cfRule type="cellIs" dxfId="1049" priority="3151" operator="lessThan">
      <formula>0</formula>
    </cfRule>
  </conditionalFormatting>
  <conditionalFormatting sqref="H86:H1048576">
    <cfRule type="cellIs" dxfId="1048" priority="3150" operator="lessThan">
      <formula>0</formula>
    </cfRule>
  </conditionalFormatting>
  <conditionalFormatting sqref="H86:H1048576">
    <cfRule type="cellIs" dxfId="1047" priority="3149" operator="lessThan">
      <formula>0</formula>
    </cfRule>
  </conditionalFormatting>
  <conditionalFormatting sqref="H86:H1048576">
    <cfRule type="cellIs" dxfId="1046" priority="3148" operator="lessThan">
      <formula>0</formula>
    </cfRule>
  </conditionalFormatting>
  <conditionalFormatting sqref="H86:H1048576">
    <cfRule type="cellIs" dxfId="1045" priority="3147" operator="lessThan">
      <formula>0</formula>
    </cfRule>
  </conditionalFormatting>
  <conditionalFormatting sqref="H86:H1048576">
    <cfRule type="cellIs" dxfId="1044" priority="3146" operator="lessThan">
      <formula>0</formula>
    </cfRule>
  </conditionalFormatting>
  <conditionalFormatting sqref="H86:H1048576">
    <cfRule type="cellIs" dxfId="1043" priority="3145" operator="lessThan">
      <formula>0</formula>
    </cfRule>
  </conditionalFormatting>
  <conditionalFormatting sqref="H86:H1048576">
    <cfRule type="cellIs" dxfId="1042" priority="3144" operator="lessThan">
      <formula>0</formula>
    </cfRule>
  </conditionalFormatting>
  <conditionalFormatting sqref="H86:H1048576">
    <cfRule type="cellIs" dxfId="1041" priority="3143" operator="lessThan">
      <formula>0</formula>
    </cfRule>
  </conditionalFormatting>
  <conditionalFormatting sqref="H86:H1048576">
    <cfRule type="cellIs" dxfId="1040" priority="3142" operator="lessThan">
      <formula>0</formula>
    </cfRule>
  </conditionalFormatting>
  <conditionalFormatting sqref="H86:H1048576">
    <cfRule type="cellIs" dxfId="1039" priority="3141" operator="lessThan">
      <formula>0</formula>
    </cfRule>
  </conditionalFormatting>
  <conditionalFormatting sqref="H86:H1048576">
    <cfRule type="cellIs" dxfId="1038" priority="3140" operator="lessThan">
      <formula>0</formula>
    </cfRule>
  </conditionalFormatting>
  <conditionalFormatting sqref="H86:H1048576">
    <cfRule type="cellIs" dxfId="1037" priority="3139" operator="lessThan">
      <formula>0</formula>
    </cfRule>
  </conditionalFormatting>
  <conditionalFormatting sqref="H86:H1048576">
    <cfRule type="cellIs" dxfId="1036" priority="3138" operator="lessThan">
      <formula>0</formula>
    </cfRule>
  </conditionalFormatting>
  <conditionalFormatting sqref="H86:H1048576">
    <cfRule type="cellIs" dxfId="1035" priority="3137" operator="lessThan">
      <formula>0</formula>
    </cfRule>
  </conditionalFormatting>
  <conditionalFormatting sqref="H86:H1048576">
    <cfRule type="cellIs" dxfId="1034" priority="3136" operator="lessThan">
      <formula>0</formula>
    </cfRule>
  </conditionalFormatting>
  <conditionalFormatting sqref="H86:H1048576">
    <cfRule type="cellIs" dxfId="1033" priority="3135" operator="lessThan">
      <formula>0</formula>
    </cfRule>
  </conditionalFormatting>
  <conditionalFormatting sqref="H86:H1048576">
    <cfRule type="cellIs" dxfId="1032" priority="3134" operator="lessThan">
      <formula>0</formula>
    </cfRule>
  </conditionalFormatting>
  <conditionalFormatting sqref="H86:H1048576">
    <cfRule type="cellIs" dxfId="1031" priority="3133" operator="lessThan">
      <formula>0</formula>
    </cfRule>
  </conditionalFormatting>
  <conditionalFormatting sqref="H86:H1048576">
    <cfRule type="cellIs" dxfId="1030" priority="3132" operator="lessThan">
      <formula>0</formula>
    </cfRule>
  </conditionalFormatting>
  <conditionalFormatting sqref="H86:H1048576">
    <cfRule type="cellIs" dxfId="1029" priority="3131" operator="lessThan">
      <formula>0</formula>
    </cfRule>
  </conditionalFormatting>
  <conditionalFormatting sqref="H86:H1048576">
    <cfRule type="cellIs" dxfId="1028" priority="3130" operator="lessThan">
      <formula>0</formula>
    </cfRule>
  </conditionalFormatting>
  <conditionalFormatting sqref="H86:H1048576">
    <cfRule type="cellIs" dxfId="1027" priority="3129" operator="lessThan">
      <formula>0</formula>
    </cfRule>
  </conditionalFormatting>
  <conditionalFormatting sqref="H86:H1048576">
    <cfRule type="cellIs" dxfId="1026" priority="3128" operator="lessThan">
      <formula>0</formula>
    </cfRule>
  </conditionalFormatting>
  <conditionalFormatting sqref="H86:H1048576">
    <cfRule type="cellIs" dxfId="1025" priority="3127" operator="lessThan">
      <formula>0</formula>
    </cfRule>
  </conditionalFormatting>
  <conditionalFormatting sqref="H86:H1048576">
    <cfRule type="cellIs" dxfId="1024" priority="3126" operator="lessThan">
      <formula>0</formula>
    </cfRule>
  </conditionalFormatting>
  <conditionalFormatting sqref="H86:H1048576">
    <cfRule type="cellIs" dxfId="1023" priority="3125" operator="lessThan">
      <formula>0</formula>
    </cfRule>
  </conditionalFormatting>
  <conditionalFormatting sqref="H86:H1048576">
    <cfRule type="cellIs" dxfId="1022" priority="3124" operator="lessThan">
      <formula>0</formula>
    </cfRule>
  </conditionalFormatting>
  <conditionalFormatting sqref="H86:H1048576">
    <cfRule type="cellIs" dxfId="1021" priority="3123" operator="lessThan">
      <formula>0</formula>
    </cfRule>
  </conditionalFormatting>
  <conditionalFormatting sqref="H86:H1048576">
    <cfRule type="cellIs" dxfId="1020" priority="3122" operator="lessThan">
      <formula>0</formula>
    </cfRule>
  </conditionalFormatting>
  <conditionalFormatting sqref="H86:H1048576">
    <cfRule type="cellIs" dxfId="1019" priority="3121" operator="lessThan">
      <formula>0</formula>
    </cfRule>
  </conditionalFormatting>
  <conditionalFormatting sqref="H86:H1048576">
    <cfRule type="cellIs" dxfId="1018" priority="3120" operator="lessThan">
      <formula>0</formula>
    </cfRule>
  </conditionalFormatting>
  <conditionalFormatting sqref="H86:H1048576">
    <cfRule type="cellIs" dxfId="1017" priority="3119" operator="lessThan">
      <formula>0</formula>
    </cfRule>
  </conditionalFormatting>
  <conditionalFormatting sqref="H86:H1048576">
    <cfRule type="cellIs" dxfId="1016" priority="3118" operator="lessThan">
      <formula>0</formula>
    </cfRule>
  </conditionalFormatting>
  <conditionalFormatting sqref="H86:H1048576">
    <cfRule type="cellIs" dxfId="1015" priority="3117" operator="lessThan">
      <formula>0</formula>
    </cfRule>
  </conditionalFormatting>
  <conditionalFormatting sqref="H86:H1048576">
    <cfRule type="cellIs" dxfId="1014" priority="3116" operator="lessThan">
      <formula>0</formula>
    </cfRule>
  </conditionalFormatting>
  <conditionalFormatting sqref="H86:H1048576">
    <cfRule type="cellIs" dxfId="1013" priority="3115" operator="lessThan">
      <formula>0</formula>
    </cfRule>
  </conditionalFormatting>
  <conditionalFormatting sqref="H86:H1048576">
    <cfRule type="cellIs" dxfId="1012" priority="3114" operator="lessThan">
      <formula>0</formula>
    </cfRule>
  </conditionalFormatting>
  <conditionalFormatting sqref="H86:H1048576">
    <cfRule type="cellIs" dxfId="1011" priority="3113" operator="lessThan">
      <formula>0</formula>
    </cfRule>
  </conditionalFormatting>
  <conditionalFormatting sqref="H86:H1048576">
    <cfRule type="cellIs" dxfId="1010" priority="3112" operator="lessThan">
      <formula>0</formula>
    </cfRule>
  </conditionalFormatting>
  <conditionalFormatting sqref="H86:H1048576">
    <cfRule type="cellIs" dxfId="1009" priority="3111" operator="lessThan">
      <formula>0</formula>
    </cfRule>
  </conditionalFormatting>
  <conditionalFormatting sqref="H86:H1048576">
    <cfRule type="cellIs" dxfId="1008" priority="3110" operator="lessThan">
      <formula>0</formula>
    </cfRule>
  </conditionalFormatting>
  <conditionalFormatting sqref="H86:H1048576">
    <cfRule type="cellIs" dxfId="1007" priority="3109" operator="lessThan">
      <formula>0</formula>
    </cfRule>
  </conditionalFormatting>
  <conditionalFormatting sqref="H86:H1048576">
    <cfRule type="cellIs" dxfId="1006" priority="3108" operator="lessThan">
      <formula>0</formula>
    </cfRule>
  </conditionalFormatting>
  <conditionalFormatting sqref="H86:H1048576">
    <cfRule type="cellIs" dxfId="1005" priority="3107" operator="lessThan">
      <formula>0</formula>
    </cfRule>
  </conditionalFormatting>
  <conditionalFormatting sqref="H86:H1048576">
    <cfRule type="cellIs" dxfId="1004" priority="3106" operator="lessThan">
      <formula>0</formula>
    </cfRule>
  </conditionalFormatting>
  <conditionalFormatting sqref="H86:H1048576">
    <cfRule type="cellIs" dxfId="1003" priority="3105" operator="lessThan">
      <formula>0</formula>
    </cfRule>
  </conditionalFormatting>
  <conditionalFormatting sqref="H86:H1048576">
    <cfRule type="cellIs" dxfId="1002" priority="3104" operator="lessThan">
      <formula>0</formula>
    </cfRule>
  </conditionalFormatting>
  <conditionalFormatting sqref="H86:H1048576">
    <cfRule type="cellIs" dxfId="1001" priority="3103" operator="lessThan">
      <formula>0</formula>
    </cfRule>
  </conditionalFormatting>
  <conditionalFormatting sqref="H86:H1048576">
    <cfRule type="cellIs" dxfId="1000" priority="3102" operator="lessThan">
      <formula>0</formula>
    </cfRule>
  </conditionalFormatting>
  <conditionalFormatting sqref="H86:H1048576">
    <cfRule type="cellIs" dxfId="999" priority="3101" operator="lessThan">
      <formula>0</formula>
    </cfRule>
  </conditionalFormatting>
  <conditionalFormatting sqref="H86:H1048576">
    <cfRule type="cellIs" dxfId="998" priority="3100" operator="lessThan">
      <formula>0</formula>
    </cfRule>
  </conditionalFormatting>
  <conditionalFormatting sqref="H86:H1048576">
    <cfRule type="cellIs" dxfId="997" priority="3099" operator="lessThan">
      <formula>0</formula>
    </cfRule>
  </conditionalFormatting>
  <conditionalFormatting sqref="H86:H1048576">
    <cfRule type="cellIs" dxfId="996" priority="3098" operator="lessThan">
      <formula>0</formula>
    </cfRule>
  </conditionalFormatting>
  <conditionalFormatting sqref="H86:H1048576">
    <cfRule type="cellIs" dxfId="995" priority="3097" operator="lessThan">
      <formula>0</formula>
    </cfRule>
  </conditionalFormatting>
  <conditionalFormatting sqref="H86:H1048576">
    <cfRule type="cellIs" dxfId="994" priority="3096" operator="lessThan">
      <formula>0</formula>
    </cfRule>
  </conditionalFormatting>
  <conditionalFormatting sqref="H86:H1048576">
    <cfRule type="cellIs" dxfId="993" priority="3095" operator="lessThan">
      <formula>0</formula>
    </cfRule>
  </conditionalFormatting>
  <conditionalFormatting sqref="H86:H1048576">
    <cfRule type="cellIs" dxfId="992" priority="3094" operator="lessThan">
      <formula>0</formula>
    </cfRule>
  </conditionalFormatting>
  <conditionalFormatting sqref="H86:H1048576">
    <cfRule type="cellIs" dxfId="991" priority="3093" operator="lessThan">
      <formula>0</formula>
    </cfRule>
  </conditionalFormatting>
  <conditionalFormatting sqref="H86:H1048576">
    <cfRule type="cellIs" dxfId="990" priority="3092" operator="lessThan">
      <formula>0</formula>
    </cfRule>
  </conditionalFormatting>
  <conditionalFormatting sqref="H86:H1048576">
    <cfRule type="cellIs" dxfId="989" priority="3091" operator="lessThan">
      <formula>0</formula>
    </cfRule>
  </conditionalFormatting>
  <conditionalFormatting sqref="H86:H1048576">
    <cfRule type="cellIs" dxfId="988" priority="3090" operator="lessThan">
      <formula>0</formula>
    </cfRule>
  </conditionalFormatting>
  <conditionalFormatting sqref="H86:H1048576">
    <cfRule type="cellIs" dxfId="987" priority="3089" operator="lessThan">
      <formula>0</formula>
    </cfRule>
  </conditionalFormatting>
  <conditionalFormatting sqref="H86:H1048576">
    <cfRule type="cellIs" dxfId="986" priority="3088" operator="lessThan">
      <formula>0</formula>
    </cfRule>
  </conditionalFormatting>
  <conditionalFormatting sqref="H86:H1048576">
    <cfRule type="cellIs" dxfId="985" priority="3087" operator="lessThan">
      <formula>0</formula>
    </cfRule>
  </conditionalFormatting>
  <conditionalFormatting sqref="H86:H1048576">
    <cfRule type="cellIs" dxfId="984" priority="3086" operator="lessThan">
      <formula>0</formula>
    </cfRule>
  </conditionalFormatting>
  <conditionalFormatting sqref="H86:H1048576">
    <cfRule type="cellIs" dxfId="983" priority="3085" operator="lessThan">
      <formula>0</formula>
    </cfRule>
  </conditionalFormatting>
  <conditionalFormatting sqref="H86:H1048576">
    <cfRule type="cellIs" dxfId="982" priority="3084" operator="lessThan">
      <formula>0</formula>
    </cfRule>
  </conditionalFormatting>
  <conditionalFormatting sqref="H86:H1048576">
    <cfRule type="cellIs" dxfId="981" priority="3083" operator="lessThan">
      <formula>0</formula>
    </cfRule>
  </conditionalFormatting>
  <conditionalFormatting sqref="H86:H1048576">
    <cfRule type="cellIs" dxfId="980" priority="3082" operator="lessThan">
      <formula>0</formula>
    </cfRule>
  </conditionalFormatting>
  <conditionalFormatting sqref="H86:H1048576">
    <cfRule type="cellIs" dxfId="979" priority="3081" operator="lessThan">
      <formula>0</formula>
    </cfRule>
  </conditionalFormatting>
  <conditionalFormatting sqref="H86:H1048576">
    <cfRule type="cellIs" dxfId="978" priority="3080" operator="lessThan">
      <formula>0</formula>
    </cfRule>
  </conditionalFormatting>
  <conditionalFormatting sqref="H86:H1048576">
    <cfRule type="cellIs" dxfId="977" priority="3079" operator="lessThan">
      <formula>0</formula>
    </cfRule>
  </conditionalFormatting>
  <conditionalFormatting sqref="H86:H1048576">
    <cfRule type="cellIs" dxfId="976" priority="3078" operator="lessThan">
      <formula>0</formula>
    </cfRule>
  </conditionalFormatting>
  <conditionalFormatting sqref="H86:H1048576">
    <cfRule type="cellIs" dxfId="975" priority="3077" operator="lessThan">
      <formula>0</formula>
    </cfRule>
  </conditionalFormatting>
  <conditionalFormatting sqref="H86:H1048576">
    <cfRule type="cellIs" dxfId="974" priority="3076" operator="lessThan">
      <formula>0</formula>
    </cfRule>
  </conditionalFormatting>
  <conditionalFormatting sqref="H86:H1048576">
    <cfRule type="cellIs" dxfId="973" priority="3075" operator="lessThan">
      <formula>0</formula>
    </cfRule>
  </conditionalFormatting>
  <conditionalFormatting sqref="H86:H1048576">
    <cfRule type="cellIs" dxfId="972" priority="3074" operator="lessThan">
      <formula>0</formula>
    </cfRule>
  </conditionalFormatting>
  <conditionalFormatting sqref="H86:H1048576">
    <cfRule type="cellIs" dxfId="971" priority="3073" operator="lessThan">
      <formula>0</formula>
    </cfRule>
  </conditionalFormatting>
  <conditionalFormatting sqref="H86:H1048576">
    <cfRule type="cellIs" dxfId="970" priority="3072" operator="lessThan">
      <formula>0</formula>
    </cfRule>
  </conditionalFormatting>
  <conditionalFormatting sqref="H86:H1048576">
    <cfRule type="cellIs" dxfId="969" priority="3071" operator="lessThan">
      <formula>0</formula>
    </cfRule>
  </conditionalFormatting>
  <conditionalFormatting sqref="H86:H1048576">
    <cfRule type="cellIs" dxfId="968" priority="3070" operator="lessThan">
      <formula>0</formula>
    </cfRule>
  </conditionalFormatting>
  <conditionalFormatting sqref="H10:H1048576">
    <cfRule type="cellIs" dxfId="967" priority="3069" operator="lessThan">
      <formula>0</formula>
    </cfRule>
  </conditionalFormatting>
  <conditionalFormatting sqref="H10:H1048576">
    <cfRule type="cellIs" dxfId="966" priority="3068" operator="lessThan">
      <formula>0</formula>
    </cfRule>
  </conditionalFormatting>
  <conditionalFormatting sqref="H10:H1048576">
    <cfRule type="cellIs" dxfId="965" priority="3067" operator="lessThan">
      <formula>0</formula>
    </cfRule>
  </conditionalFormatting>
  <conditionalFormatting sqref="H10:H1048576">
    <cfRule type="cellIs" dxfId="964" priority="3066" operator="lessThan">
      <formula>0</formula>
    </cfRule>
  </conditionalFormatting>
  <conditionalFormatting sqref="H10:H1048576">
    <cfRule type="cellIs" dxfId="963" priority="3065" operator="lessThan">
      <formula>0</formula>
    </cfRule>
  </conditionalFormatting>
  <conditionalFormatting sqref="H10:H1048576">
    <cfRule type="cellIs" dxfId="962" priority="3064" operator="lessThan">
      <formula>0</formula>
    </cfRule>
  </conditionalFormatting>
  <conditionalFormatting sqref="H10:H1048576">
    <cfRule type="cellIs" dxfId="961" priority="3063" operator="lessThan">
      <formula>0</formula>
    </cfRule>
  </conditionalFormatting>
  <conditionalFormatting sqref="H10:H1048576">
    <cfRule type="cellIs" dxfId="960" priority="3062" operator="lessThan">
      <formula>0</formula>
    </cfRule>
  </conditionalFormatting>
  <conditionalFormatting sqref="H10:H1048576">
    <cfRule type="cellIs" dxfId="959" priority="3061" operator="lessThan">
      <formula>0</formula>
    </cfRule>
  </conditionalFormatting>
  <conditionalFormatting sqref="H10:H1048576">
    <cfRule type="cellIs" dxfId="958" priority="3060" operator="lessThan">
      <formula>0</formula>
    </cfRule>
  </conditionalFormatting>
  <conditionalFormatting sqref="H10:H1048576">
    <cfRule type="cellIs" dxfId="957" priority="3059" operator="lessThan">
      <formula>0</formula>
    </cfRule>
  </conditionalFormatting>
  <conditionalFormatting sqref="H10:H1048576">
    <cfRule type="cellIs" dxfId="956" priority="3058" operator="lessThan">
      <formula>0</formula>
    </cfRule>
  </conditionalFormatting>
  <conditionalFormatting sqref="H10:H1048576">
    <cfRule type="cellIs" dxfId="955" priority="3057" operator="lessThan">
      <formula>0</formula>
    </cfRule>
  </conditionalFormatting>
  <conditionalFormatting sqref="H10:H1048576">
    <cfRule type="cellIs" dxfId="954" priority="3056" operator="lessThan">
      <formula>0</formula>
    </cfRule>
  </conditionalFormatting>
  <conditionalFormatting sqref="H10:H1048576">
    <cfRule type="cellIs" dxfId="953" priority="3055" operator="lessThan">
      <formula>0</formula>
    </cfRule>
  </conditionalFormatting>
  <conditionalFormatting sqref="H10:H1048576">
    <cfRule type="cellIs" dxfId="952" priority="3054" operator="lessThan">
      <formula>0</formula>
    </cfRule>
  </conditionalFormatting>
  <conditionalFormatting sqref="H10:H1048576">
    <cfRule type="cellIs" dxfId="951" priority="3053" operator="lessThan">
      <formula>0</formula>
    </cfRule>
  </conditionalFormatting>
  <conditionalFormatting sqref="H10:H1048576">
    <cfRule type="cellIs" dxfId="950" priority="3052" operator="lessThan">
      <formula>0</formula>
    </cfRule>
  </conditionalFormatting>
  <conditionalFormatting sqref="H10:H1048576">
    <cfRule type="cellIs" dxfId="949" priority="3051" operator="lessThan">
      <formula>0</formula>
    </cfRule>
  </conditionalFormatting>
  <conditionalFormatting sqref="H10:H1048576">
    <cfRule type="cellIs" dxfId="948" priority="3050" operator="lessThan">
      <formula>0</formula>
    </cfRule>
  </conditionalFormatting>
  <conditionalFormatting sqref="H10:H1048576">
    <cfRule type="cellIs" dxfId="947" priority="3049" operator="lessThan">
      <formula>0</formula>
    </cfRule>
  </conditionalFormatting>
  <conditionalFormatting sqref="H10:H1048576">
    <cfRule type="cellIs" dxfId="946" priority="3048" operator="lessThan">
      <formula>0</formula>
    </cfRule>
  </conditionalFormatting>
  <conditionalFormatting sqref="H10:H1048576">
    <cfRule type="cellIs" dxfId="945" priority="3047" operator="lessThan">
      <formula>0</formula>
    </cfRule>
  </conditionalFormatting>
  <conditionalFormatting sqref="H10:H1048576">
    <cfRule type="cellIs" dxfId="944" priority="3046" operator="lessThan">
      <formula>0</formula>
    </cfRule>
  </conditionalFormatting>
  <conditionalFormatting sqref="H10:H1048576">
    <cfRule type="cellIs" dxfId="943" priority="3045" operator="lessThan">
      <formula>0</formula>
    </cfRule>
  </conditionalFormatting>
  <conditionalFormatting sqref="H10:H1048576">
    <cfRule type="cellIs" dxfId="942" priority="3044" operator="lessThan">
      <formula>0</formula>
    </cfRule>
  </conditionalFormatting>
  <conditionalFormatting sqref="H10:H1048576">
    <cfRule type="cellIs" dxfId="941" priority="3043" operator="lessThan">
      <formula>0</formula>
    </cfRule>
  </conditionalFormatting>
  <conditionalFormatting sqref="H10:H1048576">
    <cfRule type="cellIs" dxfId="940" priority="3042" operator="lessThan">
      <formula>0</formula>
    </cfRule>
  </conditionalFormatting>
  <conditionalFormatting sqref="H10:H1048576">
    <cfRule type="cellIs" dxfId="939" priority="3041" operator="lessThan">
      <formula>0</formula>
    </cfRule>
  </conditionalFormatting>
  <conditionalFormatting sqref="H10:H1048576">
    <cfRule type="cellIs" dxfId="938" priority="3040" operator="lessThan">
      <formula>0</formula>
    </cfRule>
  </conditionalFormatting>
  <conditionalFormatting sqref="H10:H1048576">
    <cfRule type="cellIs" dxfId="937" priority="3039" operator="lessThan">
      <formula>0</formula>
    </cfRule>
  </conditionalFormatting>
  <conditionalFormatting sqref="H10:H1048576">
    <cfRule type="cellIs" dxfId="936" priority="3038" operator="lessThan">
      <formula>0</formula>
    </cfRule>
  </conditionalFormatting>
  <conditionalFormatting sqref="H10:H1048576">
    <cfRule type="cellIs" dxfId="935" priority="3037" operator="lessThan">
      <formula>0</formula>
    </cfRule>
  </conditionalFormatting>
  <conditionalFormatting sqref="H10:H1048576">
    <cfRule type="cellIs" dxfId="934" priority="3036" operator="lessThan">
      <formula>0</formula>
    </cfRule>
  </conditionalFormatting>
  <conditionalFormatting sqref="H10:H1048576">
    <cfRule type="cellIs" dxfId="933" priority="3035" operator="lessThan">
      <formula>0</formula>
    </cfRule>
  </conditionalFormatting>
  <conditionalFormatting sqref="H10:H1048576">
    <cfRule type="cellIs" dxfId="932" priority="3034" operator="lessThan">
      <formula>0</formula>
    </cfRule>
  </conditionalFormatting>
  <conditionalFormatting sqref="H10:H1048576">
    <cfRule type="cellIs" dxfId="931" priority="3033" operator="lessThan">
      <formula>0</formula>
    </cfRule>
  </conditionalFormatting>
  <conditionalFormatting sqref="H10:H1048576">
    <cfRule type="cellIs" dxfId="930" priority="3032" operator="lessThan">
      <formula>0</formula>
    </cfRule>
  </conditionalFormatting>
  <conditionalFormatting sqref="H10:H1048576">
    <cfRule type="cellIs" dxfId="929" priority="3031" operator="lessThan">
      <formula>0</formula>
    </cfRule>
  </conditionalFormatting>
  <conditionalFormatting sqref="H10:H1048576">
    <cfRule type="cellIs" dxfId="928" priority="3030" operator="lessThan">
      <formula>0</formula>
    </cfRule>
  </conditionalFormatting>
  <conditionalFormatting sqref="H10:H1048576">
    <cfRule type="cellIs" dxfId="927" priority="3029" operator="lessThan">
      <formula>0</formula>
    </cfRule>
  </conditionalFormatting>
  <conditionalFormatting sqref="H10:H1048576">
    <cfRule type="cellIs" dxfId="926" priority="3028" operator="lessThan">
      <formula>0</formula>
    </cfRule>
  </conditionalFormatting>
  <conditionalFormatting sqref="H10:H1048576">
    <cfRule type="cellIs" dxfId="925" priority="3027" operator="lessThan">
      <formula>0</formula>
    </cfRule>
  </conditionalFormatting>
  <conditionalFormatting sqref="H10:H1048576">
    <cfRule type="cellIs" dxfId="924" priority="3026" operator="lessThan">
      <formula>0</formula>
    </cfRule>
  </conditionalFormatting>
  <conditionalFormatting sqref="H10:H1048576">
    <cfRule type="cellIs" dxfId="923" priority="3025" operator="lessThan">
      <formula>0</formula>
    </cfRule>
  </conditionalFormatting>
  <conditionalFormatting sqref="H10:H1048576">
    <cfRule type="cellIs" dxfId="922" priority="3024" operator="lessThan">
      <formula>0</formula>
    </cfRule>
  </conditionalFormatting>
  <conditionalFormatting sqref="H10:H1048576">
    <cfRule type="cellIs" dxfId="921" priority="3023" operator="lessThan">
      <formula>0</formula>
    </cfRule>
  </conditionalFormatting>
  <conditionalFormatting sqref="H10:H1048576">
    <cfRule type="cellIs" dxfId="920" priority="3022" operator="lessThan">
      <formula>0</formula>
    </cfRule>
  </conditionalFormatting>
  <conditionalFormatting sqref="H10:H1048576">
    <cfRule type="cellIs" dxfId="919" priority="3021" operator="lessThan">
      <formula>0</formula>
    </cfRule>
  </conditionalFormatting>
  <conditionalFormatting sqref="H10:H1048576">
    <cfRule type="cellIs" dxfId="918" priority="3020" operator="lessThan">
      <formula>0</formula>
    </cfRule>
  </conditionalFormatting>
  <conditionalFormatting sqref="H10:H1048576">
    <cfRule type="cellIs" dxfId="917" priority="3019" operator="lessThan">
      <formula>0</formula>
    </cfRule>
  </conditionalFormatting>
  <conditionalFormatting sqref="H10:H1048576">
    <cfRule type="cellIs" dxfId="916" priority="3018" operator="lessThan">
      <formula>0</formula>
    </cfRule>
  </conditionalFormatting>
  <conditionalFormatting sqref="H10:H1048576">
    <cfRule type="cellIs" dxfId="915" priority="3017" operator="lessThan">
      <formula>0</formula>
    </cfRule>
  </conditionalFormatting>
  <conditionalFormatting sqref="H10:H1048576">
    <cfRule type="cellIs" dxfId="914" priority="3016" operator="lessThan">
      <formula>0</formula>
    </cfRule>
  </conditionalFormatting>
  <conditionalFormatting sqref="H10:H1048576">
    <cfRule type="cellIs" dxfId="913" priority="3015" operator="lessThan">
      <formula>0</formula>
    </cfRule>
  </conditionalFormatting>
  <conditionalFormatting sqref="H10:H1048576">
    <cfRule type="cellIs" dxfId="912" priority="3014" operator="lessThan">
      <formula>0</formula>
    </cfRule>
  </conditionalFormatting>
  <conditionalFormatting sqref="H10:H1048576">
    <cfRule type="cellIs" dxfId="911" priority="3013" operator="lessThan">
      <formula>0</formula>
    </cfRule>
  </conditionalFormatting>
  <conditionalFormatting sqref="H10:H1048576">
    <cfRule type="cellIs" dxfId="910" priority="3012" operator="lessThan">
      <formula>0</formula>
    </cfRule>
  </conditionalFormatting>
  <conditionalFormatting sqref="H10:H1048576">
    <cfRule type="cellIs" dxfId="909" priority="3011" operator="lessThan">
      <formula>0</formula>
    </cfRule>
  </conditionalFormatting>
  <conditionalFormatting sqref="H10:H1048576">
    <cfRule type="cellIs" dxfId="908" priority="3010" operator="lessThan">
      <formula>0</formula>
    </cfRule>
  </conditionalFormatting>
  <conditionalFormatting sqref="H10:H1048576">
    <cfRule type="cellIs" dxfId="907" priority="3009" operator="lessThan">
      <formula>0</formula>
    </cfRule>
  </conditionalFormatting>
  <conditionalFormatting sqref="H10:H1048576">
    <cfRule type="cellIs" dxfId="906" priority="3008" operator="lessThan">
      <formula>0</formula>
    </cfRule>
  </conditionalFormatting>
  <conditionalFormatting sqref="H10:H1048576">
    <cfRule type="cellIs" dxfId="905" priority="3007" operator="lessThan">
      <formula>0</formula>
    </cfRule>
  </conditionalFormatting>
  <conditionalFormatting sqref="H10:H1048576">
    <cfRule type="cellIs" dxfId="904" priority="3006" operator="lessThan">
      <formula>0</formula>
    </cfRule>
  </conditionalFormatting>
  <conditionalFormatting sqref="H10:H1048576">
    <cfRule type="cellIs" dxfId="903" priority="3005" operator="lessThan">
      <formula>0</formula>
    </cfRule>
  </conditionalFormatting>
  <conditionalFormatting sqref="H10:H1048576">
    <cfRule type="cellIs" dxfId="902" priority="3004" operator="lessThan">
      <formula>0</formula>
    </cfRule>
  </conditionalFormatting>
  <conditionalFormatting sqref="H10:H1048576">
    <cfRule type="cellIs" dxfId="901" priority="3003" operator="lessThan">
      <formula>0</formula>
    </cfRule>
  </conditionalFormatting>
  <conditionalFormatting sqref="H10:H1048576">
    <cfRule type="cellIs" dxfId="900" priority="3002" operator="lessThan">
      <formula>0</formula>
    </cfRule>
  </conditionalFormatting>
  <conditionalFormatting sqref="H10:H1048576">
    <cfRule type="cellIs" dxfId="899" priority="3001" operator="lessThan">
      <formula>0</formula>
    </cfRule>
  </conditionalFormatting>
  <conditionalFormatting sqref="H10:H1048576">
    <cfRule type="cellIs" dxfId="898" priority="3000" operator="lessThan">
      <formula>0</formula>
    </cfRule>
  </conditionalFormatting>
  <conditionalFormatting sqref="H10:H1048576">
    <cfRule type="cellIs" dxfId="897" priority="2999" operator="lessThan">
      <formula>0</formula>
    </cfRule>
  </conditionalFormatting>
  <conditionalFormatting sqref="H10:H1048576">
    <cfRule type="cellIs" dxfId="896" priority="2998" operator="lessThan">
      <formula>0</formula>
    </cfRule>
  </conditionalFormatting>
  <conditionalFormatting sqref="H10:H1048576">
    <cfRule type="cellIs" dxfId="895" priority="2997" operator="lessThan">
      <formula>0</formula>
    </cfRule>
  </conditionalFormatting>
  <conditionalFormatting sqref="H10:H1048576">
    <cfRule type="cellIs" dxfId="894" priority="2996" operator="lessThan">
      <formula>0</formula>
    </cfRule>
  </conditionalFormatting>
  <conditionalFormatting sqref="H10:H1048576">
    <cfRule type="cellIs" dxfId="893" priority="2995" operator="lessThan">
      <formula>0</formula>
    </cfRule>
  </conditionalFormatting>
  <conditionalFormatting sqref="H10:H1048576">
    <cfRule type="cellIs" dxfId="892" priority="2994" operator="lessThan">
      <formula>0</formula>
    </cfRule>
  </conditionalFormatting>
  <conditionalFormatting sqref="H10:H1048576">
    <cfRule type="cellIs" dxfId="891" priority="2993" operator="lessThan">
      <formula>0</formula>
    </cfRule>
  </conditionalFormatting>
  <conditionalFormatting sqref="H10:H1048576">
    <cfRule type="cellIs" dxfId="890" priority="2992" operator="lessThan">
      <formula>0</formula>
    </cfRule>
  </conditionalFormatting>
  <conditionalFormatting sqref="H10:H1048576">
    <cfRule type="cellIs" dxfId="889" priority="2991" operator="lessThan">
      <formula>0</formula>
    </cfRule>
  </conditionalFormatting>
  <conditionalFormatting sqref="H10:H1048576">
    <cfRule type="cellIs" dxfId="888" priority="2990" operator="lessThan">
      <formula>0</formula>
    </cfRule>
  </conditionalFormatting>
  <conditionalFormatting sqref="H10:H1048576">
    <cfRule type="cellIs" dxfId="887" priority="2989" operator="lessThan">
      <formula>0</formula>
    </cfRule>
  </conditionalFormatting>
  <conditionalFormatting sqref="H10:H1048576">
    <cfRule type="cellIs" dxfId="886" priority="2988" operator="lessThan">
      <formula>0</formula>
    </cfRule>
  </conditionalFormatting>
  <conditionalFormatting sqref="H10:H1048576">
    <cfRule type="cellIs" dxfId="885" priority="2987" operator="lessThan">
      <formula>0</formula>
    </cfRule>
  </conditionalFormatting>
  <conditionalFormatting sqref="H10:H1048576">
    <cfRule type="cellIs" dxfId="884" priority="2986" operator="lessThan">
      <formula>0</formula>
    </cfRule>
  </conditionalFormatting>
  <conditionalFormatting sqref="H10:H1048576">
    <cfRule type="cellIs" dxfId="883" priority="2985" operator="lessThan">
      <formula>0</formula>
    </cfRule>
  </conditionalFormatting>
  <conditionalFormatting sqref="H10:H1048576">
    <cfRule type="cellIs" dxfId="882" priority="2984" operator="lessThan">
      <formula>0</formula>
    </cfRule>
  </conditionalFormatting>
  <conditionalFormatting sqref="H10:H1048576">
    <cfRule type="cellIs" dxfId="881" priority="2983" operator="lessThan">
      <formula>0</formula>
    </cfRule>
  </conditionalFormatting>
  <conditionalFormatting sqref="H10:H1048576">
    <cfRule type="cellIs" dxfId="880" priority="2982" operator="lessThan">
      <formula>0</formula>
    </cfRule>
  </conditionalFormatting>
  <conditionalFormatting sqref="H10:H1048576">
    <cfRule type="cellIs" dxfId="879" priority="2981" operator="lessThan">
      <formula>0</formula>
    </cfRule>
  </conditionalFormatting>
  <conditionalFormatting sqref="H10:H1048576">
    <cfRule type="cellIs" dxfId="878" priority="2980" operator="lessThan">
      <formula>0</formula>
    </cfRule>
  </conditionalFormatting>
  <conditionalFormatting sqref="H10:H1048576">
    <cfRule type="cellIs" dxfId="877" priority="2979" operator="lessThan">
      <formula>0</formula>
    </cfRule>
  </conditionalFormatting>
  <conditionalFormatting sqref="H10:H1048576">
    <cfRule type="cellIs" dxfId="876" priority="2978" operator="lessThan">
      <formula>0</formula>
    </cfRule>
  </conditionalFormatting>
  <conditionalFormatting sqref="H10:H1048576">
    <cfRule type="cellIs" dxfId="875" priority="2977" operator="lessThan">
      <formula>0</formula>
    </cfRule>
  </conditionalFormatting>
  <conditionalFormatting sqref="H10:H1048576">
    <cfRule type="cellIs" dxfId="874" priority="2976" operator="lessThan">
      <formula>0</formula>
    </cfRule>
  </conditionalFormatting>
  <conditionalFormatting sqref="H10:H1048576">
    <cfRule type="cellIs" dxfId="873" priority="2975" operator="lessThan">
      <formula>0</formula>
    </cfRule>
  </conditionalFormatting>
  <conditionalFormatting sqref="H10:H1048576">
    <cfRule type="cellIs" dxfId="872" priority="2974" operator="lessThan">
      <formula>0</formula>
    </cfRule>
  </conditionalFormatting>
  <conditionalFormatting sqref="H10:H1048576">
    <cfRule type="cellIs" dxfId="871" priority="2973" operator="lessThan">
      <formula>0</formula>
    </cfRule>
  </conditionalFormatting>
  <conditionalFormatting sqref="H10:H1048576">
    <cfRule type="cellIs" dxfId="870" priority="2972" operator="lessThan">
      <formula>0</formula>
    </cfRule>
  </conditionalFormatting>
  <conditionalFormatting sqref="H10:H1048576">
    <cfRule type="cellIs" dxfId="869" priority="2971" operator="lessThan">
      <formula>0</formula>
    </cfRule>
  </conditionalFormatting>
  <conditionalFormatting sqref="H10:H1048576">
    <cfRule type="cellIs" dxfId="868" priority="2970" operator="lessThan">
      <formula>0</formula>
    </cfRule>
  </conditionalFormatting>
  <conditionalFormatting sqref="H10:H1048576">
    <cfRule type="cellIs" dxfId="867" priority="2969" operator="lessThan">
      <formula>0</formula>
    </cfRule>
  </conditionalFormatting>
  <conditionalFormatting sqref="H10:H1048576">
    <cfRule type="cellIs" dxfId="866" priority="2968" operator="lessThan">
      <formula>0</formula>
    </cfRule>
  </conditionalFormatting>
  <conditionalFormatting sqref="H10:H1048576">
    <cfRule type="cellIs" dxfId="865" priority="2967" operator="lessThan">
      <formula>0</formula>
    </cfRule>
  </conditionalFormatting>
  <conditionalFormatting sqref="H10:H1048576">
    <cfRule type="cellIs" dxfId="864" priority="2966" operator="lessThan">
      <formula>0</formula>
    </cfRule>
  </conditionalFormatting>
  <conditionalFormatting sqref="H10:H1048576">
    <cfRule type="cellIs" dxfId="863" priority="2965" operator="lessThan">
      <formula>0</formula>
    </cfRule>
  </conditionalFormatting>
  <conditionalFormatting sqref="H10:H1048576">
    <cfRule type="cellIs" dxfId="862" priority="2964" operator="lessThan">
      <formula>0</formula>
    </cfRule>
  </conditionalFormatting>
  <conditionalFormatting sqref="H10:H1048576">
    <cfRule type="cellIs" dxfId="861" priority="2963" operator="lessThan">
      <formula>0</formula>
    </cfRule>
  </conditionalFormatting>
  <conditionalFormatting sqref="H10:H1048576">
    <cfRule type="cellIs" dxfId="860" priority="2962" operator="lessThan">
      <formula>0</formula>
    </cfRule>
  </conditionalFormatting>
  <conditionalFormatting sqref="H10:H1048576">
    <cfRule type="cellIs" dxfId="859" priority="2961" operator="lessThan">
      <formula>0</formula>
    </cfRule>
  </conditionalFormatting>
  <conditionalFormatting sqref="H10:H1048576">
    <cfRule type="cellIs" dxfId="858" priority="2960" operator="lessThan">
      <formula>0</formula>
    </cfRule>
  </conditionalFormatting>
  <conditionalFormatting sqref="H10:H1048576">
    <cfRule type="cellIs" dxfId="857" priority="2959" operator="lessThan">
      <formula>0</formula>
    </cfRule>
  </conditionalFormatting>
  <conditionalFormatting sqref="H10:H1048576">
    <cfRule type="cellIs" dxfId="856" priority="2958" operator="lessThan">
      <formula>0</formula>
    </cfRule>
  </conditionalFormatting>
  <conditionalFormatting sqref="H10:H1048576">
    <cfRule type="cellIs" dxfId="855" priority="2957" operator="lessThan">
      <formula>0</formula>
    </cfRule>
  </conditionalFormatting>
  <conditionalFormatting sqref="H10:H1048576">
    <cfRule type="cellIs" dxfId="854" priority="2956" operator="lessThan">
      <formula>0</formula>
    </cfRule>
  </conditionalFormatting>
  <conditionalFormatting sqref="H10:H1048576">
    <cfRule type="cellIs" dxfId="853" priority="2955" operator="lessThan">
      <formula>0</formula>
    </cfRule>
  </conditionalFormatting>
  <conditionalFormatting sqref="H10:H1048576">
    <cfRule type="cellIs" dxfId="852" priority="2954" operator="lessThan">
      <formula>0</formula>
    </cfRule>
  </conditionalFormatting>
  <conditionalFormatting sqref="H10:H1048576">
    <cfRule type="cellIs" dxfId="851" priority="2953" operator="lessThan">
      <formula>0</formula>
    </cfRule>
  </conditionalFormatting>
  <conditionalFormatting sqref="H10:H1048576">
    <cfRule type="cellIs" dxfId="850" priority="2952" operator="lessThan">
      <formula>0</formula>
    </cfRule>
  </conditionalFormatting>
  <conditionalFormatting sqref="H10:H1048576">
    <cfRule type="cellIs" dxfId="849" priority="2951" operator="lessThan">
      <formula>0</formula>
    </cfRule>
  </conditionalFormatting>
  <conditionalFormatting sqref="H10:H1048576">
    <cfRule type="cellIs" dxfId="848" priority="2950" operator="lessThan">
      <formula>0</formula>
    </cfRule>
  </conditionalFormatting>
  <conditionalFormatting sqref="H10:H1048576">
    <cfRule type="cellIs" dxfId="847" priority="2949" operator="lessThan">
      <formula>0</formula>
    </cfRule>
  </conditionalFormatting>
  <conditionalFormatting sqref="H10:H1048576">
    <cfRule type="cellIs" dxfId="846" priority="2948" operator="lessThan">
      <formula>0</formula>
    </cfRule>
  </conditionalFormatting>
  <conditionalFormatting sqref="H10:H1048576">
    <cfRule type="cellIs" dxfId="845" priority="2947" operator="lessThan">
      <formula>0</formula>
    </cfRule>
  </conditionalFormatting>
  <conditionalFormatting sqref="H10:H1048576">
    <cfRule type="cellIs" dxfId="844" priority="2946" operator="lessThan">
      <formula>0</formula>
    </cfRule>
  </conditionalFormatting>
  <conditionalFormatting sqref="H10:H1048576">
    <cfRule type="cellIs" dxfId="843" priority="2945" operator="lessThan">
      <formula>0</formula>
    </cfRule>
  </conditionalFormatting>
  <conditionalFormatting sqref="H10:H1048576">
    <cfRule type="cellIs" dxfId="842" priority="2944" operator="lessThan">
      <formula>0</formula>
    </cfRule>
  </conditionalFormatting>
  <conditionalFormatting sqref="H10:H1048576">
    <cfRule type="cellIs" dxfId="841" priority="2943" operator="lessThan">
      <formula>0</formula>
    </cfRule>
  </conditionalFormatting>
  <conditionalFormatting sqref="H10:H1048576">
    <cfRule type="cellIs" dxfId="840" priority="2942" operator="lessThan">
      <formula>0</formula>
    </cfRule>
  </conditionalFormatting>
  <conditionalFormatting sqref="H10:H1048576">
    <cfRule type="cellIs" dxfId="839" priority="2941" operator="lessThan">
      <formula>0</formula>
    </cfRule>
  </conditionalFormatting>
  <conditionalFormatting sqref="H10:H1048576">
    <cfRule type="cellIs" dxfId="838" priority="2940" operator="lessThan">
      <formula>0</formula>
    </cfRule>
  </conditionalFormatting>
  <conditionalFormatting sqref="H10:H1048576">
    <cfRule type="cellIs" dxfId="837" priority="2939" operator="lessThan">
      <formula>0</formula>
    </cfRule>
  </conditionalFormatting>
  <conditionalFormatting sqref="H10:H1048576">
    <cfRule type="cellIs" dxfId="836" priority="2938" operator="lessThan">
      <formula>0</formula>
    </cfRule>
  </conditionalFormatting>
  <conditionalFormatting sqref="H10:H1048576">
    <cfRule type="cellIs" dxfId="835" priority="2937" operator="lessThan">
      <formula>0</formula>
    </cfRule>
  </conditionalFormatting>
  <conditionalFormatting sqref="H10:H1048576">
    <cfRule type="cellIs" dxfId="834" priority="2936" operator="lessThan">
      <formula>0</formula>
    </cfRule>
  </conditionalFormatting>
  <conditionalFormatting sqref="H10:H1048576">
    <cfRule type="cellIs" dxfId="833" priority="2935" operator="lessThan">
      <formula>0</formula>
    </cfRule>
  </conditionalFormatting>
  <conditionalFormatting sqref="H10:H1048576">
    <cfRule type="cellIs" dxfId="832" priority="2934" operator="lessThan">
      <formula>0</formula>
    </cfRule>
  </conditionalFormatting>
  <conditionalFormatting sqref="H10:H1048576">
    <cfRule type="cellIs" dxfId="831" priority="2933" operator="lessThan">
      <formula>0</formula>
    </cfRule>
  </conditionalFormatting>
  <conditionalFormatting sqref="H10:H1048576">
    <cfRule type="cellIs" dxfId="830" priority="2932" operator="lessThan">
      <formula>0</formula>
    </cfRule>
  </conditionalFormatting>
  <conditionalFormatting sqref="H10:H1048576">
    <cfRule type="cellIs" dxfId="829" priority="2931" operator="lessThan">
      <formula>0</formula>
    </cfRule>
  </conditionalFormatting>
  <conditionalFormatting sqref="H10:H1048576">
    <cfRule type="cellIs" dxfId="828" priority="2930" operator="lessThan">
      <formula>0</formula>
    </cfRule>
  </conditionalFormatting>
  <conditionalFormatting sqref="H10:H1048576">
    <cfRule type="cellIs" dxfId="827" priority="2929" operator="lessThan">
      <formula>0</formula>
    </cfRule>
  </conditionalFormatting>
  <conditionalFormatting sqref="H10:H1048576">
    <cfRule type="cellIs" dxfId="826" priority="2928" operator="lessThan">
      <formula>0</formula>
    </cfRule>
  </conditionalFormatting>
  <conditionalFormatting sqref="H10:H1048576">
    <cfRule type="cellIs" dxfId="825" priority="2927" operator="lessThan">
      <formula>0</formula>
    </cfRule>
  </conditionalFormatting>
  <conditionalFormatting sqref="H10:H1048576">
    <cfRule type="cellIs" dxfId="824" priority="2926" operator="lessThan">
      <formula>0</formula>
    </cfRule>
  </conditionalFormatting>
  <conditionalFormatting sqref="H10:H1048576">
    <cfRule type="cellIs" dxfId="823" priority="2925" operator="lessThan">
      <formula>0</formula>
    </cfRule>
  </conditionalFormatting>
  <conditionalFormatting sqref="H10:H1048576">
    <cfRule type="cellIs" dxfId="822" priority="2924" operator="lessThan">
      <formula>0</formula>
    </cfRule>
  </conditionalFormatting>
  <conditionalFormatting sqref="H10:H1048576">
    <cfRule type="cellIs" dxfId="821" priority="2923" operator="lessThan">
      <formula>0</formula>
    </cfRule>
  </conditionalFormatting>
  <conditionalFormatting sqref="H10:H1048576">
    <cfRule type="cellIs" dxfId="820" priority="2922" operator="lessThan">
      <formula>0</formula>
    </cfRule>
  </conditionalFormatting>
  <conditionalFormatting sqref="H10:H1048576">
    <cfRule type="cellIs" dxfId="819" priority="2921" operator="lessThan">
      <formula>0</formula>
    </cfRule>
  </conditionalFormatting>
  <conditionalFormatting sqref="H10:H1048576">
    <cfRule type="cellIs" dxfId="818" priority="2920" operator="lessThan">
      <formula>0</formula>
    </cfRule>
  </conditionalFormatting>
  <conditionalFormatting sqref="H10:H1048576">
    <cfRule type="cellIs" dxfId="817" priority="2919" operator="lessThan">
      <formula>0</formula>
    </cfRule>
  </conditionalFormatting>
  <conditionalFormatting sqref="H10:H1048576">
    <cfRule type="cellIs" dxfId="816" priority="2918" operator="lessThan">
      <formula>0</formula>
    </cfRule>
  </conditionalFormatting>
  <conditionalFormatting sqref="H10:H1048576">
    <cfRule type="cellIs" dxfId="815" priority="2917" operator="lessThan">
      <formula>0</formula>
    </cfRule>
  </conditionalFormatting>
  <conditionalFormatting sqref="H10:H1048576">
    <cfRule type="cellIs" dxfId="814" priority="2916" operator="lessThan">
      <formula>0</formula>
    </cfRule>
  </conditionalFormatting>
  <conditionalFormatting sqref="H10:H1048576">
    <cfRule type="cellIs" dxfId="813" priority="2915" operator="lessThan">
      <formula>0</formula>
    </cfRule>
  </conditionalFormatting>
  <conditionalFormatting sqref="H10:H1048576">
    <cfRule type="cellIs" dxfId="812" priority="2914" operator="lessThan">
      <formula>0</formula>
    </cfRule>
  </conditionalFormatting>
  <conditionalFormatting sqref="H10:H1048576">
    <cfRule type="cellIs" dxfId="811" priority="2913" operator="lessThan">
      <formula>0</formula>
    </cfRule>
  </conditionalFormatting>
  <conditionalFormatting sqref="H10:H1048576">
    <cfRule type="cellIs" dxfId="810" priority="2912" operator="lessThan">
      <formula>0</formula>
    </cfRule>
  </conditionalFormatting>
  <conditionalFormatting sqref="H10:H1048576">
    <cfRule type="cellIs" dxfId="809" priority="2911" operator="lessThan">
      <formula>0</formula>
    </cfRule>
  </conditionalFormatting>
  <conditionalFormatting sqref="H10:H1048576">
    <cfRule type="cellIs" dxfId="808" priority="2910" operator="lessThan">
      <formula>0</formula>
    </cfRule>
  </conditionalFormatting>
  <conditionalFormatting sqref="H10:H1048576">
    <cfRule type="cellIs" dxfId="807" priority="2909" operator="lessThan">
      <formula>0</formula>
    </cfRule>
  </conditionalFormatting>
  <conditionalFormatting sqref="H10:H1048576">
    <cfRule type="cellIs" dxfId="806" priority="2908" operator="lessThan">
      <formula>0</formula>
    </cfRule>
  </conditionalFormatting>
  <conditionalFormatting sqref="H10:H1048576">
    <cfRule type="cellIs" dxfId="805" priority="2907" operator="lessThan">
      <formula>0</formula>
    </cfRule>
  </conditionalFormatting>
  <conditionalFormatting sqref="H10:H1048576">
    <cfRule type="cellIs" dxfId="804" priority="2906" operator="lessThan">
      <formula>0</formula>
    </cfRule>
  </conditionalFormatting>
  <conditionalFormatting sqref="H10:H1048576">
    <cfRule type="cellIs" dxfId="803" priority="2905" operator="lessThan">
      <formula>0</formula>
    </cfRule>
  </conditionalFormatting>
  <conditionalFormatting sqref="H10:H1048576">
    <cfRule type="cellIs" dxfId="802" priority="2904" operator="lessThan">
      <formula>0</formula>
    </cfRule>
  </conditionalFormatting>
  <conditionalFormatting sqref="H10:H1048576">
    <cfRule type="cellIs" dxfId="801" priority="2903" operator="lessThan">
      <formula>0</formula>
    </cfRule>
  </conditionalFormatting>
  <conditionalFormatting sqref="H10:H1048576">
    <cfRule type="cellIs" dxfId="800" priority="2902" operator="lessThan">
      <formula>0</formula>
    </cfRule>
  </conditionalFormatting>
  <conditionalFormatting sqref="H10:H1048576">
    <cfRule type="cellIs" dxfId="799" priority="2901" operator="lessThan">
      <formula>0</formula>
    </cfRule>
  </conditionalFormatting>
  <conditionalFormatting sqref="H10:H1048576">
    <cfRule type="cellIs" dxfId="798" priority="2900" operator="lessThan">
      <formula>0</formula>
    </cfRule>
  </conditionalFormatting>
  <conditionalFormatting sqref="H10:H1048576">
    <cfRule type="cellIs" dxfId="797" priority="2899" operator="lessThan">
      <formula>0</formula>
    </cfRule>
  </conditionalFormatting>
  <conditionalFormatting sqref="H10:H1048576">
    <cfRule type="cellIs" dxfId="796" priority="2898" operator="lessThan">
      <formula>0</formula>
    </cfRule>
  </conditionalFormatting>
  <conditionalFormatting sqref="H10:H1048576">
    <cfRule type="cellIs" dxfId="795" priority="2897" operator="lessThan">
      <formula>0</formula>
    </cfRule>
  </conditionalFormatting>
  <conditionalFormatting sqref="H10:H1048576">
    <cfRule type="cellIs" dxfId="794" priority="2896" operator="lessThan">
      <formula>0</formula>
    </cfRule>
  </conditionalFormatting>
  <conditionalFormatting sqref="H10:H1048576">
    <cfRule type="cellIs" dxfId="793" priority="2895" operator="lessThan">
      <formula>0</formula>
    </cfRule>
  </conditionalFormatting>
  <conditionalFormatting sqref="H10:H1048576">
    <cfRule type="cellIs" dxfId="792" priority="2894" operator="lessThan">
      <formula>0</formula>
    </cfRule>
  </conditionalFormatting>
  <conditionalFormatting sqref="H10:H1048576">
    <cfRule type="cellIs" dxfId="791" priority="2893" operator="lessThan">
      <formula>0</formula>
    </cfRule>
  </conditionalFormatting>
  <conditionalFormatting sqref="H10:H1048576">
    <cfRule type="cellIs" dxfId="790" priority="2892" operator="lessThan">
      <formula>0</formula>
    </cfRule>
  </conditionalFormatting>
  <conditionalFormatting sqref="H10:H1048576">
    <cfRule type="cellIs" dxfId="789" priority="2891" operator="lessThan">
      <formula>0</formula>
    </cfRule>
  </conditionalFormatting>
  <conditionalFormatting sqref="H10:H1048576">
    <cfRule type="cellIs" dxfId="788" priority="2890" operator="lessThan">
      <formula>0</formula>
    </cfRule>
  </conditionalFormatting>
  <conditionalFormatting sqref="H10:H1048576">
    <cfRule type="cellIs" dxfId="787" priority="2889" operator="lessThan">
      <formula>0</formula>
    </cfRule>
  </conditionalFormatting>
  <conditionalFormatting sqref="H10:H1048576">
    <cfRule type="cellIs" dxfId="786" priority="2888" operator="lessThan">
      <formula>0</formula>
    </cfRule>
  </conditionalFormatting>
  <conditionalFormatting sqref="H10:H1048576">
    <cfRule type="cellIs" dxfId="785" priority="2887" operator="lessThan">
      <formula>0</formula>
    </cfRule>
  </conditionalFormatting>
  <conditionalFormatting sqref="H10:H1048576">
    <cfRule type="cellIs" dxfId="784" priority="2886" operator="lessThan">
      <formula>0</formula>
    </cfRule>
  </conditionalFormatting>
  <conditionalFormatting sqref="H10:H1048576">
    <cfRule type="cellIs" dxfId="783" priority="2885" operator="lessThan">
      <formula>0</formula>
    </cfRule>
  </conditionalFormatting>
  <conditionalFormatting sqref="H10:H1048576">
    <cfRule type="cellIs" dxfId="782" priority="2884" operator="lessThan">
      <formula>0</formula>
    </cfRule>
  </conditionalFormatting>
  <conditionalFormatting sqref="H10:H1048576">
    <cfRule type="cellIs" dxfId="781" priority="2883" operator="lessThan">
      <formula>0</formula>
    </cfRule>
  </conditionalFormatting>
  <conditionalFormatting sqref="H10:H1048576">
    <cfRule type="cellIs" dxfId="780" priority="2882" operator="lessThan">
      <formula>0</formula>
    </cfRule>
  </conditionalFormatting>
  <conditionalFormatting sqref="H10:H1048576">
    <cfRule type="cellIs" dxfId="779" priority="2881" operator="lessThan">
      <formula>0</formula>
    </cfRule>
  </conditionalFormatting>
  <conditionalFormatting sqref="H10:H1048576">
    <cfRule type="cellIs" dxfId="778" priority="2880" operator="lessThan">
      <formula>0</formula>
    </cfRule>
  </conditionalFormatting>
  <conditionalFormatting sqref="H10:H1048576">
    <cfRule type="cellIs" dxfId="777" priority="2879" operator="lessThan">
      <formula>0</formula>
    </cfRule>
  </conditionalFormatting>
  <conditionalFormatting sqref="H10:H1048576">
    <cfRule type="cellIs" dxfId="776" priority="2878" operator="lessThan">
      <formula>0</formula>
    </cfRule>
  </conditionalFormatting>
  <conditionalFormatting sqref="H10:H1048576">
    <cfRule type="cellIs" dxfId="775" priority="2877" operator="lessThan">
      <formula>0</formula>
    </cfRule>
  </conditionalFormatting>
  <conditionalFormatting sqref="H10:H1048576">
    <cfRule type="cellIs" dxfId="774" priority="2876" operator="lessThan">
      <formula>0</formula>
    </cfRule>
  </conditionalFormatting>
  <conditionalFormatting sqref="H10:H1048576">
    <cfRule type="cellIs" dxfId="773" priority="2875" operator="lessThan">
      <formula>0</formula>
    </cfRule>
  </conditionalFormatting>
  <conditionalFormatting sqref="H10:H1048576">
    <cfRule type="cellIs" dxfId="772" priority="2874" operator="lessThan">
      <formula>0</formula>
    </cfRule>
  </conditionalFormatting>
  <conditionalFormatting sqref="H10:H1048576">
    <cfRule type="cellIs" dxfId="771" priority="2873" operator="lessThan">
      <formula>0</formula>
    </cfRule>
  </conditionalFormatting>
  <conditionalFormatting sqref="H10:H1048576">
    <cfRule type="cellIs" dxfId="770" priority="2872" operator="lessThan">
      <formula>0</formula>
    </cfRule>
  </conditionalFormatting>
  <conditionalFormatting sqref="H10:H1048576">
    <cfRule type="cellIs" dxfId="769" priority="2871" operator="lessThan">
      <formula>0</formula>
    </cfRule>
  </conditionalFormatting>
  <conditionalFormatting sqref="H10:H1048576">
    <cfRule type="cellIs" dxfId="768" priority="2870" operator="lessThan">
      <formula>0</formula>
    </cfRule>
  </conditionalFormatting>
  <conditionalFormatting sqref="H10:H1048576">
    <cfRule type="cellIs" dxfId="767" priority="2869" operator="lessThan">
      <formula>0</formula>
    </cfRule>
  </conditionalFormatting>
  <conditionalFormatting sqref="H10:H1048576">
    <cfRule type="cellIs" dxfId="766" priority="2868" operator="lessThan">
      <formula>0</formula>
    </cfRule>
  </conditionalFormatting>
  <conditionalFormatting sqref="H10:H1048576">
    <cfRule type="cellIs" dxfId="765" priority="2867" operator="lessThan">
      <formula>0</formula>
    </cfRule>
  </conditionalFormatting>
  <conditionalFormatting sqref="H10:H1048576">
    <cfRule type="cellIs" dxfId="764" priority="2866" operator="lessThan">
      <formula>0</formula>
    </cfRule>
  </conditionalFormatting>
  <conditionalFormatting sqref="H10:H1048576">
    <cfRule type="cellIs" dxfId="763" priority="2865" operator="lessThan">
      <formula>0</formula>
    </cfRule>
  </conditionalFormatting>
  <conditionalFormatting sqref="H10:H1048576">
    <cfRule type="cellIs" dxfId="762" priority="2864" operator="lessThan">
      <formula>0</formula>
    </cfRule>
  </conditionalFormatting>
  <conditionalFormatting sqref="H10:H1048576">
    <cfRule type="cellIs" dxfId="761" priority="2863" operator="lessThan">
      <formula>0</formula>
    </cfRule>
  </conditionalFormatting>
  <conditionalFormatting sqref="H10:H1048576">
    <cfRule type="cellIs" dxfId="760" priority="2862" operator="lessThan">
      <formula>0</formula>
    </cfRule>
  </conditionalFormatting>
  <conditionalFormatting sqref="H10:H1048576">
    <cfRule type="cellIs" dxfId="759" priority="2861" operator="lessThan">
      <formula>0</formula>
    </cfRule>
  </conditionalFormatting>
  <conditionalFormatting sqref="H10:H1048576">
    <cfRule type="cellIs" dxfId="758" priority="2860" operator="lessThan">
      <formula>0</formula>
    </cfRule>
  </conditionalFormatting>
  <conditionalFormatting sqref="H10:H1048576">
    <cfRule type="cellIs" dxfId="757" priority="2859" operator="lessThan">
      <formula>0</formula>
    </cfRule>
  </conditionalFormatting>
  <conditionalFormatting sqref="H10:H1048576">
    <cfRule type="cellIs" dxfId="756" priority="2858" operator="lessThan">
      <formula>0</formula>
    </cfRule>
  </conditionalFormatting>
  <conditionalFormatting sqref="H10:H1048576">
    <cfRule type="cellIs" dxfId="755" priority="2857" operator="lessThan">
      <formula>0</formula>
    </cfRule>
  </conditionalFormatting>
  <conditionalFormatting sqref="H10:H1048576">
    <cfRule type="cellIs" dxfId="754" priority="2856" operator="lessThan">
      <formula>0</formula>
    </cfRule>
  </conditionalFormatting>
  <conditionalFormatting sqref="H10:H1048576">
    <cfRule type="cellIs" dxfId="753" priority="2855" operator="lessThan">
      <formula>0</formula>
    </cfRule>
  </conditionalFormatting>
  <conditionalFormatting sqref="H10:H1048576">
    <cfRule type="cellIs" dxfId="752" priority="2854" operator="lessThan">
      <formula>0</formula>
    </cfRule>
  </conditionalFormatting>
  <conditionalFormatting sqref="H10:H1048576">
    <cfRule type="cellIs" dxfId="751" priority="2853" operator="lessThan">
      <formula>0</formula>
    </cfRule>
  </conditionalFormatting>
  <conditionalFormatting sqref="H10:H1048576">
    <cfRule type="cellIs" dxfId="750" priority="2852" operator="lessThan">
      <formula>0</formula>
    </cfRule>
  </conditionalFormatting>
  <conditionalFormatting sqref="H10:H1048576">
    <cfRule type="cellIs" dxfId="749" priority="2851" operator="lessThan">
      <formula>0</formula>
    </cfRule>
  </conditionalFormatting>
  <conditionalFormatting sqref="H10:H1048576">
    <cfRule type="cellIs" dxfId="748" priority="2850" operator="lessThan">
      <formula>0</formula>
    </cfRule>
  </conditionalFormatting>
  <conditionalFormatting sqref="H10:H1048576">
    <cfRule type="cellIs" dxfId="747" priority="2849" operator="lessThan">
      <formula>0</formula>
    </cfRule>
  </conditionalFormatting>
  <conditionalFormatting sqref="H10:H1048576">
    <cfRule type="cellIs" dxfId="746" priority="2848" operator="lessThan">
      <formula>0</formula>
    </cfRule>
  </conditionalFormatting>
  <conditionalFormatting sqref="H10:H1048576">
    <cfRule type="cellIs" dxfId="745" priority="2847" operator="lessThan">
      <formula>0</formula>
    </cfRule>
  </conditionalFormatting>
  <conditionalFormatting sqref="H10:H1048576">
    <cfRule type="cellIs" dxfId="744" priority="2846" operator="lessThan">
      <formula>0</formula>
    </cfRule>
  </conditionalFormatting>
  <conditionalFormatting sqref="H10:H1048576">
    <cfRule type="cellIs" dxfId="743" priority="2845" operator="lessThan">
      <formula>0</formula>
    </cfRule>
  </conditionalFormatting>
  <conditionalFormatting sqref="H10:H1048576">
    <cfRule type="cellIs" dxfId="742" priority="2844" operator="lessThan">
      <formula>0</formula>
    </cfRule>
  </conditionalFormatting>
  <conditionalFormatting sqref="H10:H1048576">
    <cfRule type="cellIs" dxfId="741" priority="2843" operator="lessThan">
      <formula>0</formula>
    </cfRule>
  </conditionalFormatting>
  <conditionalFormatting sqref="H10:H1048576">
    <cfRule type="cellIs" dxfId="740" priority="2842" operator="lessThan">
      <formula>0</formula>
    </cfRule>
  </conditionalFormatting>
  <conditionalFormatting sqref="H10:H1048576">
    <cfRule type="cellIs" dxfId="739" priority="2841" operator="lessThan">
      <formula>0</formula>
    </cfRule>
  </conditionalFormatting>
  <conditionalFormatting sqref="H10:H1048576">
    <cfRule type="cellIs" dxfId="738" priority="2840" operator="lessThan">
      <formula>0</formula>
    </cfRule>
  </conditionalFormatting>
  <conditionalFormatting sqref="H10:H1048576">
    <cfRule type="cellIs" dxfId="737" priority="2839" operator="lessThan">
      <formula>0</formula>
    </cfRule>
  </conditionalFormatting>
  <conditionalFormatting sqref="H10:H1048576">
    <cfRule type="cellIs" dxfId="736" priority="2838" operator="lessThan">
      <formula>0</formula>
    </cfRule>
  </conditionalFormatting>
  <conditionalFormatting sqref="H10:H1048576">
    <cfRule type="cellIs" dxfId="735" priority="2837" operator="lessThan">
      <formula>0</formula>
    </cfRule>
  </conditionalFormatting>
  <conditionalFormatting sqref="H10:H1048576">
    <cfRule type="cellIs" dxfId="734" priority="2836" operator="lessThan">
      <formula>0</formula>
    </cfRule>
  </conditionalFormatting>
  <conditionalFormatting sqref="H10:H1048576">
    <cfRule type="cellIs" dxfId="733" priority="2835" operator="lessThan">
      <formula>0</formula>
    </cfRule>
  </conditionalFormatting>
  <conditionalFormatting sqref="H10:H1048576">
    <cfRule type="cellIs" dxfId="732" priority="2834" operator="lessThan">
      <formula>0</formula>
    </cfRule>
  </conditionalFormatting>
  <conditionalFormatting sqref="H10:H1048576">
    <cfRule type="cellIs" dxfId="731" priority="2833" operator="lessThan">
      <formula>0</formula>
    </cfRule>
  </conditionalFormatting>
  <conditionalFormatting sqref="H10:H1048576">
    <cfRule type="cellIs" dxfId="730" priority="2832" operator="lessThan">
      <formula>0</formula>
    </cfRule>
  </conditionalFormatting>
  <conditionalFormatting sqref="H10:H1048576">
    <cfRule type="cellIs" dxfId="729" priority="2831" operator="lessThan">
      <formula>0</formula>
    </cfRule>
  </conditionalFormatting>
  <conditionalFormatting sqref="H10:H1048576">
    <cfRule type="cellIs" dxfId="728" priority="2830" operator="lessThan">
      <formula>0</formula>
    </cfRule>
  </conditionalFormatting>
  <conditionalFormatting sqref="H10:H1048576">
    <cfRule type="cellIs" dxfId="727" priority="2829" operator="lessThan">
      <formula>0</formula>
    </cfRule>
  </conditionalFormatting>
  <conditionalFormatting sqref="H10:H1048576">
    <cfRule type="cellIs" dxfId="726" priority="2828" operator="lessThan">
      <formula>0</formula>
    </cfRule>
  </conditionalFormatting>
  <conditionalFormatting sqref="H10:H1048576">
    <cfRule type="cellIs" dxfId="725" priority="2827" operator="lessThan">
      <formula>0</formula>
    </cfRule>
  </conditionalFormatting>
  <conditionalFormatting sqref="H10:H1048576">
    <cfRule type="cellIs" dxfId="724" priority="2826" operator="lessThan">
      <formula>0</formula>
    </cfRule>
  </conditionalFormatting>
  <conditionalFormatting sqref="H10:H1048576">
    <cfRule type="cellIs" dxfId="723" priority="2825" operator="lessThan">
      <formula>0</formula>
    </cfRule>
  </conditionalFormatting>
  <conditionalFormatting sqref="H10:H1048576">
    <cfRule type="cellIs" dxfId="722" priority="2824" operator="lessThan">
      <formula>0</formula>
    </cfRule>
  </conditionalFormatting>
  <conditionalFormatting sqref="H10:H1048576">
    <cfRule type="cellIs" dxfId="721" priority="2823" operator="lessThan">
      <formula>0</formula>
    </cfRule>
  </conditionalFormatting>
  <conditionalFormatting sqref="H10:H1048576">
    <cfRule type="cellIs" dxfId="720" priority="2822" operator="lessThan">
      <formula>0</formula>
    </cfRule>
  </conditionalFormatting>
  <conditionalFormatting sqref="H10:H1048576">
    <cfRule type="cellIs" dxfId="719" priority="2821" operator="lessThan">
      <formula>0</formula>
    </cfRule>
  </conditionalFormatting>
  <conditionalFormatting sqref="H10:H1048576">
    <cfRule type="cellIs" dxfId="718" priority="2820" operator="lessThan">
      <formula>0</formula>
    </cfRule>
  </conditionalFormatting>
  <conditionalFormatting sqref="H10:H1048576">
    <cfRule type="cellIs" dxfId="717" priority="2819" operator="lessThan">
      <formula>0</formula>
    </cfRule>
  </conditionalFormatting>
  <conditionalFormatting sqref="H10:H1048576">
    <cfRule type="cellIs" dxfId="716" priority="2818" operator="lessThan">
      <formula>0</formula>
    </cfRule>
  </conditionalFormatting>
  <conditionalFormatting sqref="H10:H1048576">
    <cfRule type="cellIs" dxfId="715" priority="2817" operator="lessThan">
      <formula>0</formula>
    </cfRule>
  </conditionalFormatting>
  <conditionalFormatting sqref="H10:H1048576">
    <cfRule type="cellIs" dxfId="714" priority="2816" operator="lessThan">
      <formula>0</formula>
    </cfRule>
  </conditionalFormatting>
  <conditionalFormatting sqref="H10:H1048576">
    <cfRule type="cellIs" dxfId="713" priority="2815" operator="lessThan">
      <formula>0</formula>
    </cfRule>
  </conditionalFormatting>
  <conditionalFormatting sqref="H10:H1048576">
    <cfRule type="cellIs" dxfId="712" priority="2814" operator="lessThan">
      <formula>0</formula>
    </cfRule>
  </conditionalFormatting>
  <conditionalFormatting sqref="H10:H1048576">
    <cfRule type="cellIs" dxfId="711" priority="2813" operator="lessThan">
      <formula>0</formula>
    </cfRule>
  </conditionalFormatting>
  <conditionalFormatting sqref="H10:H1048576">
    <cfRule type="cellIs" dxfId="710" priority="2812" operator="lessThan">
      <formula>0</formula>
    </cfRule>
  </conditionalFormatting>
  <conditionalFormatting sqref="H10:H1048576">
    <cfRule type="cellIs" dxfId="709" priority="2811" operator="lessThan">
      <formula>0</formula>
    </cfRule>
  </conditionalFormatting>
  <conditionalFormatting sqref="H10:H1048576">
    <cfRule type="cellIs" dxfId="708" priority="2810" operator="lessThan">
      <formula>0</formula>
    </cfRule>
  </conditionalFormatting>
  <conditionalFormatting sqref="H10:H1048576">
    <cfRule type="cellIs" dxfId="707" priority="2809" operator="lessThan">
      <formula>0</formula>
    </cfRule>
  </conditionalFormatting>
  <conditionalFormatting sqref="H10:H1048576">
    <cfRule type="cellIs" dxfId="706" priority="2808" operator="lessThan">
      <formula>0</formula>
    </cfRule>
  </conditionalFormatting>
  <conditionalFormatting sqref="H10:H1048576">
    <cfRule type="cellIs" dxfId="705" priority="2807" operator="lessThan">
      <formula>0</formula>
    </cfRule>
  </conditionalFormatting>
  <conditionalFormatting sqref="H10:H1048576">
    <cfRule type="cellIs" dxfId="704" priority="2806" operator="lessThan">
      <formula>0</formula>
    </cfRule>
  </conditionalFormatting>
  <conditionalFormatting sqref="H10:H1048576">
    <cfRule type="cellIs" dxfId="703" priority="2805" operator="lessThan">
      <formula>0</formula>
    </cfRule>
  </conditionalFormatting>
  <conditionalFormatting sqref="H10:H1048576">
    <cfRule type="cellIs" dxfId="702" priority="2804" operator="lessThan">
      <formula>0</formula>
    </cfRule>
  </conditionalFormatting>
  <conditionalFormatting sqref="H10:H1048576">
    <cfRule type="cellIs" dxfId="701" priority="2803" operator="lessThan">
      <formula>0</formula>
    </cfRule>
  </conditionalFormatting>
  <conditionalFormatting sqref="H10:H1048576">
    <cfRule type="cellIs" dxfId="700" priority="2802" operator="lessThan">
      <formula>0</formula>
    </cfRule>
  </conditionalFormatting>
  <conditionalFormatting sqref="H10:H1048576">
    <cfRule type="cellIs" dxfId="699" priority="2801" operator="lessThan">
      <formula>0</formula>
    </cfRule>
  </conditionalFormatting>
  <conditionalFormatting sqref="H10:H1048576">
    <cfRule type="cellIs" dxfId="698" priority="2800" operator="lessThan">
      <formula>0</formula>
    </cfRule>
  </conditionalFormatting>
  <conditionalFormatting sqref="H10:H1048576">
    <cfRule type="cellIs" dxfId="697" priority="2799" operator="lessThan">
      <formula>0</formula>
    </cfRule>
  </conditionalFormatting>
  <conditionalFormatting sqref="H10:H1048576">
    <cfRule type="cellIs" dxfId="696" priority="2798" operator="lessThan">
      <formula>0</formula>
    </cfRule>
  </conditionalFormatting>
  <conditionalFormatting sqref="H10:H1048576">
    <cfRule type="cellIs" dxfId="695" priority="2797" operator="lessThan">
      <formula>0</formula>
    </cfRule>
  </conditionalFormatting>
  <conditionalFormatting sqref="H10:H1048576">
    <cfRule type="cellIs" dxfId="694" priority="2796" operator="lessThan">
      <formula>0</formula>
    </cfRule>
  </conditionalFormatting>
  <conditionalFormatting sqref="H10:H1048576">
    <cfRule type="cellIs" dxfId="693" priority="2795" operator="lessThan">
      <formula>0</formula>
    </cfRule>
  </conditionalFormatting>
  <conditionalFormatting sqref="H10:H1048576">
    <cfRule type="cellIs" dxfId="692" priority="2794" operator="lessThan">
      <formula>0</formula>
    </cfRule>
  </conditionalFormatting>
  <conditionalFormatting sqref="H10:H1048576">
    <cfRule type="cellIs" dxfId="691" priority="2793" operator="lessThan">
      <formula>0</formula>
    </cfRule>
  </conditionalFormatting>
  <conditionalFormatting sqref="H10:H1048576">
    <cfRule type="cellIs" dxfId="690" priority="2792" operator="lessThan">
      <formula>0</formula>
    </cfRule>
  </conditionalFormatting>
  <conditionalFormatting sqref="H10:H1048576">
    <cfRule type="cellIs" dxfId="689" priority="2791" operator="lessThan">
      <formula>0</formula>
    </cfRule>
  </conditionalFormatting>
  <conditionalFormatting sqref="H10:H1048576">
    <cfRule type="cellIs" dxfId="688" priority="2790" operator="lessThan">
      <formula>0</formula>
    </cfRule>
  </conditionalFormatting>
  <conditionalFormatting sqref="H10:H1048576">
    <cfRule type="cellIs" dxfId="687" priority="2789" operator="lessThan">
      <formula>0</formula>
    </cfRule>
  </conditionalFormatting>
  <conditionalFormatting sqref="H10:H1048576">
    <cfRule type="cellIs" dxfId="686" priority="2788" operator="lessThan">
      <formula>0</formula>
    </cfRule>
  </conditionalFormatting>
  <conditionalFormatting sqref="H10:H1048576">
    <cfRule type="cellIs" dxfId="685" priority="2787" operator="lessThan">
      <formula>0</formula>
    </cfRule>
  </conditionalFormatting>
  <conditionalFormatting sqref="H10:H1048576">
    <cfRule type="cellIs" dxfId="684" priority="2786" operator="lessThan">
      <formula>0</formula>
    </cfRule>
  </conditionalFormatting>
  <conditionalFormatting sqref="H10:H1048576">
    <cfRule type="cellIs" dxfId="683" priority="2785" operator="lessThan">
      <formula>0</formula>
    </cfRule>
  </conditionalFormatting>
  <conditionalFormatting sqref="H10:H1048576">
    <cfRule type="cellIs" dxfId="682" priority="2784" operator="lessThan">
      <formula>0</formula>
    </cfRule>
  </conditionalFormatting>
  <conditionalFormatting sqref="H10:H1048576">
    <cfRule type="cellIs" dxfId="681" priority="2783" operator="lessThan">
      <formula>0</formula>
    </cfRule>
  </conditionalFormatting>
  <conditionalFormatting sqref="H10:H1048576">
    <cfRule type="cellIs" dxfId="680" priority="2782" operator="lessThan">
      <formula>0</formula>
    </cfRule>
  </conditionalFormatting>
  <conditionalFormatting sqref="H10:H1048576">
    <cfRule type="cellIs" dxfId="679" priority="2781" operator="lessThan">
      <formula>0</formula>
    </cfRule>
  </conditionalFormatting>
  <conditionalFormatting sqref="H10:H1048576">
    <cfRule type="cellIs" dxfId="678" priority="2780" operator="lessThan">
      <formula>0</formula>
    </cfRule>
  </conditionalFormatting>
  <conditionalFormatting sqref="H10:H1048576">
    <cfRule type="cellIs" dxfId="677" priority="2779" operator="lessThan">
      <formula>0</formula>
    </cfRule>
  </conditionalFormatting>
  <conditionalFormatting sqref="H10:H1048576">
    <cfRule type="cellIs" dxfId="676" priority="2778" operator="lessThan">
      <formula>0</formula>
    </cfRule>
  </conditionalFormatting>
  <conditionalFormatting sqref="H10:H1048576">
    <cfRule type="cellIs" dxfId="675" priority="2777" operator="lessThan">
      <formula>0</formula>
    </cfRule>
  </conditionalFormatting>
  <conditionalFormatting sqref="H10:H1048576">
    <cfRule type="cellIs" dxfId="674" priority="2776" operator="lessThan">
      <formula>0</formula>
    </cfRule>
  </conditionalFormatting>
  <conditionalFormatting sqref="H10:H1048576">
    <cfRule type="cellIs" dxfId="673" priority="2775" operator="lessThan">
      <formula>0</formula>
    </cfRule>
  </conditionalFormatting>
  <conditionalFormatting sqref="H10:H1048576">
    <cfRule type="cellIs" dxfId="672" priority="2774" operator="lessThan">
      <formula>0</formula>
    </cfRule>
  </conditionalFormatting>
  <conditionalFormatting sqref="H10:H1048576">
    <cfRule type="cellIs" dxfId="671" priority="2773" operator="lessThan">
      <formula>0</formula>
    </cfRule>
  </conditionalFormatting>
  <conditionalFormatting sqref="H10:H1048576">
    <cfRule type="cellIs" dxfId="670" priority="2772" operator="lessThan">
      <formula>0</formula>
    </cfRule>
  </conditionalFormatting>
  <conditionalFormatting sqref="H10:H1048576">
    <cfRule type="cellIs" dxfId="669" priority="2771" operator="lessThan">
      <formula>0</formula>
    </cfRule>
  </conditionalFormatting>
  <conditionalFormatting sqref="H10:H1048576">
    <cfRule type="cellIs" dxfId="668" priority="2770" operator="lessThan">
      <formula>0</formula>
    </cfRule>
  </conditionalFormatting>
  <conditionalFormatting sqref="H10:H1048576">
    <cfRule type="cellIs" dxfId="667" priority="2769" operator="lessThan">
      <formula>0</formula>
    </cfRule>
  </conditionalFormatting>
  <conditionalFormatting sqref="H10:H1048576">
    <cfRule type="cellIs" dxfId="666" priority="2768" operator="lessThan">
      <formula>0</formula>
    </cfRule>
  </conditionalFormatting>
  <conditionalFormatting sqref="H10:H1048576">
    <cfRule type="cellIs" dxfId="665" priority="2767" operator="lessThan">
      <formula>0</formula>
    </cfRule>
  </conditionalFormatting>
  <conditionalFormatting sqref="H10:H1048576">
    <cfRule type="cellIs" dxfId="664" priority="2766" operator="lessThan">
      <formula>0</formula>
    </cfRule>
  </conditionalFormatting>
  <conditionalFormatting sqref="H10:H1048576">
    <cfRule type="cellIs" dxfId="663" priority="2765" operator="lessThan">
      <formula>0</formula>
    </cfRule>
  </conditionalFormatting>
  <conditionalFormatting sqref="H10:H1048576">
    <cfRule type="cellIs" dxfId="662" priority="2764" operator="lessThan">
      <formula>0</formula>
    </cfRule>
  </conditionalFormatting>
  <conditionalFormatting sqref="H10:H1048576">
    <cfRule type="cellIs" dxfId="661" priority="2763" operator="lessThan">
      <formula>0</formula>
    </cfRule>
  </conditionalFormatting>
  <conditionalFormatting sqref="H10:H1048576">
    <cfRule type="cellIs" dxfId="660" priority="2762" operator="lessThan">
      <formula>0</formula>
    </cfRule>
  </conditionalFormatting>
  <conditionalFormatting sqref="H10:H1048576">
    <cfRule type="cellIs" dxfId="659" priority="2761" operator="lessThan">
      <formula>0</formula>
    </cfRule>
  </conditionalFormatting>
  <conditionalFormatting sqref="H10:H1048576">
    <cfRule type="cellIs" dxfId="658" priority="2760" operator="lessThan">
      <formula>0</formula>
    </cfRule>
  </conditionalFormatting>
  <conditionalFormatting sqref="H10:H1048576">
    <cfRule type="cellIs" dxfId="657" priority="2759" operator="lessThan">
      <formula>0</formula>
    </cfRule>
  </conditionalFormatting>
  <conditionalFormatting sqref="H10:H1048576">
    <cfRule type="cellIs" dxfId="656" priority="2758" operator="lessThan">
      <formula>0</formula>
    </cfRule>
  </conditionalFormatting>
  <conditionalFormatting sqref="H10:H1048576">
    <cfRule type="cellIs" dxfId="655" priority="2757" operator="lessThan">
      <formula>0</formula>
    </cfRule>
  </conditionalFormatting>
  <conditionalFormatting sqref="H10:H1048576">
    <cfRule type="cellIs" dxfId="654" priority="2756" operator="lessThan">
      <formula>0</formula>
    </cfRule>
  </conditionalFormatting>
  <conditionalFormatting sqref="H10:H1048576">
    <cfRule type="cellIs" dxfId="653" priority="2755" operator="lessThan">
      <formula>0</formula>
    </cfRule>
  </conditionalFormatting>
  <conditionalFormatting sqref="H10:H1048576">
    <cfRule type="cellIs" dxfId="652" priority="2754" operator="lessThan">
      <formula>0</formula>
    </cfRule>
  </conditionalFormatting>
  <conditionalFormatting sqref="H10:H1048576">
    <cfRule type="cellIs" dxfId="651" priority="2753" operator="lessThan">
      <formula>0</formula>
    </cfRule>
  </conditionalFormatting>
  <conditionalFormatting sqref="H10:H1048576">
    <cfRule type="cellIs" dxfId="650" priority="2752" operator="lessThan">
      <formula>0</formula>
    </cfRule>
  </conditionalFormatting>
  <conditionalFormatting sqref="H10:H1048576">
    <cfRule type="cellIs" dxfId="649" priority="2751" operator="lessThan">
      <formula>0</formula>
    </cfRule>
  </conditionalFormatting>
  <conditionalFormatting sqref="H10:H1048576">
    <cfRule type="cellIs" dxfId="648" priority="2750" operator="lessThan">
      <formula>0</formula>
    </cfRule>
  </conditionalFormatting>
  <conditionalFormatting sqref="H10:H1048576">
    <cfRule type="cellIs" dxfId="647" priority="2749" operator="lessThan">
      <formula>0</formula>
    </cfRule>
  </conditionalFormatting>
  <conditionalFormatting sqref="H10:H1048576">
    <cfRule type="cellIs" dxfId="646" priority="2748" operator="lessThan">
      <formula>0</formula>
    </cfRule>
  </conditionalFormatting>
  <conditionalFormatting sqref="H10:H1048576">
    <cfRule type="cellIs" dxfId="645" priority="2747" operator="lessThan">
      <formula>0</formula>
    </cfRule>
  </conditionalFormatting>
  <conditionalFormatting sqref="H10:H1048576">
    <cfRule type="cellIs" dxfId="644" priority="2746" operator="lessThan">
      <formula>0</formula>
    </cfRule>
  </conditionalFormatting>
  <conditionalFormatting sqref="H10:H1048576">
    <cfRule type="cellIs" dxfId="643" priority="2745" operator="lessThan">
      <formula>0</formula>
    </cfRule>
  </conditionalFormatting>
  <conditionalFormatting sqref="H10:H1048576">
    <cfRule type="cellIs" dxfId="642" priority="2744" operator="lessThan">
      <formula>0</formula>
    </cfRule>
  </conditionalFormatting>
  <conditionalFormatting sqref="H10:H1048576">
    <cfRule type="cellIs" dxfId="641" priority="2743" operator="lessThan">
      <formula>0</formula>
    </cfRule>
  </conditionalFormatting>
  <conditionalFormatting sqref="H10:H1048576">
    <cfRule type="cellIs" dxfId="640" priority="2742" operator="lessThan">
      <formula>0</formula>
    </cfRule>
  </conditionalFormatting>
  <conditionalFormatting sqref="H10:H1048576">
    <cfRule type="cellIs" dxfId="639" priority="2741" operator="lessThan">
      <formula>0</formula>
    </cfRule>
  </conditionalFormatting>
  <conditionalFormatting sqref="H10:H1048576">
    <cfRule type="cellIs" dxfId="638" priority="2740" operator="lessThan">
      <formula>0</formula>
    </cfRule>
  </conditionalFormatting>
  <conditionalFormatting sqref="H10:H1048576">
    <cfRule type="cellIs" dxfId="637" priority="2739" operator="lessThan">
      <formula>0</formula>
    </cfRule>
  </conditionalFormatting>
  <conditionalFormatting sqref="H10:H1048576">
    <cfRule type="cellIs" dxfId="636" priority="2738" operator="lessThan">
      <formula>0</formula>
    </cfRule>
  </conditionalFormatting>
  <conditionalFormatting sqref="H10:H1048576">
    <cfRule type="cellIs" dxfId="635" priority="2737" operator="lessThan">
      <formula>0</formula>
    </cfRule>
  </conditionalFormatting>
  <conditionalFormatting sqref="H10:H1048576">
    <cfRule type="cellIs" dxfId="634" priority="2736" operator="lessThan">
      <formula>0</formula>
    </cfRule>
  </conditionalFormatting>
  <conditionalFormatting sqref="H10:H1048576">
    <cfRule type="cellIs" dxfId="633" priority="2735" operator="lessThan">
      <formula>0</formula>
    </cfRule>
  </conditionalFormatting>
  <conditionalFormatting sqref="H10:H1048576">
    <cfRule type="cellIs" dxfId="632" priority="2734" operator="lessThan">
      <formula>0</formula>
    </cfRule>
  </conditionalFormatting>
  <conditionalFormatting sqref="H10:H1048576">
    <cfRule type="cellIs" dxfId="631" priority="2733" operator="lessThan">
      <formula>0</formula>
    </cfRule>
  </conditionalFormatting>
  <conditionalFormatting sqref="H10:H1048576">
    <cfRule type="cellIs" dxfId="630" priority="2732" operator="lessThan">
      <formula>0</formula>
    </cfRule>
  </conditionalFormatting>
  <conditionalFormatting sqref="H10:H1048576">
    <cfRule type="cellIs" dxfId="629" priority="2731" operator="lessThan">
      <formula>0</formula>
    </cfRule>
  </conditionalFormatting>
  <conditionalFormatting sqref="H10:H1048576">
    <cfRule type="cellIs" dxfId="628" priority="2730" operator="lessThan">
      <formula>0</formula>
    </cfRule>
  </conditionalFormatting>
  <conditionalFormatting sqref="H10:H1048576">
    <cfRule type="cellIs" dxfId="627" priority="2729" operator="lessThan">
      <formula>0</formula>
    </cfRule>
  </conditionalFormatting>
  <conditionalFormatting sqref="H10:H1048576">
    <cfRule type="cellIs" dxfId="626" priority="2728" operator="lessThan">
      <formula>0</formula>
    </cfRule>
  </conditionalFormatting>
  <conditionalFormatting sqref="H10:H1048576">
    <cfRule type="cellIs" dxfId="625" priority="2727" operator="lessThan">
      <formula>0</formula>
    </cfRule>
  </conditionalFormatting>
  <conditionalFormatting sqref="H10:H1048576">
    <cfRule type="cellIs" dxfId="624" priority="2726" operator="lessThan">
      <formula>0</formula>
    </cfRule>
  </conditionalFormatting>
  <conditionalFormatting sqref="H10:H1048576">
    <cfRule type="cellIs" dxfId="623" priority="2725" operator="lessThan">
      <formula>0</formula>
    </cfRule>
  </conditionalFormatting>
  <conditionalFormatting sqref="H10:H1048576">
    <cfRule type="cellIs" dxfId="622" priority="2724" operator="lessThan">
      <formula>0</formula>
    </cfRule>
  </conditionalFormatting>
  <conditionalFormatting sqref="H10:H1048576">
    <cfRule type="cellIs" dxfId="621" priority="2723" operator="lessThan">
      <formula>0</formula>
    </cfRule>
  </conditionalFormatting>
  <conditionalFormatting sqref="H10:H1048576">
    <cfRule type="cellIs" dxfId="620" priority="2722" operator="lessThan">
      <formula>0</formula>
    </cfRule>
  </conditionalFormatting>
  <conditionalFormatting sqref="H10:H1048576">
    <cfRule type="cellIs" dxfId="619" priority="2721" operator="lessThan">
      <formula>0</formula>
    </cfRule>
  </conditionalFormatting>
  <conditionalFormatting sqref="H10:H1048576">
    <cfRule type="cellIs" dxfId="618" priority="2720" operator="lessThan">
      <formula>0</formula>
    </cfRule>
  </conditionalFormatting>
  <conditionalFormatting sqref="H10:H1048576">
    <cfRule type="cellIs" dxfId="617" priority="2719" operator="lessThan">
      <formula>0</formula>
    </cfRule>
  </conditionalFormatting>
  <conditionalFormatting sqref="H10:H1048576">
    <cfRule type="cellIs" dxfId="616" priority="2718" operator="lessThan">
      <formula>0</formula>
    </cfRule>
  </conditionalFormatting>
  <conditionalFormatting sqref="H10:H1048576">
    <cfRule type="cellIs" dxfId="615" priority="2717" operator="lessThan">
      <formula>0</formula>
    </cfRule>
  </conditionalFormatting>
  <conditionalFormatting sqref="H10:H1048576">
    <cfRule type="cellIs" dxfId="614" priority="2716" operator="lessThan">
      <formula>0</formula>
    </cfRule>
  </conditionalFormatting>
  <conditionalFormatting sqref="H10:H1048576">
    <cfRule type="cellIs" dxfId="613" priority="2715" operator="lessThan">
      <formula>0</formula>
    </cfRule>
  </conditionalFormatting>
  <conditionalFormatting sqref="H10:H1048576">
    <cfRule type="cellIs" dxfId="612" priority="2714" operator="lessThan">
      <formula>0</formula>
    </cfRule>
  </conditionalFormatting>
  <conditionalFormatting sqref="H10:H1048576">
    <cfRule type="cellIs" dxfId="611" priority="2713" operator="lessThan">
      <formula>0</formula>
    </cfRule>
  </conditionalFormatting>
  <conditionalFormatting sqref="H10:H1048576">
    <cfRule type="cellIs" dxfId="610" priority="2712" operator="lessThan">
      <formula>0</formula>
    </cfRule>
  </conditionalFormatting>
  <conditionalFormatting sqref="H10:H1048576">
    <cfRule type="cellIs" dxfId="609" priority="2711" operator="lessThan">
      <formula>0</formula>
    </cfRule>
  </conditionalFormatting>
  <conditionalFormatting sqref="H10:H1048576">
    <cfRule type="cellIs" dxfId="608" priority="2710" operator="lessThan">
      <formula>0</formula>
    </cfRule>
  </conditionalFormatting>
  <conditionalFormatting sqref="H10:H1048576">
    <cfRule type="cellIs" dxfId="607" priority="2709" operator="lessThan">
      <formula>0</formula>
    </cfRule>
  </conditionalFormatting>
  <conditionalFormatting sqref="H10:H1048576">
    <cfRule type="cellIs" dxfId="606" priority="2708" operator="lessThan">
      <formula>0</formula>
    </cfRule>
  </conditionalFormatting>
  <conditionalFormatting sqref="H10:H1048576">
    <cfRule type="cellIs" dxfId="605" priority="2707" operator="lessThan">
      <formula>0</formula>
    </cfRule>
  </conditionalFormatting>
  <conditionalFormatting sqref="H10:H1048576">
    <cfRule type="cellIs" dxfId="604" priority="2706" operator="lessThan">
      <formula>0</formula>
    </cfRule>
  </conditionalFormatting>
  <conditionalFormatting sqref="H10:H1048576">
    <cfRule type="cellIs" dxfId="603" priority="2705" operator="lessThan">
      <formula>0</formula>
    </cfRule>
  </conditionalFormatting>
  <conditionalFormatting sqref="H10:H1048576">
    <cfRule type="cellIs" dxfId="602" priority="2704" operator="lessThan">
      <formula>0</formula>
    </cfRule>
  </conditionalFormatting>
  <conditionalFormatting sqref="H10:H1048576">
    <cfRule type="cellIs" dxfId="601" priority="2703" operator="lessThan">
      <formula>0</formula>
    </cfRule>
  </conditionalFormatting>
  <conditionalFormatting sqref="H10:H1048576">
    <cfRule type="cellIs" dxfId="600" priority="2702" operator="lessThan">
      <formula>0</formula>
    </cfRule>
  </conditionalFormatting>
  <conditionalFormatting sqref="H10:H1048576">
    <cfRule type="cellIs" dxfId="599" priority="2701" operator="lessThan">
      <formula>0</formula>
    </cfRule>
  </conditionalFormatting>
  <conditionalFormatting sqref="H10:H1048576">
    <cfRule type="cellIs" dxfId="598" priority="2700" operator="lessThan">
      <formula>0</formula>
    </cfRule>
  </conditionalFormatting>
  <conditionalFormatting sqref="H10:H1048576">
    <cfRule type="cellIs" dxfId="597" priority="2699" operator="lessThan">
      <formula>0</formula>
    </cfRule>
  </conditionalFormatting>
  <conditionalFormatting sqref="H10:H1048576">
    <cfRule type="cellIs" dxfId="596" priority="2698" operator="lessThan">
      <formula>0</formula>
    </cfRule>
  </conditionalFormatting>
  <conditionalFormatting sqref="H10:H1048576">
    <cfRule type="cellIs" dxfId="595" priority="2697" operator="lessThan">
      <formula>0</formula>
    </cfRule>
  </conditionalFormatting>
  <conditionalFormatting sqref="H10:H1048576">
    <cfRule type="cellIs" dxfId="594" priority="2696" operator="lessThan">
      <formula>0</formula>
    </cfRule>
  </conditionalFormatting>
  <conditionalFormatting sqref="H10:H1048576">
    <cfRule type="cellIs" dxfId="593" priority="2695" operator="lessThan">
      <formula>0</formula>
    </cfRule>
  </conditionalFormatting>
  <conditionalFormatting sqref="H10:H1048576">
    <cfRule type="cellIs" dxfId="592" priority="2694" operator="lessThan">
      <formula>0</formula>
    </cfRule>
  </conditionalFormatting>
  <conditionalFormatting sqref="H10:H1048576">
    <cfRule type="cellIs" dxfId="591" priority="2693" operator="lessThan">
      <formula>0</formula>
    </cfRule>
  </conditionalFormatting>
  <conditionalFormatting sqref="H10:H1048576">
    <cfRule type="cellIs" dxfId="590" priority="2692" operator="lessThan">
      <formula>0</formula>
    </cfRule>
  </conditionalFormatting>
  <conditionalFormatting sqref="H10:H1048576">
    <cfRule type="cellIs" dxfId="589" priority="2691" operator="lessThan">
      <formula>0</formula>
    </cfRule>
  </conditionalFormatting>
  <conditionalFormatting sqref="H10:H1048576">
    <cfRule type="cellIs" dxfId="588" priority="2690" operator="lessThan">
      <formula>0</formula>
    </cfRule>
  </conditionalFormatting>
  <conditionalFormatting sqref="H10:H1048576">
    <cfRule type="cellIs" dxfId="587" priority="2689" operator="lessThan">
      <formula>0</formula>
    </cfRule>
  </conditionalFormatting>
  <conditionalFormatting sqref="H10:H1048576">
    <cfRule type="cellIs" dxfId="586" priority="2688" operator="lessThan">
      <formula>0</formula>
    </cfRule>
  </conditionalFormatting>
  <conditionalFormatting sqref="H10:H1048576">
    <cfRule type="cellIs" dxfId="585" priority="2687" operator="lessThan">
      <formula>0</formula>
    </cfRule>
  </conditionalFormatting>
  <conditionalFormatting sqref="H10:H1048576">
    <cfRule type="cellIs" dxfId="584" priority="2686" operator="lessThan">
      <formula>0</formula>
    </cfRule>
  </conditionalFormatting>
  <conditionalFormatting sqref="H10:H1048576">
    <cfRule type="cellIs" dxfId="583" priority="2685" operator="lessThan">
      <formula>0</formula>
    </cfRule>
  </conditionalFormatting>
  <conditionalFormatting sqref="H10:H1048576">
    <cfRule type="cellIs" dxfId="582" priority="2684" operator="lessThan">
      <formula>0</formula>
    </cfRule>
  </conditionalFormatting>
  <conditionalFormatting sqref="H10:H1048576">
    <cfRule type="cellIs" dxfId="581" priority="2683" operator="lessThan">
      <formula>0</formula>
    </cfRule>
  </conditionalFormatting>
  <conditionalFormatting sqref="H10:H1048576">
    <cfRule type="cellIs" dxfId="580" priority="2682" operator="lessThan">
      <formula>0</formula>
    </cfRule>
  </conditionalFormatting>
  <conditionalFormatting sqref="H10:H1048576">
    <cfRule type="cellIs" dxfId="579" priority="2681" operator="lessThan">
      <formula>0</formula>
    </cfRule>
  </conditionalFormatting>
  <conditionalFormatting sqref="H10:H1048576">
    <cfRule type="cellIs" dxfId="578" priority="2680" operator="lessThan">
      <formula>0</formula>
    </cfRule>
  </conditionalFormatting>
  <conditionalFormatting sqref="H10:H1048576">
    <cfRule type="cellIs" dxfId="577" priority="2679" operator="lessThan">
      <formula>0</formula>
    </cfRule>
  </conditionalFormatting>
  <conditionalFormatting sqref="H10:H1048576">
    <cfRule type="cellIs" dxfId="576" priority="2678" operator="lessThan">
      <formula>0</formula>
    </cfRule>
  </conditionalFormatting>
  <conditionalFormatting sqref="H10:H1048576">
    <cfRule type="cellIs" dxfId="575" priority="2677" operator="lessThan">
      <formula>0</formula>
    </cfRule>
  </conditionalFormatting>
  <conditionalFormatting sqref="H10:H1048576">
    <cfRule type="cellIs" dxfId="574" priority="2676" operator="lessThan">
      <formula>0</formula>
    </cfRule>
  </conditionalFormatting>
  <conditionalFormatting sqref="H10:H1048576">
    <cfRule type="cellIs" dxfId="573" priority="2675" operator="lessThan">
      <formula>0</formula>
    </cfRule>
  </conditionalFormatting>
  <conditionalFormatting sqref="H10:H1048576">
    <cfRule type="cellIs" dxfId="572" priority="2674" operator="lessThan">
      <formula>0</formula>
    </cfRule>
  </conditionalFormatting>
  <conditionalFormatting sqref="H10:H1048576">
    <cfRule type="cellIs" dxfId="571" priority="2673" operator="lessThan">
      <formula>0</formula>
    </cfRule>
  </conditionalFormatting>
  <conditionalFormatting sqref="H10:H1048576">
    <cfRule type="cellIs" dxfId="570" priority="2672" operator="lessThan">
      <formula>0</formula>
    </cfRule>
  </conditionalFormatting>
  <conditionalFormatting sqref="H10:H1048576">
    <cfRule type="cellIs" dxfId="569" priority="2671" operator="lessThan">
      <formula>0</formula>
    </cfRule>
  </conditionalFormatting>
  <conditionalFormatting sqref="H10:H1048576">
    <cfRule type="cellIs" dxfId="568" priority="2670" operator="lessThan">
      <formula>0</formula>
    </cfRule>
  </conditionalFormatting>
  <conditionalFormatting sqref="H10:H1048576">
    <cfRule type="cellIs" dxfId="567" priority="2669" operator="lessThan">
      <formula>0</formula>
    </cfRule>
  </conditionalFormatting>
  <conditionalFormatting sqref="H10:H1048576">
    <cfRule type="cellIs" dxfId="566" priority="2668" operator="lessThan">
      <formula>0</formula>
    </cfRule>
  </conditionalFormatting>
  <conditionalFormatting sqref="H10:H1048576">
    <cfRule type="cellIs" dxfId="565" priority="2667" operator="lessThan">
      <formula>0</formula>
    </cfRule>
  </conditionalFormatting>
  <conditionalFormatting sqref="H10:H1048576">
    <cfRule type="cellIs" dxfId="564" priority="2666" operator="lessThan">
      <formula>0</formula>
    </cfRule>
  </conditionalFormatting>
  <conditionalFormatting sqref="H10:H1048576">
    <cfRule type="cellIs" dxfId="563" priority="2665" operator="lessThan">
      <formula>0</formula>
    </cfRule>
  </conditionalFormatting>
  <conditionalFormatting sqref="H10:H1048576">
    <cfRule type="cellIs" dxfId="562" priority="2664" operator="lessThan">
      <formula>0</formula>
    </cfRule>
  </conditionalFormatting>
  <conditionalFormatting sqref="H10:H1048576">
    <cfRule type="cellIs" dxfId="561" priority="2663" operator="lessThan">
      <formula>0</formula>
    </cfRule>
  </conditionalFormatting>
  <conditionalFormatting sqref="H10:H1048576">
    <cfRule type="cellIs" dxfId="560" priority="2662" operator="lessThan">
      <formula>0</formula>
    </cfRule>
  </conditionalFormatting>
  <conditionalFormatting sqref="H10:H1048576">
    <cfRule type="cellIs" dxfId="559" priority="2661" operator="lessThan">
      <formula>0</formula>
    </cfRule>
  </conditionalFormatting>
  <conditionalFormatting sqref="H10:H1048576">
    <cfRule type="cellIs" dxfId="558" priority="2660" operator="lessThan">
      <formula>0</formula>
    </cfRule>
  </conditionalFormatting>
  <conditionalFormatting sqref="H10:H1048576">
    <cfRule type="cellIs" dxfId="557" priority="2659" operator="lessThan">
      <formula>0</formula>
    </cfRule>
  </conditionalFormatting>
  <conditionalFormatting sqref="H10:H1048576">
    <cfRule type="cellIs" dxfId="556" priority="2658" operator="lessThan">
      <formula>0</formula>
    </cfRule>
  </conditionalFormatting>
  <conditionalFormatting sqref="H10:H1048576">
    <cfRule type="cellIs" dxfId="555" priority="2657" operator="lessThan">
      <formula>0</formula>
    </cfRule>
  </conditionalFormatting>
  <conditionalFormatting sqref="H10:H1048576">
    <cfRule type="cellIs" dxfId="554" priority="2656" operator="lessThan">
      <formula>0</formula>
    </cfRule>
  </conditionalFormatting>
  <conditionalFormatting sqref="H10:H1048576">
    <cfRule type="cellIs" dxfId="553" priority="2655" operator="lessThan">
      <formula>0</formula>
    </cfRule>
  </conditionalFormatting>
  <conditionalFormatting sqref="H10:H1048576">
    <cfRule type="cellIs" dxfId="552" priority="2654" operator="lessThan">
      <formula>0</formula>
    </cfRule>
  </conditionalFormatting>
  <conditionalFormatting sqref="H10:H1048576">
    <cfRule type="cellIs" dxfId="551" priority="2653" operator="lessThan">
      <formula>0</formula>
    </cfRule>
  </conditionalFormatting>
  <conditionalFormatting sqref="H10:H1048576">
    <cfRule type="cellIs" dxfId="550" priority="2652" operator="lessThan">
      <formula>0</formula>
    </cfRule>
  </conditionalFormatting>
  <conditionalFormatting sqref="H10:H1048576">
    <cfRule type="cellIs" dxfId="549" priority="2651" operator="lessThan">
      <formula>0</formula>
    </cfRule>
  </conditionalFormatting>
  <conditionalFormatting sqref="H10:H1048576">
    <cfRule type="cellIs" dxfId="548" priority="2650" operator="lessThan">
      <formula>0</formula>
    </cfRule>
  </conditionalFormatting>
  <conditionalFormatting sqref="H10:H1048576">
    <cfRule type="cellIs" dxfId="547" priority="2649" operator="lessThan">
      <formula>0</formula>
    </cfRule>
  </conditionalFormatting>
  <conditionalFormatting sqref="H10:H1048576">
    <cfRule type="cellIs" dxfId="546" priority="2648" operator="lessThan">
      <formula>0</formula>
    </cfRule>
  </conditionalFormatting>
  <conditionalFormatting sqref="H10:H1048576">
    <cfRule type="cellIs" dxfId="545" priority="2647" operator="lessThan">
      <formula>0</formula>
    </cfRule>
  </conditionalFormatting>
  <conditionalFormatting sqref="H10:H1048576">
    <cfRule type="cellIs" dxfId="544" priority="2646" operator="lessThan">
      <formula>0</formula>
    </cfRule>
  </conditionalFormatting>
  <conditionalFormatting sqref="H10:H1048576">
    <cfRule type="cellIs" dxfId="543" priority="2645" operator="lessThan">
      <formula>0</formula>
    </cfRule>
  </conditionalFormatting>
  <conditionalFormatting sqref="H10:H1048576">
    <cfRule type="cellIs" dxfId="542" priority="2644" operator="lessThan">
      <formula>0</formula>
    </cfRule>
  </conditionalFormatting>
  <conditionalFormatting sqref="H10:H1048576">
    <cfRule type="cellIs" dxfId="541" priority="2643" operator="lessThan">
      <formula>0</formula>
    </cfRule>
  </conditionalFormatting>
  <conditionalFormatting sqref="H10:H1048576">
    <cfRule type="cellIs" dxfId="540" priority="2642" operator="lessThan">
      <formula>0</formula>
    </cfRule>
  </conditionalFormatting>
  <conditionalFormatting sqref="H10:H1048576">
    <cfRule type="cellIs" dxfId="539" priority="2641" operator="lessThan">
      <formula>0</formula>
    </cfRule>
  </conditionalFormatting>
  <conditionalFormatting sqref="H10:H1048576">
    <cfRule type="cellIs" dxfId="538" priority="2640" operator="lessThan">
      <formula>0</formula>
    </cfRule>
  </conditionalFormatting>
  <conditionalFormatting sqref="H10:H1048576">
    <cfRule type="cellIs" dxfId="537" priority="2639" operator="lessThan">
      <formula>0</formula>
    </cfRule>
  </conditionalFormatting>
  <conditionalFormatting sqref="H10:H1048576">
    <cfRule type="cellIs" dxfId="536" priority="2638" operator="lessThan">
      <formula>0</formula>
    </cfRule>
  </conditionalFormatting>
  <conditionalFormatting sqref="H10:H1048576">
    <cfRule type="cellIs" dxfId="535" priority="2637" operator="lessThan">
      <formula>0</formula>
    </cfRule>
  </conditionalFormatting>
  <conditionalFormatting sqref="H10:H1048576">
    <cfRule type="cellIs" dxfId="534" priority="2636" operator="lessThan">
      <formula>0</formula>
    </cfRule>
  </conditionalFormatting>
  <conditionalFormatting sqref="H10:H1048576">
    <cfRule type="cellIs" dxfId="533" priority="2635" operator="lessThan">
      <formula>0</formula>
    </cfRule>
  </conditionalFormatting>
  <conditionalFormatting sqref="H10:H1048576">
    <cfRule type="cellIs" dxfId="532" priority="2634" operator="lessThan">
      <formula>0</formula>
    </cfRule>
  </conditionalFormatting>
  <conditionalFormatting sqref="H10:H1048576">
    <cfRule type="cellIs" dxfId="531" priority="2633" operator="lessThan">
      <formula>0</formula>
    </cfRule>
  </conditionalFormatting>
  <conditionalFormatting sqref="H10:H1048576">
    <cfRule type="cellIs" dxfId="530" priority="2632" operator="lessThan">
      <formula>0</formula>
    </cfRule>
  </conditionalFormatting>
  <conditionalFormatting sqref="H10:H1048576">
    <cfRule type="cellIs" dxfId="529" priority="2631" operator="lessThan">
      <formula>0</formula>
    </cfRule>
  </conditionalFormatting>
  <conditionalFormatting sqref="H10:H1048576">
    <cfRule type="cellIs" dxfId="528" priority="2630" operator="lessThan">
      <formula>0</formula>
    </cfRule>
  </conditionalFormatting>
  <conditionalFormatting sqref="H10:H1048576">
    <cfRule type="cellIs" dxfId="527" priority="2629" operator="lessThan">
      <formula>0</formula>
    </cfRule>
  </conditionalFormatting>
  <conditionalFormatting sqref="H10:H1048576">
    <cfRule type="cellIs" dxfId="526" priority="2628" operator="lessThan">
      <formula>0</formula>
    </cfRule>
  </conditionalFormatting>
  <conditionalFormatting sqref="H10:H1048576">
    <cfRule type="cellIs" dxfId="525" priority="2627" operator="lessThan">
      <formula>0</formula>
    </cfRule>
  </conditionalFormatting>
  <conditionalFormatting sqref="H10:H1048576">
    <cfRule type="cellIs" dxfId="524" priority="2626" operator="lessThan">
      <formula>0</formula>
    </cfRule>
  </conditionalFormatting>
  <conditionalFormatting sqref="H10:H1048576">
    <cfRule type="cellIs" dxfId="523" priority="2625" operator="lessThan">
      <formula>0</formula>
    </cfRule>
  </conditionalFormatting>
  <conditionalFormatting sqref="H10:H1048576">
    <cfRule type="cellIs" dxfId="522" priority="2624" operator="lessThan">
      <formula>0</formula>
    </cfRule>
  </conditionalFormatting>
  <conditionalFormatting sqref="H10:H1048576">
    <cfRule type="cellIs" dxfId="521" priority="2623" operator="lessThan">
      <formula>0</formula>
    </cfRule>
  </conditionalFormatting>
  <conditionalFormatting sqref="H10:H1048576">
    <cfRule type="cellIs" dxfId="520" priority="2622" operator="lessThan">
      <formula>0</formula>
    </cfRule>
  </conditionalFormatting>
  <conditionalFormatting sqref="H10:H1048576">
    <cfRule type="cellIs" dxfId="519" priority="2621" operator="lessThan">
      <formula>0</formula>
    </cfRule>
  </conditionalFormatting>
  <conditionalFormatting sqref="H10:H1048576">
    <cfRule type="cellIs" dxfId="518" priority="2620" operator="lessThan">
      <formula>0</formula>
    </cfRule>
  </conditionalFormatting>
  <conditionalFormatting sqref="H10:H1048576">
    <cfRule type="cellIs" dxfId="517" priority="2619" operator="lessThan">
      <formula>0</formula>
    </cfRule>
  </conditionalFormatting>
  <conditionalFormatting sqref="H10:H1048576">
    <cfRule type="cellIs" dxfId="516" priority="2618" operator="lessThan">
      <formula>0</formula>
    </cfRule>
  </conditionalFormatting>
  <conditionalFormatting sqref="H10:H1048576">
    <cfRule type="cellIs" dxfId="515" priority="2617" operator="lessThan">
      <formula>0</formula>
    </cfRule>
  </conditionalFormatting>
  <conditionalFormatting sqref="H10:H1048576">
    <cfRule type="cellIs" dxfId="514" priority="2616" operator="lessThan">
      <formula>0</formula>
    </cfRule>
  </conditionalFormatting>
  <conditionalFormatting sqref="H10:H1048576">
    <cfRule type="cellIs" dxfId="513" priority="2615" operator="lessThan">
      <formula>0</formula>
    </cfRule>
  </conditionalFormatting>
  <conditionalFormatting sqref="H10:H1048576">
    <cfRule type="cellIs" dxfId="512" priority="2614" operator="lessThan">
      <formula>0</formula>
    </cfRule>
  </conditionalFormatting>
  <conditionalFormatting sqref="H10:H1048576">
    <cfRule type="cellIs" dxfId="511" priority="2613" operator="lessThan">
      <formula>0</formula>
    </cfRule>
  </conditionalFormatting>
  <conditionalFormatting sqref="H10:H1048576">
    <cfRule type="cellIs" dxfId="510" priority="2612" operator="lessThan">
      <formula>0</formula>
    </cfRule>
  </conditionalFormatting>
  <conditionalFormatting sqref="H10:H1048576">
    <cfRule type="cellIs" dxfId="509" priority="2611" operator="lessThan">
      <formula>0</formula>
    </cfRule>
  </conditionalFormatting>
  <conditionalFormatting sqref="H10:H1048576">
    <cfRule type="cellIs" dxfId="508" priority="2610" operator="lessThan">
      <formula>0</formula>
    </cfRule>
  </conditionalFormatting>
  <conditionalFormatting sqref="H10:H1048576">
    <cfRule type="cellIs" dxfId="507" priority="2609" operator="lessThan">
      <formula>0</formula>
    </cfRule>
  </conditionalFormatting>
  <conditionalFormatting sqref="H10:H1048576">
    <cfRule type="cellIs" dxfId="506" priority="2608" operator="lessThan">
      <formula>0</formula>
    </cfRule>
  </conditionalFormatting>
  <conditionalFormatting sqref="H10:H1048576">
    <cfRule type="cellIs" dxfId="505" priority="2607" operator="lessThan">
      <formula>0</formula>
    </cfRule>
  </conditionalFormatting>
  <conditionalFormatting sqref="H10:H1048576">
    <cfRule type="cellIs" dxfId="504" priority="2606" operator="lessThan">
      <formula>0</formula>
    </cfRule>
  </conditionalFormatting>
  <conditionalFormatting sqref="H10:H1048576">
    <cfRule type="cellIs" dxfId="503" priority="2605" operator="lessThan">
      <formula>0</formula>
    </cfRule>
  </conditionalFormatting>
  <conditionalFormatting sqref="H10:H1048576">
    <cfRule type="cellIs" dxfId="502" priority="2604" operator="lessThan">
      <formula>0</formula>
    </cfRule>
  </conditionalFormatting>
  <conditionalFormatting sqref="H10:H1048576">
    <cfRule type="cellIs" dxfId="501" priority="2603" operator="lessThan">
      <formula>0</formula>
    </cfRule>
  </conditionalFormatting>
  <conditionalFormatting sqref="H10:H1048576">
    <cfRule type="cellIs" dxfId="500" priority="2602" operator="lessThan">
      <formula>0</formula>
    </cfRule>
  </conditionalFormatting>
  <conditionalFormatting sqref="H10:H1048576">
    <cfRule type="cellIs" dxfId="499" priority="2601" operator="lessThan">
      <formula>0</formula>
    </cfRule>
  </conditionalFormatting>
  <conditionalFormatting sqref="H10:H1048576">
    <cfRule type="cellIs" dxfId="498" priority="2600" operator="lessThan">
      <formula>0</formula>
    </cfRule>
  </conditionalFormatting>
  <conditionalFormatting sqref="H10:H1048576">
    <cfRule type="cellIs" dxfId="497" priority="2599" operator="lessThan">
      <formula>0</formula>
    </cfRule>
  </conditionalFormatting>
  <conditionalFormatting sqref="H10:H1048576">
    <cfRule type="cellIs" dxfId="496" priority="2598" operator="lessThan">
      <formula>0</formula>
    </cfRule>
  </conditionalFormatting>
  <conditionalFormatting sqref="H10:H1048576">
    <cfRule type="cellIs" dxfId="495" priority="2597" operator="lessThan">
      <formula>0</formula>
    </cfRule>
  </conditionalFormatting>
  <conditionalFormatting sqref="H10:H1048576">
    <cfRule type="cellIs" dxfId="494" priority="2596" operator="lessThan">
      <formula>0</formula>
    </cfRule>
  </conditionalFormatting>
  <conditionalFormatting sqref="H10:H1048576">
    <cfRule type="cellIs" dxfId="493" priority="2595" operator="lessThan">
      <formula>0</formula>
    </cfRule>
  </conditionalFormatting>
  <conditionalFormatting sqref="H10:H1048576">
    <cfRule type="cellIs" dxfId="492" priority="2594" operator="lessThan">
      <formula>0</formula>
    </cfRule>
  </conditionalFormatting>
  <conditionalFormatting sqref="H10:H1048576">
    <cfRule type="cellIs" dxfId="491" priority="2593" operator="lessThan">
      <formula>0</formula>
    </cfRule>
  </conditionalFormatting>
  <conditionalFormatting sqref="H10:H1048576">
    <cfRule type="cellIs" dxfId="490" priority="2592" operator="lessThan">
      <formula>0</formula>
    </cfRule>
  </conditionalFormatting>
  <conditionalFormatting sqref="H10:H1048576">
    <cfRule type="cellIs" dxfId="489" priority="2591" operator="lessThan">
      <formula>0</formula>
    </cfRule>
  </conditionalFormatting>
  <conditionalFormatting sqref="H10:H1048576">
    <cfRule type="cellIs" dxfId="488" priority="2590" operator="lessThan">
      <formula>0</formula>
    </cfRule>
  </conditionalFormatting>
  <conditionalFormatting sqref="H10:H1048576">
    <cfRule type="cellIs" dxfId="487" priority="2589" operator="lessThan">
      <formula>0</formula>
    </cfRule>
  </conditionalFormatting>
  <conditionalFormatting sqref="H10:H1048576">
    <cfRule type="cellIs" dxfId="486" priority="2588" operator="lessThan">
      <formula>0</formula>
    </cfRule>
  </conditionalFormatting>
  <conditionalFormatting sqref="H10:H1048576">
    <cfRule type="cellIs" dxfId="485" priority="2587" operator="lessThan">
      <formula>0</formula>
    </cfRule>
  </conditionalFormatting>
  <conditionalFormatting sqref="H10:H1048576">
    <cfRule type="cellIs" dxfId="484" priority="2586" operator="lessThan">
      <formula>0</formula>
    </cfRule>
  </conditionalFormatting>
  <conditionalFormatting sqref="H10:H1048576">
    <cfRule type="cellIs" dxfId="483" priority="2585" operator="lessThan">
      <formula>0</formula>
    </cfRule>
  </conditionalFormatting>
  <conditionalFormatting sqref="H10:H1048576">
    <cfRule type="cellIs" dxfId="482" priority="2584" operator="lessThan">
      <formula>0</formula>
    </cfRule>
  </conditionalFormatting>
  <conditionalFormatting sqref="H10:H1048576">
    <cfRule type="cellIs" dxfId="481" priority="2583" operator="lessThan">
      <formula>0</formula>
    </cfRule>
  </conditionalFormatting>
  <conditionalFormatting sqref="H10:H1048576">
    <cfRule type="cellIs" dxfId="480" priority="2582" operator="lessThan">
      <formula>0</formula>
    </cfRule>
  </conditionalFormatting>
  <conditionalFormatting sqref="H10:H1048576">
    <cfRule type="cellIs" dxfId="479" priority="2581" operator="lessThan">
      <formula>0</formula>
    </cfRule>
  </conditionalFormatting>
  <conditionalFormatting sqref="H10:H1048576">
    <cfRule type="cellIs" dxfId="478" priority="2580" operator="lessThan">
      <formula>0</formula>
    </cfRule>
  </conditionalFormatting>
  <conditionalFormatting sqref="H10:H1048576">
    <cfRule type="cellIs" dxfId="477" priority="2579" operator="lessThan">
      <formula>0</formula>
    </cfRule>
  </conditionalFormatting>
  <conditionalFormatting sqref="H10:H1048576">
    <cfRule type="cellIs" dxfId="476" priority="2578" operator="lessThan">
      <formula>0</formula>
    </cfRule>
  </conditionalFormatting>
  <conditionalFormatting sqref="H10:H1048576">
    <cfRule type="cellIs" dxfId="475" priority="2577" operator="lessThan">
      <formula>0</formula>
    </cfRule>
  </conditionalFormatting>
  <conditionalFormatting sqref="H10:H1048576">
    <cfRule type="cellIs" dxfId="474" priority="2576" operator="lessThan">
      <formula>0</formula>
    </cfRule>
  </conditionalFormatting>
  <conditionalFormatting sqref="H10:H1048576">
    <cfRule type="cellIs" dxfId="473" priority="2575" operator="lessThan">
      <formula>0</formula>
    </cfRule>
  </conditionalFormatting>
  <conditionalFormatting sqref="H10:H1048576">
    <cfRule type="cellIs" dxfId="472" priority="2574" operator="lessThan">
      <formula>0</formula>
    </cfRule>
  </conditionalFormatting>
  <conditionalFormatting sqref="H10:H1048576">
    <cfRule type="cellIs" dxfId="471" priority="2573" operator="lessThan">
      <formula>0</formula>
    </cfRule>
  </conditionalFormatting>
  <conditionalFormatting sqref="H10:H1048576">
    <cfRule type="cellIs" dxfId="470" priority="2572" operator="lessThan">
      <formula>0</formula>
    </cfRule>
  </conditionalFormatting>
  <conditionalFormatting sqref="H10:H1048576">
    <cfRule type="cellIs" dxfId="469" priority="2571" operator="lessThan">
      <formula>0</formula>
    </cfRule>
  </conditionalFormatting>
  <conditionalFormatting sqref="H10:H1048576">
    <cfRule type="cellIs" dxfId="468" priority="2570" operator="lessThan">
      <formula>0</formula>
    </cfRule>
  </conditionalFormatting>
  <conditionalFormatting sqref="H10:H1048576">
    <cfRule type="cellIs" dxfId="467" priority="2569" operator="lessThan">
      <formula>0</formula>
    </cfRule>
  </conditionalFormatting>
  <conditionalFormatting sqref="H10:H1048576">
    <cfRule type="cellIs" dxfId="466" priority="2568" operator="lessThan">
      <formula>0</formula>
    </cfRule>
  </conditionalFormatting>
  <conditionalFormatting sqref="H10:H1048576">
    <cfRule type="cellIs" dxfId="465" priority="2567" operator="lessThan">
      <formula>0</formula>
    </cfRule>
  </conditionalFormatting>
  <conditionalFormatting sqref="H10:H1048576">
    <cfRule type="cellIs" dxfId="464" priority="2566" operator="lessThan">
      <formula>0</formula>
    </cfRule>
  </conditionalFormatting>
  <conditionalFormatting sqref="H10:H1048576">
    <cfRule type="cellIs" dxfId="463" priority="2565" operator="lessThan">
      <formula>0</formula>
    </cfRule>
  </conditionalFormatting>
  <conditionalFormatting sqref="H10:H1048576">
    <cfRule type="cellIs" dxfId="462" priority="2564" operator="lessThan">
      <formula>0</formula>
    </cfRule>
  </conditionalFormatting>
  <conditionalFormatting sqref="H10:H1048576">
    <cfRule type="cellIs" dxfId="461" priority="2563" operator="lessThan">
      <formula>0</formula>
    </cfRule>
  </conditionalFormatting>
  <conditionalFormatting sqref="H10:H1048576">
    <cfRule type="cellIs" dxfId="460" priority="2562" operator="lessThan">
      <formula>0</formula>
    </cfRule>
  </conditionalFormatting>
  <conditionalFormatting sqref="H10:H1048576">
    <cfRule type="cellIs" dxfId="459" priority="2561" operator="lessThan">
      <formula>0</formula>
    </cfRule>
  </conditionalFormatting>
  <conditionalFormatting sqref="H10:H1048576">
    <cfRule type="cellIs" dxfId="458" priority="2560" operator="lessThan">
      <formula>0</formula>
    </cfRule>
  </conditionalFormatting>
  <conditionalFormatting sqref="H10:H1048576">
    <cfRule type="cellIs" dxfId="457" priority="2559" operator="lessThan">
      <formula>0</formula>
    </cfRule>
  </conditionalFormatting>
  <conditionalFormatting sqref="H10:H1048576">
    <cfRule type="cellIs" dxfId="456" priority="2558" operator="lessThan">
      <formula>0</formula>
    </cfRule>
  </conditionalFormatting>
  <conditionalFormatting sqref="H10:H1048576">
    <cfRule type="cellIs" dxfId="455" priority="2557" operator="lessThan">
      <formula>0</formula>
    </cfRule>
  </conditionalFormatting>
  <conditionalFormatting sqref="H10:H1048576">
    <cfRule type="cellIs" dxfId="454" priority="2556" operator="lessThan">
      <formula>0</formula>
    </cfRule>
  </conditionalFormatting>
  <conditionalFormatting sqref="H10:H1048576">
    <cfRule type="cellIs" dxfId="453" priority="2555" operator="lessThan">
      <formula>0</formula>
    </cfRule>
  </conditionalFormatting>
  <conditionalFormatting sqref="H10:H1048576">
    <cfRule type="cellIs" dxfId="452" priority="2554" operator="lessThan">
      <formula>0</formula>
    </cfRule>
  </conditionalFormatting>
  <conditionalFormatting sqref="H10:H1048576">
    <cfRule type="cellIs" dxfId="451" priority="2553" operator="lessThan">
      <formula>0</formula>
    </cfRule>
  </conditionalFormatting>
  <conditionalFormatting sqref="H10:H1048576">
    <cfRule type="cellIs" dxfId="450" priority="2552" operator="lessThan">
      <formula>0</formula>
    </cfRule>
  </conditionalFormatting>
  <conditionalFormatting sqref="H10:H1048576">
    <cfRule type="cellIs" dxfId="449" priority="2551" operator="lessThan">
      <formula>0</formula>
    </cfRule>
  </conditionalFormatting>
  <conditionalFormatting sqref="H10:H1048576">
    <cfRule type="cellIs" dxfId="448" priority="2550" operator="lessThan">
      <formula>0</formula>
    </cfRule>
  </conditionalFormatting>
  <conditionalFormatting sqref="H10:H1048576">
    <cfRule type="cellIs" dxfId="447" priority="2549" operator="lessThan">
      <formula>0</formula>
    </cfRule>
  </conditionalFormatting>
  <conditionalFormatting sqref="H10:H1048576">
    <cfRule type="cellIs" dxfId="446" priority="2548" operator="lessThan">
      <formula>0</formula>
    </cfRule>
  </conditionalFormatting>
  <conditionalFormatting sqref="H10:H1048576">
    <cfRule type="cellIs" dxfId="445" priority="2547" operator="lessThan">
      <formula>0</formula>
    </cfRule>
  </conditionalFormatting>
  <conditionalFormatting sqref="H10:H1048576">
    <cfRule type="cellIs" dxfId="444" priority="2546" operator="lessThan">
      <formula>0</formula>
    </cfRule>
  </conditionalFormatting>
  <conditionalFormatting sqref="H10:H1048576">
    <cfRule type="cellIs" dxfId="443" priority="2545" operator="lessThan">
      <formula>0</formula>
    </cfRule>
  </conditionalFormatting>
  <conditionalFormatting sqref="H10:H1048576">
    <cfRule type="cellIs" dxfId="442" priority="2544" operator="lessThan">
      <formula>0</formula>
    </cfRule>
  </conditionalFormatting>
  <conditionalFormatting sqref="H10:H1048576">
    <cfRule type="cellIs" dxfId="441" priority="2543" operator="lessThan">
      <formula>0</formula>
    </cfRule>
  </conditionalFormatting>
  <conditionalFormatting sqref="H10:H1048576">
    <cfRule type="cellIs" dxfId="440" priority="2542" operator="lessThan">
      <formula>0</formula>
    </cfRule>
  </conditionalFormatting>
  <conditionalFormatting sqref="H10:H1048576">
    <cfRule type="cellIs" dxfId="439" priority="2541" operator="lessThan">
      <formula>0</formula>
    </cfRule>
  </conditionalFormatting>
  <conditionalFormatting sqref="H10:H1048576">
    <cfRule type="cellIs" dxfId="438" priority="2540" operator="lessThan">
      <formula>0</formula>
    </cfRule>
  </conditionalFormatting>
  <conditionalFormatting sqref="H10:H1048576">
    <cfRule type="cellIs" dxfId="437" priority="2539" operator="lessThan">
      <formula>0</formula>
    </cfRule>
  </conditionalFormatting>
  <conditionalFormatting sqref="H10:H1048576">
    <cfRule type="cellIs" dxfId="436" priority="2538" operator="lessThan">
      <formula>0</formula>
    </cfRule>
  </conditionalFormatting>
  <conditionalFormatting sqref="H10:H1048576">
    <cfRule type="cellIs" dxfId="435" priority="2537" operator="lessThan">
      <formula>0</formula>
    </cfRule>
  </conditionalFormatting>
  <conditionalFormatting sqref="H10:H1048576">
    <cfRule type="cellIs" dxfId="434" priority="2536" operator="lessThan">
      <formula>0</formula>
    </cfRule>
  </conditionalFormatting>
  <conditionalFormatting sqref="H10:H1048576">
    <cfRule type="cellIs" dxfId="433" priority="2535" operator="lessThan">
      <formula>0</formula>
    </cfRule>
  </conditionalFormatting>
  <conditionalFormatting sqref="H10:H1048576">
    <cfRule type="cellIs" dxfId="432" priority="2534" operator="lessThan">
      <formula>0</formula>
    </cfRule>
  </conditionalFormatting>
  <conditionalFormatting sqref="H10:H1048576">
    <cfRule type="cellIs" dxfId="431" priority="2533" operator="lessThan">
      <formula>0</formula>
    </cfRule>
  </conditionalFormatting>
  <conditionalFormatting sqref="H10:H1048576">
    <cfRule type="cellIs" dxfId="430" priority="2532" operator="lessThan">
      <formula>0</formula>
    </cfRule>
  </conditionalFormatting>
  <conditionalFormatting sqref="H10:H1048576">
    <cfRule type="cellIs" dxfId="429" priority="2531" operator="lessThan">
      <formula>0</formula>
    </cfRule>
  </conditionalFormatting>
  <conditionalFormatting sqref="H10:H1048576">
    <cfRule type="cellIs" dxfId="428" priority="2530" operator="lessThan">
      <formula>0</formula>
    </cfRule>
  </conditionalFormatting>
  <conditionalFormatting sqref="H10:H1048576">
    <cfRule type="cellIs" dxfId="427" priority="2529" operator="lessThan">
      <formula>0</formula>
    </cfRule>
  </conditionalFormatting>
  <conditionalFormatting sqref="H10:H1048576">
    <cfRule type="cellIs" dxfId="426" priority="2528" operator="lessThan">
      <formula>0</formula>
    </cfRule>
  </conditionalFormatting>
  <conditionalFormatting sqref="H10:H1048576">
    <cfRule type="cellIs" dxfId="425" priority="2527" operator="lessThan">
      <formula>0</formula>
    </cfRule>
  </conditionalFormatting>
  <conditionalFormatting sqref="H10:H1048576">
    <cfRule type="cellIs" dxfId="424" priority="2526" operator="lessThan">
      <formula>0</formula>
    </cfRule>
  </conditionalFormatting>
  <conditionalFormatting sqref="H10:H1048576">
    <cfRule type="cellIs" dxfId="423" priority="2525" operator="lessThan">
      <formula>0</formula>
    </cfRule>
  </conditionalFormatting>
  <conditionalFormatting sqref="H10:H1048576">
    <cfRule type="cellIs" dxfId="422" priority="2524" operator="lessThan">
      <formula>0</formula>
    </cfRule>
  </conditionalFormatting>
  <conditionalFormatting sqref="H10:H1048576">
    <cfRule type="cellIs" dxfId="421" priority="2523" operator="lessThan">
      <formula>0</formula>
    </cfRule>
  </conditionalFormatting>
  <conditionalFormatting sqref="H10:H1048576">
    <cfRule type="cellIs" dxfId="420" priority="2522" operator="lessThan">
      <formula>0</formula>
    </cfRule>
  </conditionalFormatting>
  <conditionalFormatting sqref="H10:H1048576">
    <cfRule type="cellIs" dxfId="419" priority="2521" operator="lessThan">
      <formula>0</formula>
    </cfRule>
  </conditionalFormatting>
  <conditionalFormatting sqref="H10:H1048576">
    <cfRule type="cellIs" dxfId="418" priority="2520" operator="lessThan">
      <formula>0</formula>
    </cfRule>
  </conditionalFormatting>
  <conditionalFormatting sqref="H10:H1048576">
    <cfRule type="cellIs" dxfId="417" priority="2519" operator="lessThan">
      <formula>0</formula>
    </cfRule>
  </conditionalFormatting>
  <conditionalFormatting sqref="H10:H1048576">
    <cfRule type="cellIs" dxfId="416" priority="2518" operator="lessThan">
      <formula>0</formula>
    </cfRule>
  </conditionalFormatting>
  <conditionalFormatting sqref="H10:H1048576">
    <cfRule type="cellIs" dxfId="415" priority="2517" operator="lessThan">
      <formula>0</formula>
    </cfRule>
  </conditionalFormatting>
  <conditionalFormatting sqref="H10:H1048576">
    <cfRule type="cellIs" dxfId="414" priority="2516" operator="lessThan">
      <formula>0</formula>
    </cfRule>
  </conditionalFormatting>
  <conditionalFormatting sqref="H10:H1048576">
    <cfRule type="cellIs" dxfId="413" priority="2515" operator="lessThan">
      <formula>0</formula>
    </cfRule>
  </conditionalFormatting>
  <conditionalFormatting sqref="H10:H1048576">
    <cfRule type="cellIs" dxfId="412" priority="2514" operator="lessThan">
      <formula>0</formula>
    </cfRule>
  </conditionalFormatting>
  <conditionalFormatting sqref="H10:H1048576">
    <cfRule type="cellIs" dxfId="411" priority="2513" operator="lessThan">
      <formula>0</formula>
    </cfRule>
  </conditionalFormatting>
  <conditionalFormatting sqref="H10:H1048576">
    <cfRule type="cellIs" dxfId="410" priority="2512" operator="lessThan">
      <formula>0</formula>
    </cfRule>
  </conditionalFormatting>
  <conditionalFormatting sqref="H10:H1048576">
    <cfRule type="cellIs" dxfId="409" priority="2511" operator="lessThan">
      <formula>0</formula>
    </cfRule>
  </conditionalFormatting>
  <conditionalFormatting sqref="H10:H1048576">
    <cfRule type="cellIs" dxfId="408" priority="2510" operator="lessThan">
      <formula>0</formula>
    </cfRule>
  </conditionalFormatting>
  <conditionalFormatting sqref="H10:H1048576">
    <cfRule type="cellIs" dxfId="407" priority="2509" operator="lessThan">
      <formula>0</formula>
    </cfRule>
  </conditionalFormatting>
  <conditionalFormatting sqref="H10:H1048576">
    <cfRule type="cellIs" dxfId="406" priority="2508" operator="lessThan">
      <formula>0</formula>
    </cfRule>
  </conditionalFormatting>
  <conditionalFormatting sqref="H10:H1048576">
    <cfRule type="cellIs" dxfId="405" priority="2507" operator="lessThan">
      <formula>0</formula>
    </cfRule>
  </conditionalFormatting>
  <conditionalFormatting sqref="H10:H1048576">
    <cfRule type="cellIs" dxfId="404" priority="2506" operator="lessThan">
      <formula>0</formula>
    </cfRule>
  </conditionalFormatting>
  <conditionalFormatting sqref="H10:H1048576">
    <cfRule type="cellIs" dxfId="403" priority="2505" operator="lessThan">
      <formula>0</formula>
    </cfRule>
  </conditionalFormatting>
  <conditionalFormatting sqref="H10:H1048576">
    <cfRule type="cellIs" dxfId="402" priority="2504" operator="lessThan">
      <formula>0</formula>
    </cfRule>
  </conditionalFormatting>
  <conditionalFormatting sqref="H10:H1048576">
    <cfRule type="cellIs" dxfId="401" priority="2503" operator="lessThan">
      <formula>0</formula>
    </cfRule>
  </conditionalFormatting>
  <conditionalFormatting sqref="H10:H1048576">
    <cfRule type="cellIs" dxfId="400" priority="2502" operator="lessThan">
      <formula>0</formula>
    </cfRule>
  </conditionalFormatting>
  <conditionalFormatting sqref="H10:H1048576">
    <cfRule type="cellIs" dxfId="399" priority="2501" operator="lessThan">
      <formula>0</formula>
    </cfRule>
  </conditionalFormatting>
  <conditionalFormatting sqref="H10:H1048576">
    <cfRule type="cellIs" dxfId="398" priority="2500" operator="lessThan">
      <formula>0</formula>
    </cfRule>
  </conditionalFormatting>
  <conditionalFormatting sqref="H10:H1048576">
    <cfRule type="cellIs" dxfId="397" priority="2499" operator="lessThan">
      <formula>0</formula>
    </cfRule>
  </conditionalFormatting>
  <conditionalFormatting sqref="H10:H1048576">
    <cfRule type="cellIs" dxfId="396" priority="2498" operator="lessThan">
      <formula>0</formula>
    </cfRule>
  </conditionalFormatting>
  <conditionalFormatting sqref="H10:H1048576">
    <cfRule type="cellIs" dxfId="395" priority="2497" operator="lessThan">
      <formula>0</formula>
    </cfRule>
  </conditionalFormatting>
  <conditionalFormatting sqref="H10:H1048576">
    <cfRule type="cellIs" dxfId="394" priority="2496" operator="lessThan">
      <formula>0</formula>
    </cfRule>
  </conditionalFormatting>
  <conditionalFormatting sqref="H10:H1048576">
    <cfRule type="cellIs" dxfId="393" priority="2495" operator="lessThan">
      <formula>0</formula>
    </cfRule>
  </conditionalFormatting>
  <conditionalFormatting sqref="H10:H1048576">
    <cfRule type="cellIs" dxfId="392" priority="2494" operator="lessThan">
      <formula>0</formula>
    </cfRule>
  </conditionalFormatting>
  <conditionalFormatting sqref="H10:H1048576">
    <cfRule type="cellIs" dxfId="391" priority="2493" operator="lessThan">
      <formula>0</formula>
    </cfRule>
  </conditionalFormatting>
  <conditionalFormatting sqref="H10:H1048576">
    <cfRule type="cellIs" dxfId="390" priority="2492" operator="lessThan">
      <formula>0</formula>
    </cfRule>
  </conditionalFormatting>
  <conditionalFormatting sqref="H10:H1048576">
    <cfRule type="cellIs" dxfId="389" priority="2491" operator="lessThan">
      <formula>0</formula>
    </cfRule>
  </conditionalFormatting>
  <conditionalFormatting sqref="H10:H1048576">
    <cfRule type="cellIs" dxfId="388" priority="2490" operator="lessThan">
      <formula>0</formula>
    </cfRule>
  </conditionalFormatting>
  <conditionalFormatting sqref="H10:H1048576">
    <cfRule type="cellIs" dxfId="387" priority="2489" operator="lessThan">
      <formula>0</formula>
    </cfRule>
  </conditionalFormatting>
  <conditionalFormatting sqref="H10:H1048576">
    <cfRule type="cellIs" dxfId="386" priority="2488" operator="lessThan">
      <formula>0</formula>
    </cfRule>
  </conditionalFormatting>
  <conditionalFormatting sqref="H10:H1048576">
    <cfRule type="cellIs" dxfId="385" priority="2487" operator="lessThan">
      <formula>0</formula>
    </cfRule>
  </conditionalFormatting>
  <conditionalFormatting sqref="H10:H1048576">
    <cfRule type="cellIs" dxfId="384" priority="2486" operator="lessThan">
      <formula>0</formula>
    </cfRule>
  </conditionalFormatting>
  <conditionalFormatting sqref="H10:H1048576">
    <cfRule type="cellIs" dxfId="383" priority="2485" operator="lessThan">
      <formula>0</formula>
    </cfRule>
  </conditionalFormatting>
  <conditionalFormatting sqref="H10:H1048576">
    <cfRule type="cellIs" dxfId="382" priority="2484" operator="lessThan">
      <formula>0</formula>
    </cfRule>
  </conditionalFormatting>
  <conditionalFormatting sqref="H10:H1048576">
    <cfRule type="cellIs" dxfId="381" priority="2483" operator="lessThan">
      <formula>0</formula>
    </cfRule>
  </conditionalFormatting>
  <conditionalFormatting sqref="H10:H1048576">
    <cfRule type="cellIs" dxfId="380" priority="2482" operator="lessThan">
      <formula>0</formula>
    </cfRule>
  </conditionalFormatting>
  <conditionalFormatting sqref="H10:H1048576">
    <cfRule type="cellIs" dxfId="379" priority="2481" operator="lessThan">
      <formula>0</formula>
    </cfRule>
  </conditionalFormatting>
  <conditionalFormatting sqref="H10:H1048576">
    <cfRule type="cellIs" dxfId="378" priority="2480" operator="lessThan">
      <formula>0</formula>
    </cfRule>
  </conditionalFormatting>
  <conditionalFormatting sqref="H10:H1048576">
    <cfRule type="cellIs" dxfId="377" priority="2479" operator="lessThan">
      <formula>0</formula>
    </cfRule>
  </conditionalFormatting>
  <conditionalFormatting sqref="H10:H1048576">
    <cfRule type="cellIs" dxfId="376" priority="2478" operator="lessThan">
      <formula>0</formula>
    </cfRule>
  </conditionalFormatting>
  <conditionalFormatting sqref="H10:H1048576">
    <cfRule type="cellIs" dxfId="375" priority="2477" operator="lessThan">
      <formula>0</formula>
    </cfRule>
  </conditionalFormatting>
  <conditionalFormatting sqref="H10:H1048576">
    <cfRule type="cellIs" dxfId="374" priority="2476" operator="lessThan">
      <formula>0</formula>
    </cfRule>
  </conditionalFormatting>
  <conditionalFormatting sqref="H10:H1048576">
    <cfRule type="cellIs" dxfId="373" priority="2475" operator="lessThan">
      <formula>0</formula>
    </cfRule>
  </conditionalFormatting>
  <conditionalFormatting sqref="H10:H1048576">
    <cfRule type="cellIs" dxfId="372" priority="2474" operator="lessThan">
      <formula>0</formula>
    </cfRule>
  </conditionalFormatting>
  <conditionalFormatting sqref="H10:H1048576">
    <cfRule type="cellIs" dxfId="371" priority="2473" operator="lessThan">
      <formula>0</formula>
    </cfRule>
  </conditionalFormatting>
  <conditionalFormatting sqref="H10:H1048576">
    <cfRule type="cellIs" dxfId="370" priority="2472" operator="lessThan">
      <formula>0</formula>
    </cfRule>
  </conditionalFormatting>
  <conditionalFormatting sqref="H10:H1048576">
    <cfRule type="cellIs" dxfId="369" priority="2471" operator="lessThan">
      <formula>0</formula>
    </cfRule>
  </conditionalFormatting>
  <conditionalFormatting sqref="H10:H1048576">
    <cfRule type="cellIs" dxfId="368" priority="2470" operator="lessThan">
      <formula>0</formula>
    </cfRule>
  </conditionalFormatting>
  <conditionalFormatting sqref="H10:H1048576">
    <cfRule type="cellIs" dxfId="367" priority="2469" operator="lessThan">
      <formula>0</formula>
    </cfRule>
  </conditionalFormatting>
  <conditionalFormatting sqref="H10:H1048576">
    <cfRule type="cellIs" dxfId="366" priority="2468" operator="lessThan">
      <formula>0</formula>
    </cfRule>
  </conditionalFormatting>
  <conditionalFormatting sqref="H10:H1048576">
    <cfRule type="cellIs" dxfId="365" priority="2467" operator="lessThan">
      <formula>0</formula>
    </cfRule>
  </conditionalFormatting>
  <conditionalFormatting sqref="H10:H1048576">
    <cfRule type="cellIs" dxfId="364" priority="2466" operator="lessThan">
      <formula>0</formula>
    </cfRule>
  </conditionalFormatting>
  <conditionalFormatting sqref="H10:H1048576">
    <cfRule type="cellIs" dxfId="363" priority="2465" operator="lessThan">
      <formula>0</formula>
    </cfRule>
  </conditionalFormatting>
  <conditionalFormatting sqref="H10:H1048576">
    <cfRule type="cellIs" dxfId="362" priority="2464" operator="lessThan">
      <formula>0</formula>
    </cfRule>
  </conditionalFormatting>
  <conditionalFormatting sqref="H10:H1048576">
    <cfRule type="cellIs" dxfId="361" priority="2463" operator="lessThan">
      <formula>0</formula>
    </cfRule>
  </conditionalFormatting>
  <conditionalFormatting sqref="H10:H1048576">
    <cfRule type="cellIs" dxfId="360" priority="2462" operator="lessThan">
      <formula>0</formula>
    </cfRule>
  </conditionalFormatting>
  <conditionalFormatting sqref="H10:H1048576">
    <cfRule type="cellIs" dxfId="359" priority="2461" operator="lessThan">
      <formula>0</formula>
    </cfRule>
  </conditionalFormatting>
  <conditionalFormatting sqref="H10:H1048576">
    <cfRule type="cellIs" dxfId="358" priority="2460" operator="lessThan">
      <formula>0</formula>
    </cfRule>
  </conditionalFormatting>
  <conditionalFormatting sqref="H10:H1048576">
    <cfRule type="cellIs" dxfId="357" priority="2459" operator="lessThan">
      <formula>0</formula>
    </cfRule>
  </conditionalFormatting>
  <conditionalFormatting sqref="H10:H1048576">
    <cfRule type="cellIs" dxfId="356" priority="2458" operator="lessThan">
      <formula>0</formula>
    </cfRule>
  </conditionalFormatting>
  <conditionalFormatting sqref="H10:H1048576">
    <cfRule type="cellIs" dxfId="355" priority="2457" operator="lessThan">
      <formula>0</formula>
    </cfRule>
  </conditionalFormatting>
  <conditionalFormatting sqref="H10:H1048576">
    <cfRule type="cellIs" dxfId="354" priority="2456" operator="lessThan">
      <formula>0</formula>
    </cfRule>
  </conditionalFormatting>
  <conditionalFormatting sqref="H10:H1048576">
    <cfRule type="cellIs" dxfId="353" priority="2455" operator="lessThan">
      <formula>0</formula>
    </cfRule>
  </conditionalFormatting>
  <conditionalFormatting sqref="H10:H1048576">
    <cfRule type="cellIs" dxfId="352" priority="2454" operator="lessThan">
      <formula>0</formula>
    </cfRule>
  </conditionalFormatting>
  <conditionalFormatting sqref="H10:H1048576">
    <cfRule type="cellIs" dxfId="351" priority="2453" operator="lessThan">
      <formula>0</formula>
    </cfRule>
  </conditionalFormatting>
  <conditionalFormatting sqref="H10:H1048576">
    <cfRule type="cellIs" dxfId="350" priority="2452" operator="lessThan">
      <formula>0</formula>
    </cfRule>
  </conditionalFormatting>
  <conditionalFormatting sqref="H10:H1048576">
    <cfRule type="cellIs" dxfId="349" priority="2451" operator="lessThan">
      <formula>0</formula>
    </cfRule>
  </conditionalFormatting>
  <conditionalFormatting sqref="H10:H1048576">
    <cfRule type="cellIs" dxfId="348" priority="2450" operator="lessThan">
      <formula>0</formula>
    </cfRule>
  </conditionalFormatting>
  <conditionalFormatting sqref="H10:H1048576">
    <cfRule type="cellIs" dxfId="347" priority="2449" operator="lessThan">
      <formula>0</formula>
    </cfRule>
  </conditionalFormatting>
  <conditionalFormatting sqref="H10:H1048576">
    <cfRule type="cellIs" dxfId="346" priority="2448" operator="lessThan">
      <formula>0</formula>
    </cfRule>
  </conditionalFormatting>
  <conditionalFormatting sqref="H10:H1048576">
    <cfRule type="cellIs" dxfId="345" priority="2447" operator="lessThan">
      <formula>0</formula>
    </cfRule>
  </conditionalFormatting>
  <conditionalFormatting sqref="H10:H1048576">
    <cfRule type="cellIs" dxfId="344" priority="2446" operator="lessThan">
      <formula>0</formula>
    </cfRule>
  </conditionalFormatting>
  <conditionalFormatting sqref="H10:H1048576">
    <cfRule type="cellIs" dxfId="343" priority="2445" operator="lessThan">
      <formula>0</formula>
    </cfRule>
  </conditionalFormatting>
  <conditionalFormatting sqref="H10:H1048576">
    <cfRule type="cellIs" dxfId="342" priority="2444" operator="lessThan">
      <formula>0</formula>
    </cfRule>
  </conditionalFormatting>
  <conditionalFormatting sqref="H10:H1048576">
    <cfRule type="cellIs" dxfId="341" priority="2443" operator="lessThan">
      <formula>0</formula>
    </cfRule>
  </conditionalFormatting>
  <conditionalFormatting sqref="H10:H1048576">
    <cfRule type="cellIs" dxfId="340" priority="2442" operator="lessThan">
      <formula>0</formula>
    </cfRule>
  </conditionalFormatting>
  <conditionalFormatting sqref="H10:H1048576">
    <cfRule type="cellIs" dxfId="339" priority="2441" operator="lessThan">
      <formula>0</formula>
    </cfRule>
  </conditionalFormatting>
  <conditionalFormatting sqref="H10:H1048576">
    <cfRule type="cellIs" dxfId="338" priority="2440" operator="lessThan">
      <formula>0</formula>
    </cfRule>
  </conditionalFormatting>
  <conditionalFormatting sqref="H10:H1048576">
    <cfRule type="cellIs" dxfId="337" priority="2439" operator="lessThan">
      <formula>0</formula>
    </cfRule>
  </conditionalFormatting>
  <conditionalFormatting sqref="H10:H1048576">
    <cfRule type="cellIs" dxfId="336" priority="2438" operator="lessThan">
      <formula>0</formula>
    </cfRule>
  </conditionalFormatting>
  <conditionalFormatting sqref="H10:H1048576">
    <cfRule type="cellIs" dxfId="335" priority="2437" operator="lessThan">
      <formula>0</formula>
    </cfRule>
  </conditionalFormatting>
  <conditionalFormatting sqref="H10:H1048576">
    <cfRule type="cellIs" dxfId="334" priority="2436" operator="lessThan">
      <formula>0</formula>
    </cfRule>
  </conditionalFormatting>
  <conditionalFormatting sqref="H10:H1048576">
    <cfRule type="cellIs" dxfId="333" priority="2435" operator="lessThan">
      <formula>0</formula>
    </cfRule>
  </conditionalFormatting>
  <conditionalFormatting sqref="H10:H1048576">
    <cfRule type="cellIs" dxfId="332" priority="2434" operator="lessThan">
      <formula>0</formula>
    </cfRule>
  </conditionalFormatting>
  <conditionalFormatting sqref="H10:H1048576">
    <cfRule type="cellIs" dxfId="331" priority="2433" operator="lessThan">
      <formula>0</formula>
    </cfRule>
  </conditionalFormatting>
  <conditionalFormatting sqref="H10:H1048576">
    <cfRule type="cellIs" dxfId="330" priority="2432" operator="lessThan">
      <formula>0</formula>
    </cfRule>
  </conditionalFormatting>
  <conditionalFormatting sqref="H10:H1048576">
    <cfRule type="cellIs" dxfId="329" priority="2431" operator="lessThan">
      <formula>0</formula>
    </cfRule>
  </conditionalFormatting>
  <conditionalFormatting sqref="H10:H1048576">
    <cfRule type="cellIs" dxfId="328" priority="2430" operator="lessThan">
      <formula>0</formula>
    </cfRule>
  </conditionalFormatting>
  <conditionalFormatting sqref="H10:H1048576">
    <cfRule type="cellIs" dxfId="327" priority="2429" operator="lessThan">
      <formula>0</formula>
    </cfRule>
  </conditionalFormatting>
  <conditionalFormatting sqref="H10:H1048576">
    <cfRule type="cellIs" dxfId="326" priority="2428" operator="lessThan">
      <formula>0</formula>
    </cfRule>
  </conditionalFormatting>
  <conditionalFormatting sqref="H10:H1048576">
    <cfRule type="cellIs" dxfId="325" priority="2427" operator="lessThan">
      <formula>0</formula>
    </cfRule>
  </conditionalFormatting>
  <conditionalFormatting sqref="H10:H1048576">
    <cfRule type="cellIs" dxfId="324" priority="2426" operator="lessThan">
      <formula>0</formula>
    </cfRule>
  </conditionalFormatting>
  <conditionalFormatting sqref="H10:H1048576">
    <cfRule type="cellIs" dxfId="323" priority="2425" operator="lessThan">
      <formula>0</formula>
    </cfRule>
  </conditionalFormatting>
  <conditionalFormatting sqref="H10:H1048576">
    <cfRule type="cellIs" dxfId="322" priority="2424" operator="lessThan">
      <formula>0</formula>
    </cfRule>
  </conditionalFormatting>
  <conditionalFormatting sqref="H10:H1048576">
    <cfRule type="cellIs" dxfId="321" priority="2423" operator="lessThan">
      <formula>0</formula>
    </cfRule>
  </conditionalFormatting>
  <conditionalFormatting sqref="H10:H1048576">
    <cfRule type="cellIs" dxfId="320" priority="2422" operator="lessThan">
      <formula>0</formula>
    </cfRule>
  </conditionalFormatting>
  <conditionalFormatting sqref="H10:H1048576">
    <cfRule type="cellIs" dxfId="319" priority="2421" operator="lessThan">
      <formula>0</formula>
    </cfRule>
  </conditionalFormatting>
  <conditionalFormatting sqref="H10:H1048576">
    <cfRule type="cellIs" dxfId="318" priority="2420" operator="lessThan">
      <formula>0</formula>
    </cfRule>
  </conditionalFormatting>
  <conditionalFormatting sqref="H10:H1048576">
    <cfRule type="cellIs" dxfId="317" priority="2419" operator="lessThan">
      <formula>0</formula>
    </cfRule>
  </conditionalFormatting>
  <conditionalFormatting sqref="H10:H1048576">
    <cfRule type="cellIs" dxfId="316" priority="2418" operator="lessThan">
      <formula>0</formula>
    </cfRule>
  </conditionalFormatting>
  <conditionalFormatting sqref="H10:H1048576">
    <cfRule type="cellIs" dxfId="315" priority="2417" operator="lessThan">
      <formula>0</formula>
    </cfRule>
  </conditionalFormatting>
  <conditionalFormatting sqref="H10:H1048576">
    <cfRule type="cellIs" dxfId="314" priority="2416" operator="lessThan">
      <formula>0</formula>
    </cfRule>
  </conditionalFormatting>
  <conditionalFormatting sqref="H10:H1048576">
    <cfRule type="cellIs" dxfId="313" priority="2415" operator="lessThan">
      <formula>0</formula>
    </cfRule>
  </conditionalFormatting>
  <conditionalFormatting sqref="H10:H1048576">
    <cfRule type="cellIs" dxfId="312" priority="2414" operator="lessThan">
      <formula>0</formula>
    </cfRule>
  </conditionalFormatting>
  <conditionalFormatting sqref="H10:H1048576">
    <cfRule type="cellIs" dxfId="311" priority="2413" operator="lessThan">
      <formula>0</formula>
    </cfRule>
  </conditionalFormatting>
  <conditionalFormatting sqref="H10:H1048576">
    <cfRule type="cellIs" dxfId="310" priority="2412" operator="lessThan">
      <formula>0</formula>
    </cfRule>
  </conditionalFormatting>
  <conditionalFormatting sqref="H10:H1048576">
    <cfRule type="cellIs" dxfId="309" priority="2411" operator="lessThan">
      <formula>0</formula>
    </cfRule>
  </conditionalFormatting>
  <conditionalFormatting sqref="H10:H1048576">
    <cfRule type="cellIs" dxfId="308" priority="2410" operator="lessThan">
      <formula>0</formula>
    </cfRule>
  </conditionalFormatting>
  <conditionalFormatting sqref="H10:H1048576">
    <cfRule type="cellIs" dxfId="307" priority="2409" operator="lessThan">
      <formula>0</formula>
    </cfRule>
  </conditionalFormatting>
  <conditionalFormatting sqref="H10:H1048576">
    <cfRule type="cellIs" dxfId="306" priority="2408" operator="lessThan">
      <formula>0</formula>
    </cfRule>
  </conditionalFormatting>
  <conditionalFormatting sqref="H10:H1048576">
    <cfRule type="cellIs" dxfId="305" priority="2407" operator="lessThan">
      <formula>0</formula>
    </cfRule>
  </conditionalFormatting>
  <conditionalFormatting sqref="H10:H1048576">
    <cfRule type="cellIs" dxfId="304" priority="2406" operator="lessThan">
      <formula>0</formula>
    </cfRule>
  </conditionalFormatting>
  <conditionalFormatting sqref="H10:H1048576">
    <cfRule type="cellIs" dxfId="303" priority="2405" operator="lessThan">
      <formula>0</formula>
    </cfRule>
  </conditionalFormatting>
  <conditionalFormatting sqref="H10:H1048576">
    <cfRule type="cellIs" dxfId="302" priority="2404" operator="lessThan">
      <formula>0</formula>
    </cfRule>
  </conditionalFormatting>
  <conditionalFormatting sqref="H10:H1048576">
    <cfRule type="cellIs" dxfId="301" priority="2403" operator="lessThan">
      <formula>0</formula>
    </cfRule>
  </conditionalFormatting>
  <conditionalFormatting sqref="H10:H1048576">
    <cfRule type="cellIs" dxfId="300" priority="2402" operator="lessThan">
      <formula>0</formula>
    </cfRule>
  </conditionalFormatting>
  <conditionalFormatting sqref="H10:H1048576">
    <cfRule type="cellIs" dxfId="299" priority="2401" operator="lessThan">
      <formula>0</formula>
    </cfRule>
  </conditionalFormatting>
  <conditionalFormatting sqref="H10:H1048576">
    <cfRule type="cellIs" dxfId="298" priority="2400" operator="lessThan">
      <formula>0</formula>
    </cfRule>
  </conditionalFormatting>
  <conditionalFormatting sqref="H10:H1048576">
    <cfRule type="cellIs" dxfId="297" priority="2399" operator="lessThan">
      <formula>0</formula>
    </cfRule>
  </conditionalFormatting>
  <conditionalFormatting sqref="H10:H1048576">
    <cfRule type="cellIs" dxfId="296" priority="2398" operator="lessThan">
      <formula>0</formula>
    </cfRule>
  </conditionalFormatting>
  <conditionalFormatting sqref="H10:H1048576">
    <cfRule type="cellIs" dxfId="295" priority="2397" operator="lessThan">
      <formula>0</formula>
    </cfRule>
  </conditionalFormatting>
  <conditionalFormatting sqref="H10:H1048576">
    <cfRule type="cellIs" dxfId="294" priority="2396" operator="lessThan">
      <formula>0</formula>
    </cfRule>
  </conditionalFormatting>
  <conditionalFormatting sqref="H10:H1048576">
    <cfRule type="cellIs" dxfId="293" priority="2395" operator="lessThan">
      <formula>0</formula>
    </cfRule>
  </conditionalFormatting>
  <conditionalFormatting sqref="H10:H1048576">
    <cfRule type="cellIs" dxfId="292" priority="2394" operator="lessThan">
      <formula>0</formula>
    </cfRule>
  </conditionalFormatting>
  <conditionalFormatting sqref="H10:H1048576">
    <cfRule type="cellIs" dxfId="291" priority="2393" operator="lessThan">
      <formula>0</formula>
    </cfRule>
  </conditionalFormatting>
  <conditionalFormatting sqref="H10:H1048576">
    <cfRule type="cellIs" dxfId="290" priority="2392" operator="lessThan">
      <formula>0</formula>
    </cfRule>
  </conditionalFormatting>
  <conditionalFormatting sqref="H10:H1048576">
    <cfRule type="cellIs" dxfId="289" priority="2391" operator="lessThan">
      <formula>0</formula>
    </cfRule>
  </conditionalFormatting>
  <conditionalFormatting sqref="H10:H1048576">
    <cfRule type="cellIs" dxfId="288" priority="2390" operator="lessThan">
      <formula>0</formula>
    </cfRule>
  </conditionalFormatting>
  <conditionalFormatting sqref="H10:H1048576">
    <cfRule type="cellIs" dxfId="287" priority="2389" operator="lessThan">
      <formula>0</formula>
    </cfRule>
  </conditionalFormatting>
  <conditionalFormatting sqref="H10:H1048576">
    <cfRule type="cellIs" dxfId="286" priority="2388" operator="lessThan">
      <formula>0</formula>
    </cfRule>
  </conditionalFormatting>
  <conditionalFormatting sqref="H10:H1048576">
    <cfRule type="cellIs" dxfId="285" priority="2387" operator="lessThan">
      <formula>0</formula>
    </cfRule>
  </conditionalFormatting>
  <conditionalFormatting sqref="H10:H1048576">
    <cfRule type="cellIs" dxfId="284" priority="2386" operator="lessThan">
      <formula>0</formula>
    </cfRule>
  </conditionalFormatting>
  <conditionalFormatting sqref="H10:H1048576">
    <cfRule type="cellIs" dxfId="283" priority="2385" operator="lessThan">
      <formula>0</formula>
    </cfRule>
  </conditionalFormatting>
  <conditionalFormatting sqref="H10:H1048576">
    <cfRule type="cellIs" dxfId="282" priority="2384" operator="lessThan">
      <formula>0</formula>
    </cfRule>
  </conditionalFormatting>
  <conditionalFormatting sqref="H10:H1048576">
    <cfRule type="cellIs" dxfId="281" priority="2383" operator="lessThan">
      <formula>0</formula>
    </cfRule>
  </conditionalFormatting>
  <conditionalFormatting sqref="H10:H1048576">
    <cfRule type="cellIs" dxfId="280" priority="2382" operator="lessThan">
      <formula>0</formula>
    </cfRule>
  </conditionalFormatting>
  <conditionalFormatting sqref="H10:H1048576">
    <cfRule type="cellIs" dxfId="279" priority="2381" operator="lessThan">
      <formula>0</formula>
    </cfRule>
  </conditionalFormatting>
  <conditionalFormatting sqref="H10:H1048576">
    <cfRule type="cellIs" dxfId="278" priority="2380" operator="lessThan">
      <formula>0</formula>
    </cfRule>
  </conditionalFormatting>
  <conditionalFormatting sqref="H10:H1048576">
    <cfRule type="cellIs" dxfId="277" priority="2379" operator="lessThan">
      <formula>0</formula>
    </cfRule>
  </conditionalFormatting>
  <conditionalFormatting sqref="H10:H1048576">
    <cfRule type="cellIs" dxfId="276" priority="2378" operator="lessThan">
      <formula>0</formula>
    </cfRule>
  </conditionalFormatting>
  <conditionalFormatting sqref="H10:H1048576">
    <cfRule type="cellIs" dxfId="275" priority="2377" operator="lessThan">
      <formula>0</formula>
    </cfRule>
  </conditionalFormatting>
  <conditionalFormatting sqref="H10:H1048576">
    <cfRule type="cellIs" dxfId="274" priority="2376" operator="lessThan">
      <formula>0</formula>
    </cfRule>
  </conditionalFormatting>
  <conditionalFormatting sqref="H10:H1048576">
    <cfRule type="cellIs" dxfId="273" priority="2375" operator="lessThan">
      <formula>0</formula>
    </cfRule>
  </conditionalFormatting>
  <conditionalFormatting sqref="H10:H1048576">
    <cfRule type="cellIs" dxfId="272" priority="2374" operator="lessThan">
      <formula>0</formula>
    </cfRule>
  </conditionalFormatting>
  <conditionalFormatting sqref="H10:H1048576">
    <cfRule type="cellIs" dxfId="271" priority="2373" operator="lessThan">
      <formula>0</formula>
    </cfRule>
  </conditionalFormatting>
  <conditionalFormatting sqref="H10:H1048576">
    <cfRule type="cellIs" dxfId="270" priority="2372" operator="lessThan">
      <formula>0</formula>
    </cfRule>
  </conditionalFormatting>
  <conditionalFormatting sqref="H10:H1048576">
    <cfRule type="cellIs" dxfId="269" priority="2371" operator="lessThan">
      <formula>0</formula>
    </cfRule>
  </conditionalFormatting>
  <conditionalFormatting sqref="H10:H1048576">
    <cfRule type="cellIs" dxfId="268" priority="2370" operator="lessThan">
      <formula>0</formula>
    </cfRule>
  </conditionalFormatting>
  <conditionalFormatting sqref="H10:H1048576">
    <cfRule type="cellIs" dxfId="267" priority="2369" operator="lessThan">
      <formula>0</formula>
    </cfRule>
  </conditionalFormatting>
  <conditionalFormatting sqref="H10:H1048576">
    <cfRule type="cellIs" dxfId="266" priority="2368" operator="lessThan">
      <formula>0</formula>
    </cfRule>
  </conditionalFormatting>
  <conditionalFormatting sqref="H10:H1048576">
    <cfRule type="cellIs" dxfId="265" priority="2367" operator="lessThan">
      <formula>0</formula>
    </cfRule>
  </conditionalFormatting>
  <conditionalFormatting sqref="H10:H1048576">
    <cfRule type="cellIs" dxfId="264" priority="2366" operator="lessThan">
      <formula>0</formula>
    </cfRule>
  </conditionalFormatting>
  <conditionalFormatting sqref="H10:H1048576">
    <cfRule type="cellIs" dxfId="263" priority="2365" operator="lessThan">
      <formula>0</formula>
    </cfRule>
  </conditionalFormatting>
  <conditionalFormatting sqref="H10:H1048576">
    <cfRule type="cellIs" dxfId="262" priority="2364" operator="lessThan">
      <formula>0</formula>
    </cfRule>
  </conditionalFormatting>
  <conditionalFormatting sqref="H10:H1048576">
    <cfRule type="cellIs" dxfId="261" priority="2363" operator="lessThan">
      <formula>0</formula>
    </cfRule>
  </conditionalFormatting>
  <conditionalFormatting sqref="H10:H1048576">
    <cfRule type="cellIs" dxfId="260" priority="2362" operator="lessThan">
      <formula>0</formula>
    </cfRule>
  </conditionalFormatting>
  <conditionalFormatting sqref="H10:H1048576">
    <cfRule type="cellIs" dxfId="259" priority="2361" operator="lessThan">
      <formula>0</formula>
    </cfRule>
  </conditionalFormatting>
  <conditionalFormatting sqref="H10:H1048576">
    <cfRule type="cellIs" dxfId="258" priority="2360" operator="lessThan">
      <formula>0</formula>
    </cfRule>
  </conditionalFormatting>
  <conditionalFormatting sqref="H10:H1048576">
    <cfRule type="cellIs" dxfId="257" priority="2359" operator="lessThan">
      <formula>0</formula>
    </cfRule>
  </conditionalFormatting>
  <conditionalFormatting sqref="H10:H1048576">
    <cfRule type="cellIs" dxfId="256" priority="2358" operator="lessThan">
      <formula>0</formula>
    </cfRule>
  </conditionalFormatting>
  <conditionalFormatting sqref="H10:H1048576">
    <cfRule type="cellIs" dxfId="255" priority="2357" operator="lessThan">
      <formula>0</formula>
    </cfRule>
  </conditionalFormatting>
  <conditionalFormatting sqref="H10:H1048576">
    <cfRule type="cellIs" dxfId="254" priority="2356" operator="lessThan">
      <formula>0</formula>
    </cfRule>
  </conditionalFormatting>
  <conditionalFormatting sqref="H10:H1048576">
    <cfRule type="cellIs" dxfId="253" priority="2355" operator="lessThan">
      <formula>0</formula>
    </cfRule>
  </conditionalFormatting>
  <conditionalFormatting sqref="H10:H1048576">
    <cfRule type="cellIs" dxfId="252" priority="2354" operator="lessThan">
      <formula>0</formula>
    </cfRule>
  </conditionalFormatting>
  <conditionalFormatting sqref="H10:H1048576">
    <cfRule type="cellIs" dxfId="251" priority="2353" operator="lessThan">
      <formula>0</formula>
    </cfRule>
  </conditionalFormatting>
  <conditionalFormatting sqref="H10:H1048576">
    <cfRule type="cellIs" dxfId="250" priority="2352" operator="lessThan">
      <formula>0</formula>
    </cfRule>
  </conditionalFormatting>
  <conditionalFormatting sqref="H10:H1048576">
    <cfRule type="cellIs" dxfId="249" priority="2351" operator="lessThan">
      <formula>0</formula>
    </cfRule>
  </conditionalFormatting>
  <conditionalFormatting sqref="H10:H1048576">
    <cfRule type="cellIs" dxfId="248" priority="2350" operator="lessThan">
      <formula>0</formula>
    </cfRule>
  </conditionalFormatting>
  <conditionalFormatting sqref="H10:H1048576">
    <cfRule type="cellIs" dxfId="247" priority="2349" operator="lessThan">
      <formula>0</formula>
    </cfRule>
  </conditionalFormatting>
  <conditionalFormatting sqref="H10:H1048576">
    <cfRule type="cellIs" dxfId="246" priority="2348" operator="lessThan">
      <formula>0</formula>
    </cfRule>
  </conditionalFormatting>
  <conditionalFormatting sqref="H10:H1048576">
    <cfRule type="cellIs" dxfId="245" priority="2347" operator="lessThan">
      <formula>0</formula>
    </cfRule>
  </conditionalFormatting>
  <conditionalFormatting sqref="H10:H1048576">
    <cfRule type="cellIs" dxfId="244" priority="2346" operator="lessThan">
      <formula>0</formula>
    </cfRule>
  </conditionalFormatting>
  <conditionalFormatting sqref="H10:H1048576">
    <cfRule type="cellIs" dxfId="243" priority="2345" operator="lessThan">
      <formula>0</formula>
    </cfRule>
  </conditionalFormatting>
  <conditionalFormatting sqref="H10:H1048576">
    <cfRule type="cellIs" dxfId="242" priority="2344" operator="lessThan">
      <formula>0</formula>
    </cfRule>
  </conditionalFormatting>
  <conditionalFormatting sqref="H10:H1048576">
    <cfRule type="cellIs" dxfId="241" priority="2343" operator="lessThan">
      <formula>0</formula>
    </cfRule>
  </conditionalFormatting>
  <conditionalFormatting sqref="H10:H1048576">
    <cfRule type="cellIs" dxfId="240" priority="2342" operator="lessThan">
      <formula>0</formula>
    </cfRule>
  </conditionalFormatting>
  <conditionalFormatting sqref="H10:H1048576">
    <cfRule type="cellIs" dxfId="239" priority="2341" operator="lessThan">
      <formula>0</formula>
    </cfRule>
  </conditionalFormatting>
  <conditionalFormatting sqref="H10:H1048576">
    <cfRule type="cellIs" dxfId="238" priority="2340" operator="lessThan">
      <formula>0</formula>
    </cfRule>
  </conditionalFormatting>
  <conditionalFormatting sqref="H10:H1048576">
    <cfRule type="cellIs" dxfId="237" priority="2339" operator="lessThan">
      <formula>0</formula>
    </cfRule>
  </conditionalFormatting>
  <conditionalFormatting sqref="H10:H1048576">
    <cfRule type="cellIs" dxfId="236" priority="2338" operator="lessThan">
      <formula>0</formula>
    </cfRule>
  </conditionalFormatting>
  <conditionalFormatting sqref="H10:H1048576">
    <cfRule type="cellIs" dxfId="235" priority="2337" operator="lessThan">
      <formula>0</formula>
    </cfRule>
  </conditionalFormatting>
  <conditionalFormatting sqref="H10:H1048576">
    <cfRule type="cellIs" dxfId="234" priority="2336" operator="lessThan">
      <formula>0</formula>
    </cfRule>
  </conditionalFormatting>
  <conditionalFormatting sqref="H10:H1048576">
    <cfRule type="cellIs" dxfId="233" priority="2335" operator="lessThan">
      <formula>0</formula>
    </cfRule>
  </conditionalFormatting>
  <conditionalFormatting sqref="H10:H1048576">
    <cfRule type="cellIs" dxfId="232" priority="2334" operator="lessThan">
      <formula>0</formula>
    </cfRule>
  </conditionalFormatting>
  <conditionalFormatting sqref="H10:H1048576">
    <cfRule type="cellIs" dxfId="231" priority="2333" operator="lessThan">
      <formula>0</formula>
    </cfRule>
  </conditionalFormatting>
  <conditionalFormatting sqref="H10:H1048576">
    <cfRule type="cellIs" dxfId="230" priority="2332" operator="lessThan">
      <formula>0</formula>
    </cfRule>
  </conditionalFormatting>
  <conditionalFormatting sqref="H10:H1048576">
    <cfRule type="cellIs" dxfId="229" priority="2331" operator="lessThan">
      <formula>0</formula>
    </cfRule>
  </conditionalFormatting>
  <conditionalFormatting sqref="H10:H1048576">
    <cfRule type="cellIs" dxfId="228" priority="2330" operator="lessThan">
      <formula>0</formula>
    </cfRule>
  </conditionalFormatting>
  <conditionalFormatting sqref="H10:H1048576">
    <cfRule type="cellIs" dxfId="227" priority="2329" operator="lessThan">
      <formula>0</formula>
    </cfRule>
  </conditionalFormatting>
  <conditionalFormatting sqref="H10:H1048576">
    <cfRule type="cellIs" dxfId="226" priority="2328" operator="lessThan">
      <formula>0</formula>
    </cfRule>
  </conditionalFormatting>
  <conditionalFormatting sqref="H10:H1048576">
    <cfRule type="cellIs" dxfId="225" priority="2327" operator="lessThan">
      <formula>0</formula>
    </cfRule>
  </conditionalFormatting>
  <conditionalFormatting sqref="H10:H1048576">
    <cfRule type="cellIs" dxfId="224" priority="2326" operator="lessThan">
      <formula>0</formula>
    </cfRule>
  </conditionalFormatting>
  <conditionalFormatting sqref="H10:H1048576">
    <cfRule type="cellIs" dxfId="223" priority="2325" operator="lessThan">
      <formula>0</formula>
    </cfRule>
  </conditionalFormatting>
  <conditionalFormatting sqref="H1:H1048576">
    <cfRule type="cellIs" dxfId="222" priority="2324" operator="lessThan">
      <formula>0</formula>
    </cfRule>
  </conditionalFormatting>
  <conditionalFormatting sqref="H1:H1048576">
    <cfRule type="cellIs" dxfId="221" priority="2323" operator="lessThan">
      <formula>0</formula>
    </cfRule>
  </conditionalFormatting>
  <conditionalFormatting sqref="H1:H1048576">
    <cfRule type="cellIs" dxfId="220" priority="2322" operator="lessThan">
      <formula>0</formula>
    </cfRule>
  </conditionalFormatting>
  <conditionalFormatting sqref="H1:H1048576">
    <cfRule type="cellIs" dxfId="219" priority="2321" operator="lessThan">
      <formula>0</formula>
    </cfRule>
  </conditionalFormatting>
  <conditionalFormatting sqref="H1:H1048576">
    <cfRule type="cellIs" dxfId="218" priority="2320" operator="lessThan">
      <formula>0</formula>
    </cfRule>
  </conditionalFormatting>
  <conditionalFormatting sqref="H1:H1048576">
    <cfRule type="cellIs" dxfId="217" priority="2319" operator="lessThan">
      <formula>0</formula>
    </cfRule>
  </conditionalFormatting>
  <conditionalFormatting sqref="H1:H1048576">
    <cfRule type="cellIs" dxfId="216" priority="2318" operator="lessThan">
      <formula>0</formula>
    </cfRule>
  </conditionalFormatting>
  <conditionalFormatting sqref="H1:H1048576">
    <cfRule type="cellIs" dxfId="215" priority="2317" operator="lessThan">
      <formula>0</formula>
    </cfRule>
  </conditionalFormatting>
  <conditionalFormatting sqref="H1:H1048576">
    <cfRule type="cellIs" dxfId="214" priority="2316" operator="lessThan">
      <formula>0</formula>
    </cfRule>
  </conditionalFormatting>
  <conditionalFormatting sqref="H1:H1048576">
    <cfRule type="cellIs" dxfId="213" priority="2315" operator="lessThan">
      <formula>0</formula>
    </cfRule>
  </conditionalFormatting>
  <conditionalFormatting sqref="H1:H1048576">
    <cfRule type="cellIs" dxfId="212" priority="2314" operator="lessThan">
      <formula>0</formula>
    </cfRule>
  </conditionalFormatting>
  <conditionalFormatting sqref="H1:H1048576">
    <cfRule type="cellIs" dxfId="211" priority="2313" operator="lessThan">
      <formula>0</formula>
    </cfRule>
  </conditionalFormatting>
  <conditionalFormatting sqref="H1:H1048576">
    <cfRule type="cellIs" dxfId="210" priority="2312" operator="lessThan">
      <formula>0</formula>
    </cfRule>
  </conditionalFormatting>
  <conditionalFormatting sqref="H1:H1048576">
    <cfRule type="cellIs" dxfId="209" priority="2311" operator="lessThan">
      <formula>0</formula>
    </cfRule>
  </conditionalFormatting>
  <conditionalFormatting sqref="H1:H1048576">
    <cfRule type="cellIs" dxfId="208" priority="2310" operator="lessThan">
      <formula>0</formula>
    </cfRule>
  </conditionalFormatting>
  <conditionalFormatting sqref="H1:H1048576">
    <cfRule type="cellIs" dxfId="207" priority="2309" operator="lessThan">
      <formula>0</formula>
    </cfRule>
  </conditionalFormatting>
  <conditionalFormatting sqref="H1:H1048576">
    <cfRule type="cellIs" dxfId="206" priority="2308" operator="lessThan">
      <formula>0</formula>
    </cfRule>
  </conditionalFormatting>
  <conditionalFormatting sqref="H1:H1048576">
    <cfRule type="cellIs" dxfId="205" priority="2307" operator="lessThan">
      <formula>0</formula>
    </cfRule>
  </conditionalFormatting>
  <conditionalFormatting sqref="H1:H1048576">
    <cfRule type="cellIs" dxfId="204" priority="2306" operator="lessThan">
      <formula>0</formula>
    </cfRule>
  </conditionalFormatting>
  <conditionalFormatting sqref="H1:H1048576">
    <cfRule type="cellIs" dxfId="203" priority="2305" operator="lessThan">
      <formula>0</formula>
    </cfRule>
  </conditionalFormatting>
  <conditionalFormatting sqref="H1:H1048576">
    <cfRule type="cellIs" dxfId="202" priority="2304" operator="lessThan">
      <formula>0</formula>
    </cfRule>
  </conditionalFormatting>
  <conditionalFormatting sqref="H1:H1048576">
    <cfRule type="cellIs" dxfId="201" priority="2303" operator="lessThan">
      <formula>0</formula>
    </cfRule>
  </conditionalFormatting>
  <conditionalFormatting sqref="H1:H1048576">
    <cfRule type="cellIs" dxfId="200" priority="2302" operator="lessThan">
      <formula>0</formula>
    </cfRule>
  </conditionalFormatting>
  <conditionalFormatting sqref="H1:H1048576">
    <cfRule type="cellIs" dxfId="199" priority="2301" operator="lessThan">
      <formula>0</formula>
    </cfRule>
  </conditionalFormatting>
  <conditionalFormatting sqref="H1:H1048576">
    <cfRule type="cellIs" dxfId="198" priority="2300" operator="lessThan">
      <formula>0</formula>
    </cfRule>
  </conditionalFormatting>
  <conditionalFormatting sqref="H1:H1048576">
    <cfRule type="cellIs" dxfId="197" priority="2299" operator="lessThan">
      <formula>0</formula>
    </cfRule>
  </conditionalFormatting>
  <conditionalFormatting sqref="H1:H1048576">
    <cfRule type="cellIs" dxfId="196" priority="2298" operator="lessThan">
      <formula>0</formula>
    </cfRule>
  </conditionalFormatting>
  <conditionalFormatting sqref="H1:H1048576">
    <cfRule type="cellIs" dxfId="195" priority="2297" operator="lessThan">
      <formula>0</formula>
    </cfRule>
  </conditionalFormatting>
  <conditionalFormatting sqref="H1:H1048576">
    <cfRule type="cellIs" dxfId="194" priority="2296" operator="lessThan">
      <formula>0</formula>
    </cfRule>
  </conditionalFormatting>
  <conditionalFormatting sqref="H1:H1048576">
    <cfRule type="cellIs" dxfId="193" priority="2295" operator="lessThan">
      <formula>0</formula>
    </cfRule>
  </conditionalFormatting>
  <conditionalFormatting sqref="H1:H1048576">
    <cfRule type="cellIs" dxfId="192" priority="2294" operator="lessThan">
      <formula>0</formula>
    </cfRule>
  </conditionalFormatting>
  <conditionalFormatting sqref="H1:H1048576">
    <cfRule type="cellIs" dxfId="191" priority="2293" operator="lessThan">
      <formula>0</formula>
    </cfRule>
  </conditionalFormatting>
  <conditionalFormatting sqref="H1:H1048576">
    <cfRule type="cellIs" dxfId="190" priority="2292" operator="lessThan">
      <formula>0</formula>
    </cfRule>
  </conditionalFormatting>
  <conditionalFormatting sqref="H1:H1048576">
    <cfRule type="cellIs" dxfId="189" priority="2291" operator="lessThan">
      <formula>0</formula>
    </cfRule>
  </conditionalFormatting>
  <conditionalFormatting sqref="H1:H1048576">
    <cfRule type="cellIs" dxfId="188" priority="2290" operator="lessThan">
      <formula>0</formula>
    </cfRule>
  </conditionalFormatting>
  <conditionalFormatting sqref="H1:H1048576">
    <cfRule type="cellIs" dxfId="187" priority="2289" operator="lessThan">
      <formula>0</formula>
    </cfRule>
  </conditionalFormatting>
  <conditionalFormatting sqref="H1:H1048576">
    <cfRule type="cellIs" dxfId="186" priority="2288" operator="lessThan">
      <formula>0</formula>
    </cfRule>
  </conditionalFormatting>
  <conditionalFormatting sqref="H1:H1048576">
    <cfRule type="cellIs" dxfId="185" priority="2287" operator="lessThan">
      <formula>0</formula>
    </cfRule>
  </conditionalFormatting>
  <conditionalFormatting sqref="H1:H1048576">
    <cfRule type="cellIs" dxfId="184" priority="2286" operator="lessThan">
      <formula>0</formula>
    </cfRule>
  </conditionalFormatting>
  <conditionalFormatting sqref="H1:H1048576">
    <cfRule type="cellIs" dxfId="183" priority="2285" operator="lessThan">
      <formula>0</formula>
    </cfRule>
  </conditionalFormatting>
  <conditionalFormatting sqref="H1:H1048576">
    <cfRule type="cellIs" dxfId="182" priority="2284" operator="lessThan">
      <formula>0</formula>
    </cfRule>
  </conditionalFormatting>
  <conditionalFormatting sqref="H1:H1048576">
    <cfRule type="cellIs" dxfId="181" priority="2283" operator="lessThan">
      <formula>0</formula>
    </cfRule>
  </conditionalFormatting>
  <conditionalFormatting sqref="H1:H1048576">
    <cfRule type="cellIs" dxfId="180" priority="2282" operator="lessThan">
      <formula>0</formula>
    </cfRule>
  </conditionalFormatting>
  <conditionalFormatting sqref="H1:H1048576">
    <cfRule type="cellIs" dxfId="179" priority="2281" operator="lessThan">
      <formula>0</formula>
    </cfRule>
  </conditionalFormatting>
  <conditionalFormatting sqref="H1:H1048576">
    <cfRule type="cellIs" dxfId="178" priority="2280" operator="lessThan">
      <formula>0</formula>
    </cfRule>
  </conditionalFormatting>
  <conditionalFormatting sqref="H1:H1048576">
    <cfRule type="cellIs" dxfId="177" priority="2279" operator="lessThan">
      <formula>0</formula>
    </cfRule>
  </conditionalFormatting>
  <conditionalFormatting sqref="H1:H1048576">
    <cfRule type="cellIs" dxfId="176" priority="2278" operator="lessThan">
      <formula>0</formula>
    </cfRule>
  </conditionalFormatting>
  <conditionalFormatting sqref="H1:H1048576">
    <cfRule type="cellIs" dxfId="175" priority="2277" operator="lessThan">
      <formula>0</formula>
    </cfRule>
  </conditionalFormatting>
  <conditionalFormatting sqref="H1:H1048576">
    <cfRule type="cellIs" dxfId="174" priority="2276" operator="lessThan">
      <formula>0</formula>
    </cfRule>
  </conditionalFormatting>
  <conditionalFormatting sqref="H1:H1048576">
    <cfRule type="cellIs" dxfId="173" priority="2275" operator="lessThan">
      <formula>0</formula>
    </cfRule>
  </conditionalFormatting>
  <conditionalFormatting sqref="H1:H1048576">
    <cfRule type="cellIs" dxfId="172" priority="2274" operator="lessThan">
      <formula>0</formula>
    </cfRule>
  </conditionalFormatting>
  <conditionalFormatting sqref="H1:H1048576">
    <cfRule type="cellIs" dxfId="171" priority="2273" operator="lessThan">
      <formula>0</formula>
    </cfRule>
  </conditionalFormatting>
  <conditionalFormatting sqref="H1:H1048576">
    <cfRule type="cellIs" dxfId="170" priority="2272" operator="lessThan">
      <formula>0</formula>
    </cfRule>
  </conditionalFormatting>
  <conditionalFormatting sqref="H1:H1048576">
    <cfRule type="cellIs" dxfId="169" priority="2271" operator="lessThan">
      <formula>0</formula>
    </cfRule>
  </conditionalFormatting>
  <conditionalFormatting sqref="H1:H1048576">
    <cfRule type="cellIs" dxfId="168" priority="2270" operator="lessThan">
      <formula>0</formula>
    </cfRule>
  </conditionalFormatting>
  <conditionalFormatting sqref="H1:H1048576">
    <cfRule type="cellIs" dxfId="167" priority="2269" operator="lessThan">
      <formula>0</formula>
    </cfRule>
  </conditionalFormatting>
  <conditionalFormatting sqref="H1:H1048576">
    <cfRule type="cellIs" dxfId="166" priority="2268" operator="lessThan">
      <formula>0</formula>
    </cfRule>
  </conditionalFormatting>
  <conditionalFormatting sqref="H1:H1048576">
    <cfRule type="cellIs" dxfId="165" priority="2267" operator="lessThan">
      <formula>0</formula>
    </cfRule>
  </conditionalFormatting>
  <conditionalFormatting sqref="H1:H1048576">
    <cfRule type="cellIs" dxfId="164" priority="2266" operator="lessThan">
      <formula>0</formula>
    </cfRule>
  </conditionalFormatting>
  <conditionalFormatting sqref="H1:H1048576">
    <cfRule type="cellIs" dxfId="163" priority="2265" operator="lessThan">
      <formula>0</formula>
    </cfRule>
  </conditionalFormatting>
  <conditionalFormatting sqref="H1:H1048576">
    <cfRule type="cellIs" dxfId="162" priority="2264" operator="lessThan">
      <formula>0</formula>
    </cfRule>
  </conditionalFormatting>
  <conditionalFormatting sqref="H1:H1048576">
    <cfRule type="cellIs" dxfId="161" priority="2263" operator="lessThan">
      <formula>0</formula>
    </cfRule>
  </conditionalFormatting>
  <conditionalFormatting sqref="H1:H1048576">
    <cfRule type="cellIs" dxfId="160" priority="2262" operator="lessThan">
      <formula>0</formula>
    </cfRule>
  </conditionalFormatting>
  <conditionalFormatting sqref="H1:H1048576">
    <cfRule type="cellIs" dxfId="159" priority="2261" operator="lessThan">
      <formula>0</formula>
    </cfRule>
  </conditionalFormatting>
  <conditionalFormatting sqref="H1:H1048576">
    <cfRule type="cellIs" dxfId="158" priority="2260" operator="lessThan">
      <formula>0</formula>
    </cfRule>
  </conditionalFormatting>
  <conditionalFormatting sqref="H1:H1048576">
    <cfRule type="cellIs" dxfId="157" priority="2259" operator="lessThan">
      <formula>0</formula>
    </cfRule>
  </conditionalFormatting>
  <conditionalFormatting sqref="H1:H1048576">
    <cfRule type="cellIs" dxfId="156" priority="2258" operator="lessThan">
      <formula>0</formula>
    </cfRule>
  </conditionalFormatting>
  <conditionalFormatting sqref="H1:H1048576">
    <cfRule type="cellIs" dxfId="155" priority="2257" operator="lessThan">
      <formula>0</formula>
    </cfRule>
  </conditionalFormatting>
  <conditionalFormatting sqref="H1:H1048576">
    <cfRule type="cellIs" dxfId="154" priority="2256" operator="lessThan">
      <formula>0</formula>
    </cfRule>
  </conditionalFormatting>
  <conditionalFormatting sqref="H1:H1048576">
    <cfRule type="cellIs" dxfId="153" priority="2255" operator="lessThan">
      <formula>0</formula>
    </cfRule>
  </conditionalFormatting>
  <conditionalFormatting sqref="H1:H1048576">
    <cfRule type="cellIs" dxfId="152" priority="2254" operator="lessThan">
      <formula>0</formula>
    </cfRule>
  </conditionalFormatting>
  <conditionalFormatting sqref="H1:H1048576">
    <cfRule type="cellIs" dxfId="151" priority="2253" operator="lessThan">
      <formula>0</formula>
    </cfRule>
  </conditionalFormatting>
  <conditionalFormatting sqref="H1:H1048576">
    <cfRule type="cellIs" dxfId="150" priority="2252" operator="lessThan">
      <formula>0</formula>
    </cfRule>
  </conditionalFormatting>
  <conditionalFormatting sqref="H1:H1048576">
    <cfRule type="cellIs" dxfId="149" priority="2251" operator="lessThan">
      <formula>0</formula>
    </cfRule>
  </conditionalFormatting>
  <conditionalFormatting sqref="H1:H1048576">
    <cfRule type="cellIs" dxfId="148" priority="2250" operator="lessThan">
      <formula>0</formula>
    </cfRule>
  </conditionalFormatting>
  <conditionalFormatting sqref="H1:H1048576">
    <cfRule type="cellIs" dxfId="147" priority="2249" operator="lessThan">
      <formula>0</formula>
    </cfRule>
  </conditionalFormatting>
  <conditionalFormatting sqref="H1:H1048576">
    <cfRule type="cellIs" dxfId="146" priority="2248" operator="lessThan">
      <formula>0</formula>
    </cfRule>
  </conditionalFormatting>
  <conditionalFormatting sqref="H1:H1048576">
    <cfRule type="cellIs" dxfId="145" priority="2247" operator="lessThan">
      <formula>0</formula>
    </cfRule>
  </conditionalFormatting>
  <conditionalFormatting sqref="H1:H1048576">
    <cfRule type="cellIs" dxfId="144" priority="2246" operator="lessThan">
      <formula>0</formula>
    </cfRule>
  </conditionalFormatting>
  <conditionalFormatting sqref="H1:H1048576">
    <cfRule type="cellIs" dxfId="143" priority="2245" operator="lessThan">
      <formula>0</formula>
    </cfRule>
  </conditionalFormatting>
  <conditionalFormatting sqref="H1:H1048576">
    <cfRule type="cellIs" dxfId="142" priority="2244" operator="lessThan">
      <formula>0</formula>
    </cfRule>
  </conditionalFormatting>
  <conditionalFormatting sqref="H1:H1048576">
    <cfRule type="cellIs" dxfId="141" priority="2243" operator="lessThan">
      <formula>0</formula>
    </cfRule>
  </conditionalFormatting>
  <conditionalFormatting sqref="H1:H1048576">
    <cfRule type="cellIs" dxfId="140" priority="2242" operator="lessThan">
      <formula>0</formula>
    </cfRule>
  </conditionalFormatting>
  <conditionalFormatting sqref="H1:H1048576">
    <cfRule type="cellIs" dxfId="139" priority="2241" operator="lessThan">
      <formula>0</formula>
    </cfRule>
  </conditionalFormatting>
  <conditionalFormatting sqref="H1:H1048576">
    <cfRule type="cellIs" dxfId="138" priority="2240" operator="lessThan">
      <formula>0</formula>
    </cfRule>
  </conditionalFormatting>
  <conditionalFormatting sqref="H1:H1048576">
    <cfRule type="cellIs" dxfId="137" priority="2239" operator="lessThan">
      <formula>0</formula>
    </cfRule>
  </conditionalFormatting>
  <conditionalFormatting sqref="H1:H1048576">
    <cfRule type="cellIs" dxfId="136" priority="2238" operator="lessThan">
      <formula>0</formula>
    </cfRule>
  </conditionalFormatting>
  <conditionalFormatting sqref="H1:H1048576">
    <cfRule type="cellIs" dxfId="135" priority="2237" operator="lessThan">
      <formula>0</formula>
    </cfRule>
  </conditionalFormatting>
  <conditionalFormatting sqref="H1:H1048576">
    <cfRule type="cellIs" dxfId="134" priority="2236" operator="lessThan">
      <formula>0</formula>
    </cfRule>
  </conditionalFormatting>
  <conditionalFormatting sqref="H1:H1048576">
    <cfRule type="cellIs" dxfId="133" priority="2235" operator="lessThan">
      <formula>0</formula>
    </cfRule>
  </conditionalFormatting>
  <conditionalFormatting sqref="H1:H1048576">
    <cfRule type="cellIs" dxfId="132" priority="2234" operator="lessThan">
      <formula>0</formula>
    </cfRule>
  </conditionalFormatting>
  <conditionalFormatting sqref="H1:H1048576">
    <cfRule type="cellIs" dxfId="131" priority="2233" operator="lessThan">
      <formula>0</formula>
    </cfRule>
  </conditionalFormatting>
  <conditionalFormatting sqref="H1:H1048576">
    <cfRule type="cellIs" dxfId="130" priority="2232" operator="lessThan">
      <formula>0</formula>
    </cfRule>
  </conditionalFormatting>
  <conditionalFormatting sqref="H1:H1048576">
    <cfRule type="cellIs" dxfId="129" priority="2231" operator="lessThan">
      <formula>0</formula>
    </cfRule>
  </conditionalFormatting>
  <conditionalFormatting sqref="H1:H1048576">
    <cfRule type="cellIs" dxfId="128" priority="2230" operator="lessThan">
      <formula>0</formula>
    </cfRule>
  </conditionalFormatting>
  <conditionalFormatting sqref="H1:H1048576">
    <cfRule type="cellIs" dxfId="127" priority="2229" operator="lessThan">
      <formula>0</formula>
    </cfRule>
  </conditionalFormatting>
  <conditionalFormatting sqref="H1:H1048576">
    <cfRule type="cellIs" dxfId="126" priority="2228" operator="lessThan">
      <formula>0</formula>
    </cfRule>
  </conditionalFormatting>
  <conditionalFormatting sqref="H1:H1048576">
    <cfRule type="cellIs" dxfId="125" priority="2227" operator="lessThan">
      <formula>0</formula>
    </cfRule>
  </conditionalFormatting>
  <conditionalFormatting sqref="H1:H1048576">
    <cfRule type="cellIs" dxfId="124" priority="2226" operator="lessThan">
      <formula>0</formula>
    </cfRule>
  </conditionalFormatting>
  <conditionalFormatting sqref="H1:H1048576">
    <cfRule type="cellIs" dxfId="123" priority="2225" operator="lessThan">
      <formula>0</formula>
    </cfRule>
  </conditionalFormatting>
  <conditionalFormatting sqref="H1:H1048576">
    <cfRule type="cellIs" dxfId="122" priority="2224" operator="lessThan">
      <formula>0</formula>
    </cfRule>
  </conditionalFormatting>
  <conditionalFormatting sqref="H1:H1048576">
    <cfRule type="cellIs" dxfId="121" priority="2223" operator="lessThan">
      <formula>0</formula>
    </cfRule>
  </conditionalFormatting>
  <conditionalFormatting sqref="H1:H1048576">
    <cfRule type="cellIs" dxfId="120" priority="2222" operator="lessThan">
      <formula>0</formula>
    </cfRule>
  </conditionalFormatting>
  <conditionalFormatting sqref="H1:H1048576">
    <cfRule type="cellIs" dxfId="119" priority="2221" operator="lessThan">
      <formula>0</formula>
    </cfRule>
  </conditionalFormatting>
  <conditionalFormatting sqref="H1:H1048576">
    <cfRule type="cellIs" dxfId="118" priority="2220" operator="lessThan">
      <formula>0</formula>
    </cfRule>
  </conditionalFormatting>
  <conditionalFormatting sqref="H1:H1048576">
    <cfRule type="cellIs" dxfId="117" priority="2219" operator="lessThan">
      <formula>0</formula>
    </cfRule>
  </conditionalFormatting>
  <conditionalFormatting sqref="H1:H1048576">
    <cfRule type="cellIs" dxfId="116" priority="2218" operator="lessThan">
      <formula>0</formula>
    </cfRule>
  </conditionalFormatting>
  <conditionalFormatting sqref="H1:H1048576">
    <cfRule type="cellIs" dxfId="115" priority="2217" operator="lessThan">
      <formula>0</formula>
    </cfRule>
  </conditionalFormatting>
  <conditionalFormatting sqref="H1:H1048576">
    <cfRule type="cellIs" dxfId="114" priority="2216" operator="lessThan">
      <formula>0</formula>
    </cfRule>
  </conditionalFormatting>
  <conditionalFormatting sqref="H1:H1048576">
    <cfRule type="cellIs" dxfId="113" priority="2215" operator="lessThan">
      <formula>0</formula>
    </cfRule>
  </conditionalFormatting>
  <conditionalFormatting sqref="H1:H1048576">
    <cfRule type="cellIs" dxfId="112" priority="2214" operator="lessThan">
      <formula>0</formula>
    </cfRule>
  </conditionalFormatting>
  <conditionalFormatting sqref="H1:H1048576">
    <cfRule type="cellIs" dxfId="111" priority="2213" operator="lessThan">
      <formula>0</formula>
    </cfRule>
  </conditionalFormatting>
  <conditionalFormatting sqref="H1:H1048576">
    <cfRule type="cellIs" dxfId="110" priority="2212" operator="lessThan">
      <formula>0</formula>
    </cfRule>
  </conditionalFormatting>
  <conditionalFormatting sqref="H1:H1048576">
    <cfRule type="cellIs" dxfId="109" priority="2211" operator="lessThan">
      <formula>0</formula>
    </cfRule>
  </conditionalFormatting>
  <conditionalFormatting sqref="H1:H1048576">
    <cfRule type="cellIs" dxfId="108" priority="2210" operator="lessThan">
      <formula>0</formula>
    </cfRule>
  </conditionalFormatting>
  <conditionalFormatting sqref="H1:H1048576">
    <cfRule type="cellIs" dxfId="107" priority="2209" operator="lessThan">
      <formula>0</formula>
    </cfRule>
  </conditionalFormatting>
  <conditionalFormatting sqref="H1:H1048576">
    <cfRule type="cellIs" dxfId="106" priority="2208" operator="lessThan">
      <formula>0</formula>
    </cfRule>
  </conditionalFormatting>
  <conditionalFormatting sqref="H1:H1048576">
    <cfRule type="cellIs" dxfId="105" priority="2207" operator="lessThan">
      <formula>0</formula>
    </cfRule>
  </conditionalFormatting>
  <conditionalFormatting sqref="H1:H1048576">
    <cfRule type="cellIs" dxfId="104" priority="2206" operator="lessThan">
      <formula>0</formula>
    </cfRule>
  </conditionalFormatting>
  <conditionalFormatting sqref="H1:H1048576">
    <cfRule type="cellIs" dxfId="103" priority="2205" operator="lessThan">
      <formula>0</formula>
    </cfRule>
  </conditionalFormatting>
  <conditionalFormatting sqref="H1:H1048576">
    <cfRule type="cellIs" dxfId="102" priority="2204" operator="lessThan">
      <formula>0</formula>
    </cfRule>
  </conditionalFormatting>
  <conditionalFormatting sqref="H1:H1048576">
    <cfRule type="cellIs" dxfId="101" priority="2203" operator="lessThan">
      <formula>0</formula>
    </cfRule>
  </conditionalFormatting>
  <conditionalFormatting sqref="H1:H1048576">
    <cfRule type="cellIs" dxfId="100" priority="2202" operator="lessThan">
      <formula>0</formula>
    </cfRule>
  </conditionalFormatting>
  <conditionalFormatting sqref="H1:H1048576">
    <cfRule type="cellIs" dxfId="99" priority="2201" operator="lessThan">
      <formula>0</formula>
    </cfRule>
  </conditionalFormatting>
  <conditionalFormatting sqref="H1:H1048576">
    <cfRule type="cellIs" dxfId="98" priority="2200" operator="lessThan">
      <formula>0</formula>
    </cfRule>
  </conditionalFormatting>
  <conditionalFormatting sqref="H1:H1048576">
    <cfRule type="cellIs" dxfId="97" priority="2199" operator="lessThan">
      <formula>0</formula>
    </cfRule>
  </conditionalFormatting>
  <conditionalFormatting sqref="H1:H1048576">
    <cfRule type="cellIs" dxfId="96" priority="2198" operator="lessThan">
      <formula>0</formula>
    </cfRule>
  </conditionalFormatting>
  <conditionalFormatting sqref="H1:H1048576">
    <cfRule type="cellIs" dxfId="95" priority="2197" operator="lessThan">
      <formula>0</formula>
    </cfRule>
  </conditionalFormatting>
  <conditionalFormatting sqref="H1:H1048576">
    <cfRule type="cellIs" dxfId="94" priority="2196" operator="lessThan">
      <formula>0</formula>
    </cfRule>
  </conditionalFormatting>
  <conditionalFormatting sqref="H1:H1048576">
    <cfRule type="cellIs" dxfId="93" priority="2195" operator="lessThan">
      <formula>0</formula>
    </cfRule>
  </conditionalFormatting>
  <conditionalFormatting sqref="H1:H1048576">
    <cfRule type="cellIs" dxfId="92" priority="2194" operator="lessThan">
      <formula>0</formula>
    </cfRule>
  </conditionalFormatting>
  <conditionalFormatting sqref="H1:H1048576">
    <cfRule type="cellIs" dxfId="91" priority="2193" operator="lessThan">
      <formula>0</formula>
    </cfRule>
  </conditionalFormatting>
  <conditionalFormatting sqref="H1:H1048576">
    <cfRule type="cellIs" dxfId="90" priority="2192" operator="lessThan">
      <formula>0</formula>
    </cfRule>
  </conditionalFormatting>
  <conditionalFormatting sqref="H1:H1048576">
    <cfRule type="cellIs" dxfId="89" priority="2191" operator="lessThan">
      <formula>0</formula>
    </cfRule>
  </conditionalFormatting>
  <conditionalFormatting sqref="H1:H1048576">
    <cfRule type="cellIs" dxfId="88" priority="2190" operator="lessThan">
      <formula>0</formula>
    </cfRule>
  </conditionalFormatting>
  <conditionalFormatting sqref="H1:H1048576">
    <cfRule type="cellIs" dxfId="87" priority="2189" operator="lessThan">
      <formula>0</formula>
    </cfRule>
  </conditionalFormatting>
  <conditionalFormatting sqref="H1:H1048576">
    <cfRule type="cellIs" dxfId="86" priority="2188" operator="lessThan">
      <formula>0</formula>
    </cfRule>
  </conditionalFormatting>
  <conditionalFormatting sqref="H1:H1048576">
    <cfRule type="cellIs" dxfId="85" priority="2187" operator="lessThan">
      <formula>0</formula>
    </cfRule>
  </conditionalFormatting>
  <conditionalFormatting sqref="H1:H1048576">
    <cfRule type="cellIs" dxfId="84" priority="2186" operator="lessThan">
      <formula>0</formula>
    </cfRule>
  </conditionalFormatting>
  <conditionalFormatting sqref="H1:H1048576">
    <cfRule type="cellIs" dxfId="83" priority="2185" operator="lessThan">
      <formula>0</formula>
    </cfRule>
  </conditionalFormatting>
  <conditionalFormatting sqref="H1:H1048576">
    <cfRule type="cellIs" dxfId="82" priority="2184" operator="lessThan">
      <formula>0</formula>
    </cfRule>
  </conditionalFormatting>
  <conditionalFormatting sqref="H1:H1048576">
    <cfRule type="cellIs" dxfId="81" priority="2183" operator="lessThan">
      <formula>0</formula>
    </cfRule>
  </conditionalFormatting>
  <conditionalFormatting sqref="H1:H1048576">
    <cfRule type="cellIs" dxfId="80" priority="2182" operator="lessThan">
      <formula>0</formula>
    </cfRule>
  </conditionalFormatting>
  <conditionalFormatting sqref="H1:H1048576">
    <cfRule type="cellIs" dxfId="79" priority="2181" operator="lessThan">
      <formula>0</formula>
    </cfRule>
  </conditionalFormatting>
  <conditionalFormatting sqref="H1:H1048576">
    <cfRule type="cellIs" dxfId="78" priority="2180" operator="lessThan">
      <formula>0</formula>
    </cfRule>
  </conditionalFormatting>
  <conditionalFormatting sqref="H1:H1048576">
    <cfRule type="cellIs" dxfId="77" priority="2179" operator="lessThan">
      <formula>0</formula>
    </cfRule>
  </conditionalFormatting>
  <conditionalFormatting sqref="H1:H1048576">
    <cfRule type="cellIs" dxfId="76" priority="2178" operator="lessThan">
      <formula>0</formula>
    </cfRule>
  </conditionalFormatting>
  <conditionalFormatting sqref="H1:H1048576">
    <cfRule type="cellIs" dxfId="75" priority="2177" operator="lessThan">
      <formula>0</formula>
    </cfRule>
  </conditionalFormatting>
  <conditionalFormatting sqref="H1:H1048576">
    <cfRule type="cellIs" dxfId="74" priority="2176" operator="lessThan">
      <formula>0</formula>
    </cfRule>
  </conditionalFormatting>
  <conditionalFormatting sqref="H1:H1048576">
    <cfRule type="cellIs" dxfId="73" priority="2175" operator="lessThan">
      <formula>0</formula>
    </cfRule>
  </conditionalFormatting>
  <conditionalFormatting sqref="H1:H1048576">
    <cfRule type="cellIs" dxfId="72" priority="2174" operator="lessThan">
      <formula>0</formula>
    </cfRule>
  </conditionalFormatting>
  <conditionalFormatting sqref="H1:H1048576">
    <cfRule type="cellIs" dxfId="71" priority="2173" operator="lessThan">
      <formula>0</formula>
    </cfRule>
  </conditionalFormatting>
  <conditionalFormatting sqref="H1:H1048576">
    <cfRule type="cellIs" dxfId="70" priority="2172" operator="lessThan">
      <formula>0</formula>
    </cfRule>
  </conditionalFormatting>
  <conditionalFormatting sqref="H1:H1048576">
    <cfRule type="cellIs" dxfId="69" priority="2171" operator="lessThan">
      <formula>0</formula>
    </cfRule>
  </conditionalFormatting>
  <conditionalFormatting sqref="H1:H1048576">
    <cfRule type="cellIs" dxfId="68" priority="2170" operator="lessThan">
      <formula>0</formula>
    </cfRule>
  </conditionalFormatting>
  <conditionalFormatting sqref="H1:H1048576">
    <cfRule type="cellIs" dxfId="67" priority="2169" operator="lessThan">
      <formula>0</formula>
    </cfRule>
  </conditionalFormatting>
  <conditionalFormatting sqref="H1:H1048576">
    <cfRule type="cellIs" dxfId="66" priority="2168" operator="lessThan">
      <formula>0</formula>
    </cfRule>
  </conditionalFormatting>
  <conditionalFormatting sqref="H1:H1048576">
    <cfRule type="cellIs" dxfId="65" priority="2167" operator="lessThan">
      <formula>0</formula>
    </cfRule>
  </conditionalFormatting>
  <conditionalFormatting sqref="H1:H1048576">
    <cfRule type="cellIs" dxfId="64" priority="2166" operator="lessThan">
      <formula>0</formula>
    </cfRule>
  </conditionalFormatting>
  <conditionalFormatting sqref="H1:H1048576">
    <cfRule type="cellIs" dxfId="63" priority="2165" operator="lessThan">
      <formula>0</formula>
    </cfRule>
  </conditionalFormatting>
  <conditionalFormatting sqref="H1:H1048576">
    <cfRule type="cellIs" dxfId="62" priority="2164" operator="lessThan">
      <formula>0</formula>
    </cfRule>
  </conditionalFormatting>
  <conditionalFormatting sqref="H1:H1048576">
    <cfRule type="cellIs" dxfId="61" priority="2163" operator="lessThan">
      <formula>0</formula>
    </cfRule>
  </conditionalFormatting>
  <conditionalFormatting sqref="H1:H1048576">
    <cfRule type="cellIs" dxfId="60" priority="2162" operator="lessThan">
      <formula>0</formula>
    </cfRule>
  </conditionalFormatting>
  <conditionalFormatting sqref="H1:H1048576">
    <cfRule type="cellIs" dxfId="59" priority="2161" operator="lessThan">
      <formula>0</formula>
    </cfRule>
  </conditionalFormatting>
  <conditionalFormatting sqref="H1:H1048576">
    <cfRule type="cellIs" dxfId="58" priority="2160" operator="lessThan">
      <formula>0</formula>
    </cfRule>
  </conditionalFormatting>
  <conditionalFormatting sqref="H1:H1048576">
    <cfRule type="cellIs" dxfId="57" priority="2159" operator="lessThan">
      <formula>0</formula>
    </cfRule>
  </conditionalFormatting>
  <conditionalFormatting sqref="H1:H1048576">
    <cfRule type="cellIs" dxfId="56" priority="2158" operator="lessThan">
      <formula>0</formula>
    </cfRule>
  </conditionalFormatting>
  <conditionalFormatting sqref="H1:H1048576">
    <cfRule type="cellIs" dxfId="55" priority="2157" operator="lessThan">
      <formula>0</formula>
    </cfRule>
  </conditionalFormatting>
  <conditionalFormatting sqref="H1:H1048576">
    <cfRule type="cellIs" dxfId="54" priority="2156" operator="lessThan">
      <formula>0</formula>
    </cfRule>
  </conditionalFormatting>
  <conditionalFormatting sqref="H1:H1048576">
    <cfRule type="cellIs" dxfId="53" priority="2155" operator="lessThan">
      <formula>0</formula>
    </cfRule>
  </conditionalFormatting>
  <conditionalFormatting sqref="H1:H1048576">
    <cfRule type="cellIs" dxfId="52" priority="2154" operator="lessThan">
      <formula>0</formula>
    </cfRule>
  </conditionalFormatting>
  <conditionalFormatting sqref="H1:H1048576">
    <cfRule type="cellIs" dxfId="51" priority="2153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5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B42" sqref="B42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328.8</v>
      </c>
      <c r="D1" s="172">
        <f t="shared" ref="D1:D10" si="0">C1/E1-1</f>
        <v>-1.1425135297654876E-2</v>
      </c>
      <c r="E1" s="239">
        <f>_xll.BDP(B1&amp;" EQUITY","PX_YEST_CLOSE")</f>
        <v>332.6</v>
      </c>
      <c r="H1" t="s">
        <v>6</v>
      </c>
      <c r="I1" s="173" cm="1">
        <f t="array" ref="I1">_xll.BDP(H1&amp;" EQUITY","LAST_PRICE")</f>
        <v>86.23</v>
      </c>
      <c r="J1" s="172">
        <f t="shared" ref="J1:J10" si="1">I1/K1-1</f>
        <v>1.8063754427390721E-2</v>
      </c>
      <c r="K1" s="239">
        <f>_xll.BDP(H1&amp;" EQUITY","PX_YEST_CLOSE")</f>
        <v>84.7</v>
      </c>
      <c r="M1" s="5">
        <f>J33/4</f>
        <v>-7.9471818070669942E-4</v>
      </c>
      <c r="P1" s="50"/>
      <c r="Q1" t="s">
        <v>1920</v>
      </c>
      <c r="R1" s="5">
        <f>SUM(U19:U36)</f>
        <v>1.774528181332051E-2</v>
      </c>
      <c r="S1" s="5">
        <f>T1/R1/10000</f>
        <v>5.095861472018964E-3</v>
      </c>
      <c r="T1" s="276">
        <f>SUM(V19:V36)</f>
        <v>0.90427497902618803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183.18</v>
      </c>
      <c r="D2" s="172">
        <f t="shared" si="0"/>
        <v>2.8696579996630556E-2</v>
      </c>
      <c r="E2" s="239" cm="1">
        <f t="array" ref="E2">_xll.BDP(B2&amp;" EQUITY","PX_YEST_CLOSE")</f>
        <v>178.07</v>
      </c>
      <c r="H2" t="s">
        <v>95</v>
      </c>
      <c r="I2" s="173" cm="1">
        <f t="array" ref="I2">_xll.BDP(H2&amp;" EQUITY","LAST_PRICE")</f>
        <v>348.14</v>
      </c>
      <c r="J2" s="172">
        <f t="shared" si="1"/>
        <v>3.1984585741811067E-2</v>
      </c>
      <c r="K2" s="239">
        <f>_xll.BDP(H2&amp;" EQUITY","PX_YEST_CLOSE")</f>
        <v>337.35</v>
      </c>
      <c r="O2" s="50"/>
      <c r="P2" s="50"/>
      <c r="R2" s="5"/>
      <c r="S2" s="5"/>
      <c r="T2" s="276"/>
      <c r="U2" s="369"/>
      <c r="V2" s="368"/>
      <c r="W2" s="276">
        <f>W5/W6</f>
        <v>0.6733537878804734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326.12</v>
      </c>
      <c r="D3" s="172">
        <f t="shared" si="0"/>
        <v>-3.1788727228267977E-3</v>
      </c>
      <c r="E3" s="239">
        <f>_xll.BDP(B3&amp;" EQUITY","PX_YEST_CLOSE")</f>
        <v>327.16000000000003</v>
      </c>
      <c r="H3" t="s">
        <v>136</v>
      </c>
      <c r="I3" s="173" cm="1">
        <f t="array" ref="I3">_xll.BDP(H3&amp;" EQUITY","LAST_PRICE")</f>
        <v>401.93</v>
      </c>
      <c r="J3" s="172">
        <f t="shared" si="1"/>
        <v>2.9560183406337259E-2</v>
      </c>
      <c r="K3" s="239" cm="1">
        <f t="array" ref="K3">_xll.BDP(H3&amp;" EQUITY","PX_YEST_CLOSE")</f>
        <v>390.39</v>
      </c>
      <c r="L3" s="174"/>
      <c r="O3" s="5"/>
      <c r="R3" s="5"/>
      <c r="S3" s="5"/>
      <c r="T3" s="276"/>
      <c r="U3" s="276">
        <f>U5/-U6</f>
        <v>10.233846248300324</v>
      </c>
      <c r="W3" s="45" t="s">
        <v>154</v>
      </c>
      <c r="X3" s="5">
        <f>_xll.BDP("SPY Equity","LAST_PRICE")/_xll.BDP("SPY Equity","PX_YEST_CLOSE")-1</f>
        <v>1.1541072640868899E-2</v>
      </c>
      <c r="AC3" s="93" cm="1">
        <f t="array" ref="AC3">_xll.BDP("brl Curncy","LAST_PRICE")</f>
        <v>5.3166000000000002</v>
      </c>
      <c r="AD3" s="8">
        <f>AD5*$AC$3</f>
        <v>11941270042.528801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389.11</v>
      </c>
      <c r="D4" s="172">
        <f t="shared" si="0"/>
        <v>6.6054794520548077E-2</v>
      </c>
      <c r="E4" s="239" cm="1">
        <f t="array" ref="E4">_xll.BDP(B4&amp;" EQUITY","PX_YEST_CLOSE")</f>
        <v>365</v>
      </c>
      <c r="F4" s="7"/>
      <c r="G4" s="7"/>
      <c r="H4" t="s">
        <v>0</v>
      </c>
      <c r="I4" s="173" cm="1">
        <f t="array" ref="I4">_xll.BDP(H4&amp;" EQUITY","LAST_PRICE")</f>
        <v>685.4</v>
      </c>
      <c r="J4" s="172">
        <f t="shared" si="1"/>
        <v>1.1541072640868899E-2</v>
      </c>
      <c r="K4" s="239" cm="1">
        <f t="array" ref="K4">_xll.BDP(H4&amp;" EQUITY","PX_YEST_CLOSE")</f>
        <v>677.58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1874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231.3</v>
      </c>
      <c r="D5" s="172">
        <f t="shared" si="0"/>
        <v>1.2987012987013546E-3</v>
      </c>
      <c r="E5" s="239" cm="1">
        <f t="array" ref="E5">_xll.BDP(B5&amp;" EQUITY","PX_YEST_CLOSE")</f>
        <v>231</v>
      </c>
      <c r="H5" t="s">
        <v>3</v>
      </c>
      <c r="I5" s="175" cm="1">
        <f t="array" ref="I5">_xll.BDP(H5&amp;" EQUITY","LAST_PRICE")</f>
        <v>199.4</v>
      </c>
      <c r="J5" s="172">
        <f t="shared" si="1"/>
        <v>1.6931864545083553E-2</v>
      </c>
      <c r="K5" s="239" cm="1">
        <f t="array" ref="K5">_xll.BDP(H5&amp;" EQUITY","PX_YEST_CLOSE")</f>
        <v>196.08</v>
      </c>
      <c r="L5" s="174"/>
      <c r="O5" s="27">
        <f>SUMIF(O12:O44,"&gt;0")</f>
        <v>1.6649910718909131E-2</v>
      </c>
      <c r="P5" s="20">
        <f>SUMIF($F$12:$F$44,"Long",P12:P44)</f>
        <v>1.5762731096917852</v>
      </c>
      <c r="R5" s="27">
        <f>SUMIF(R12:R44,"&gt;0")</f>
        <v>6.747177476461268E-3</v>
      </c>
      <c r="S5" s="170">
        <f>SUMIF($F$12:$F$44,"Long",S12:S44)</f>
        <v>-0.42593698093898241</v>
      </c>
      <c r="T5" t="s">
        <v>99</v>
      </c>
      <c r="U5" s="33">
        <f>SUMIF($F$12:$F$44,"Long",U12:U44)</f>
        <v>2.0187738453693958E-2</v>
      </c>
      <c r="V5" s="39">
        <f>SUMIF($F$12:$F$44,"Long",V12:V44)</f>
        <v>1.1503361287528027</v>
      </c>
      <c r="W5" s="5">
        <f>V5/U5/10000</f>
        <v>5.6981921545665448E-3</v>
      </c>
      <c r="X5" s="5">
        <f>W5-$X$3</f>
        <v>-5.8428804863023542E-3</v>
      </c>
      <c r="Y5" s="55">
        <f>$U5*X5*10000</f>
        <v>-1.1795454307366409</v>
      </c>
      <c r="Z5" s="9">
        <f>U5*$X$3*10000</f>
        <v>2.3298815594894435</v>
      </c>
      <c r="AA5" s="33" t="e">
        <f>SUMIF($F$12:$F$44,"Long",AA12:AA44)</f>
        <v>#VALUE!</v>
      </c>
      <c r="AB5" s="276" t="e">
        <f>AA5/U5</f>
        <v>#VALUE!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247.65</v>
      </c>
      <c r="D6" s="172">
        <f t="shared" si="0"/>
        <v>3.8508309687881326E-3</v>
      </c>
      <c r="E6" s="239" cm="1">
        <f t="array" ref="E6">_xll.BDP(B6&amp;" EQUITY","PX_YEST_CLOSE")</f>
        <v>246.7</v>
      </c>
      <c r="H6" t="s">
        <v>135</v>
      </c>
      <c r="I6" s="176" cm="1">
        <f t="array" ref="I6">_xll.BDP(H6&amp;" EQUITY","LAST_PRICE")</f>
        <v>616.28</v>
      </c>
      <c r="J6" s="172">
        <f t="shared" si="1"/>
        <v>1.351840278919858E-2</v>
      </c>
      <c r="K6" s="239" cm="1">
        <f t="array" ref="K6">_xll.BDP(H6&amp;" EQUITY","PX_YEST_CLOSE")</f>
        <v>608.05999999999995</v>
      </c>
      <c r="L6" s="1">
        <f>$S$1/J6</f>
        <v>0.37695736334255692</v>
      </c>
      <c r="O6" s="27">
        <f>SUMIF(O12:O44,"&lt;0")</f>
        <v>-2.9607108387258345E-3</v>
      </c>
      <c r="P6" s="20">
        <f>SUMIF($F$12:$F$44,"Short",P12:P44)</f>
        <v>2.4631368048711764E-2</v>
      </c>
      <c r="R6" s="27">
        <f>SUMIF(R12:R44,"&lt;0")</f>
        <v>-9.3162317490779714E-4</v>
      </c>
      <c r="S6" s="170">
        <f>SUMIF($F$12:$F$44,"Short",S12:S44)</f>
        <v>-0.1915645088124861</v>
      </c>
      <c r="T6" t="s">
        <v>100</v>
      </c>
      <c r="U6" s="33">
        <f>SUMIF($F$12:$F$44,"Short",U12:U44)</f>
        <v>-1.9726442985252795E-3</v>
      </c>
      <c r="V6" s="39">
        <f>SUMIF($F$12:$F$44,"Short",V12:V44)</f>
        <v>-0.16693314076377436</v>
      </c>
      <c r="W6" s="5">
        <f>V6/U6/10000</f>
        <v>8.4624045444265435E-3</v>
      </c>
      <c r="X6" s="5">
        <f>$X$3-W6</f>
        <v>3.0786680964423555E-3</v>
      </c>
      <c r="Y6" s="55">
        <f>-$U6*X6*10000</f>
        <v>6.073117067498688E-2</v>
      </c>
      <c r="Z6" s="9">
        <f>U6*$X$3*10000</f>
        <v>-0.22766431143876126</v>
      </c>
      <c r="AA6" s="33" t="e">
        <f>SUMIF($F$12:$F$44,"Short",AA12:AA44)</f>
        <v>#VALUE!</v>
      </c>
      <c r="AB6" s="276" t="e">
        <f>AA6/U6</f>
        <v>#VALUE!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444.11</v>
      </c>
      <c r="D7" s="172">
        <f t="shared" si="0"/>
        <v>-2.290328258382468E-2</v>
      </c>
      <c r="E7" s="239" cm="1">
        <f t="array" ref="E7">_xll.BDP(B7&amp;" EQUITY","PX_YEST_CLOSE")</f>
        <v>454.52</v>
      </c>
      <c r="H7" t="s">
        <v>143</v>
      </c>
      <c r="I7" s="175" cm="1">
        <f t="array" ref="I7">_xll.BDP(H7&amp;" EQUITY","LAST_PRICE")</f>
        <v>104.5</v>
      </c>
      <c r="J7" s="172">
        <f t="shared" si="1"/>
        <v>1.6339233612137738E-2</v>
      </c>
      <c r="K7" s="239">
        <f>_xll.BDP(H7&amp;" EQUITY","PX_YEST_CLOSE")</f>
        <v>102.82</v>
      </c>
      <c r="L7" s="174"/>
      <c r="M7"/>
      <c r="N7" s="28"/>
      <c r="O7" s="29">
        <f>O5+O6</f>
        <v>1.3689199880183297E-2</v>
      </c>
      <c r="P7" s="169">
        <f>SUM(P12:P44)</f>
        <v>1.5342688080047784</v>
      </c>
      <c r="Q7" s="28"/>
      <c r="R7" s="29">
        <f>R5+R6</f>
        <v>5.8155543015534711E-3</v>
      </c>
      <c r="S7" s="169">
        <f>SUM(S12:S44)</f>
        <v>-0.81719565877847022</v>
      </c>
      <c r="T7" s="570" t="s">
        <v>2353</v>
      </c>
      <c r="U7" s="344">
        <f>U5+U6</f>
        <v>1.8215094155168678E-2</v>
      </c>
      <c r="V7" s="345">
        <f>V5+V6</f>
        <v>0.98340298798902825</v>
      </c>
      <c r="W7" s="44">
        <f>V7/U7/10000</f>
        <v>5.3988356009127729E-3</v>
      </c>
      <c r="X7" s="44"/>
      <c r="Y7" s="56">
        <f>Y5+Y6</f>
        <v>-1.118814260061654</v>
      </c>
      <c r="Z7" s="47">
        <f>Z5+Z6</f>
        <v>2.1022172480506822</v>
      </c>
      <c r="AA7" s="34" t="e">
        <f>AA5+AA6</f>
        <v>#VALUE!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328.38</v>
      </c>
      <c r="D8" s="172">
        <f t="shared" si="0"/>
        <v>1.9813664596273206E-2</v>
      </c>
      <c r="E8" s="239" cm="1">
        <f t="array" ref="E8">_xll.BDP(B8&amp;" EQUITY","PX_YEST_CLOSE")</f>
        <v>322</v>
      </c>
      <c r="F8" s="16"/>
      <c r="G8" s="16"/>
      <c r="H8" t="s">
        <v>144</v>
      </c>
      <c r="I8" s="175" cm="1">
        <f t="array" ref="I8">_xll.BDP(H8&amp;" EQUITY","LAST_PRICE")</f>
        <v>267.77</v>
      </c>
      <c r="J8" s="172">
        <f t="shared" si="1"/>
        <v>1.9765404829004574E-2</v>
      </c>
      <c r="K8" s="239" cm="1">
        <f t="array" ref="K8">_xll.BDP(H8&amp;" EQUITY","PX_YEST_CLOSE")</f>
        <v>262.58</v>
      </c>
      <c r="M8"/>
      <c r="N8" s="6"/>
      <c r="O8" s="30">
        <f>O5-O6</f>
        <v>1.9610621557634964E-2</v>
      </c>
      <c r="P8" s="31"/>
      <c r="Q8" s="6"/>
      <c r="R8" s="30">
        <f>R5-R6</f>
        <v>7.678800651369065E-3</v>
      </c>
      <c r="S8" s="31"/>
      <c r="T8" s="6" t="s">
        <v>67</v>
      </c>
      <c r="U8" s="35">
        <f>U5-U6</f>
        <v>2.2160382752219238E-2</v>
      </c>
      <c r="V8" s="41"/>
      <c r="AA8" s="35" t="e">
        <f>AA5-AA6</f>
        <v>#VALUE!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612.96</v>
      </c>
      <c r="D9" s="172">
        <f t="shared" si="0"/>
        <v>1.4632854399788231E-2</v>
      </c>
      <c r="E9" s="239">
        <f>_xll.BDP(B9&amp;" EQUITY","PX_YEST_CLOSE")</f>
        <v>604.12</v>
      </c>
      <c r="F9" s="16"/>
      <c r="G9" s="16"/>
      <c r="H9" t="s">
        <v>484</v>
      </c>
      <c r="I9" s="175" cm="1">
        <f t="array" ref="I9">_xll.BDP(H9&amp;" EQUITY","LAST_PRICE")</f>
        <v>83.97</v>
      </c>
      <c r="J9" s="172">
        <f t="shared" si="1"/>
        <v>2.0911854103343508E-2</v>
      </c>
      <c r="K9" s="239" cm="1">
        <f t="array" ref="K9">_xll.BDP(H9&amp;" EQUITY","PX_YEST_CLOSE")</f>
        <v>82.25</v>
      </c>
      <c r="N9" s="6"/>
      <c r="O9" s="30"/>
      <c r="P9" s="46"/>
      <c r="Q9" s="6"/>
      <c r="R9" s="30"/>
      <c r="S9" s="46"/>
      <c r="T9" s="339" t="s">
        <v>2159</v>
      </c>
      <c r="U9" s="340">
        <f>SUM(U16:U18)</f>
        <v>1.2896600265680947E-3</v>
      </c>
      <c r="V9" s="341">
        <f>SUM(V16:V18)</f>
        <v>-0.26632983876272032</v>
      </c>
      <c r="W9" s="123">
        <v>1</v>
      </c>
      <c r="X9" s="221">
        <v>0.25</v>
      </c>
      <c r="AD9" s="18"/>
      <c r="AF9" s="3"/>
      <c r="AG9" s="276"/>
      <c r="AH9" s="32"/>
      <c r="AI9"/>
    </row>
    <row r="10" spans="1:39">
      <c r="B10" t="s">
        <v>1889</v>
      </c>
      <c r="C10" s="175" cm="1">
        <f t="array" ref="C10">_xll.BDP(B10&amp;" EQUITY","LAST_PRICE")</f>
        <v>173.88</v>
      </c>
      <c r="D10" s="172">
        <f t="shared" si="0"/>
        <v>-3.3570475767007557E-2</v>
      </c>
      <c r="E10" s="239">
        <f>_xll.BDP(B10&amp;" EQUITY","PX_YEST_CLOSE")</f>
        <v>179.92</v>
      </c>
      <c r="F10" s="13"/>
      <c r="G10" s="13"/>
      <c r="H10" t="s">
        <v>131</v>
      </c>
      <c r="I10" s="175" cm="1">
        <f t="array" ref="I10">_xll.BDP(H10&amp;" EQUITY","LAST_PRICE")</f>
        <v>101.29</v>
      </c>
      <c r="J10" s="172">
        <f t="shared" si="1"/>
        <v>-1.449698384899778E-2</v>
      </c>
      <c r="K10" s="239">
        <f>_xll.BDP(H10&amp;" EQUITY","PX_YEST_CLOSE")</f>
        <v>102.78</v>
      </c>
      <c r="N10" s="6"/>
      <c r="P10" s="50">
        <f>SUM(Tabelad[D1 P&amp;L bps])</f>
        <v>1.5342688080047784</v>
      </c>
      <c r="Q10" s="6"/>
      <c r="S10" s="50">
        <f>SUM(Tabelad[Options P&amp;L bps])</f>
        <v>-0.81719565877847022</v>
      </c>
      <c r="T10" s="342" t="s">
        <v>2354</v>
      </c>
      <c r="U10" s="342">
        <f>U7+U9</f>
        <v>1.9504754181736771E-2</v>
      </c>
      <c r="V10" s="343">
        <f>V7+V9</f>
        <v>0.71707314922630794</v>
      </c>
      <c r="W10" s="17">
        <f>AE7*W9/10000</f>
        <v>239616.4106</v>
      </c>
      <c r="X10" s="347"/>
      <c r="Y10" s="54">
        <v>0.35</v>
      </c>
      <c r="Z10" s="38">
        <f>SUM(Tabelad[Beta Adj])</f>
        <v>4.505240295066403</v>
      </c>
      <c r="AA10" s="71" t="e">
        <f>AA7-SUM(#REF!)</f>
        <v>#VALUE!</v>
      </c>
      <c r="AD10" s="15">
        <f>SUM(Tabelad[Daily P&amp;L])</f>
        <v>344602.15465172916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SUM(AH12:AH44)+#REF!+#REF!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1875</v>
      </c>
      <c r="D11" s="57" t="s">
        <v>1876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8" t="s">
        <v>178</v>
      </c>
      <c r="J11" s="419" t="s">
        <v>103</v>
      </c>
      <c r="K11" s="440" t="s">
        <v>179</v>
      </c>
      <c r="L11" s="420" t="s">
        <v>180</v>
      </c>
      <c r="M11" s="421" t="s">
        <v>181</v>
      </c>
      <c r="N11" s="420" t="s">
        <v>182</v>
      </c>
      <c r="O11" s="57" t="s">
        <v>155</v>
      </c>
      <c r="P11" s="419" t="s">
        <v>156</v>
      </c>
      <c r="Q11" s="420" t="s">
        <v>183</v>
      </c>
      <c r="R11" s="57" t="s">
        <v>157</v>
      </c>
      <c r="S11" s="419" t="s">
        <v>158</v>
      </c>
      <c r="T11" s="57" t="s">
        <v>63</v>
      </c>
      <c r="U11" s="57" t="s">
        <v>159</v>
      </c>
      <c r="V11" s="419" t="s">
        <v>160</v>
      </c>
      <c r="W11" s="57" t="s">
        <v>184</v>
      </c>
      <c r="X11" s="418" t="s">
        <v>185</v>
      </c>
      <c r="Y11" s="422" t="s">
        <v>186</v>
      </c>
      <c r="Z11" s="57" t="s">
        <v>188</v>
      </c>
      <c r="AA11" s="57" t="s">
        <v>187</v>
      </c>
      <c r="AB11" s="422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3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1915</v>
      </c>
      <c r="E12" t="s">
        <v>194</v>
      </c>
      <c r="F12" s="22" t="str">
        <f>IF(T12&gt;0,"Long","Short")</f>
        <v>Long</v>
      </c>
      <c r="G12" s="15"/>
      <c r="H12" s="459">
        <v>3378</v>
      </c>
      <c r="I12" s="36" cm="1">
        <f t="array" ref="I12">_xll.BDP(B12&amp;" Equity","LAST_PRICE")</f>
        <v>168.67</v>
      </c>
      <c r="J12" s="51">
        <f t="shared" ref="J12:J37" si="2">I12/K12-1</f>
        <v>3.8672332040150303E-2</v>
      </c>
      <c r="K12" s="439" cm="1">
        <f t="array" ref="K12">_xll.BDP(B12&amp;" EQUITY","PX_YEST_CLOSE")</f>
        <v>162.38999999999999</v>
      </c>
      <c r="L12" s="53" cm="1">
        <f t="array" ref="L12">_xll.BDP(E12&amp;" Curncy","PX_LAST")</f>
        <v>1</v>
      </c>
      <c r="M12" s="52">
        <v>1</v>
      </c>
      <c r="N12" s="15">
        <f t="shared" ref="N12:N37" si="3">IFERROR(IF(((I12/L12)*H12*M12)&lt;&gt;0,((I12/L12)*H12*M12),0),"-")</f>
        <v>569767.26</v>
      </c>
      <c r="O12" s="357">
        <f>IFERROR(IF(Tabelad[[#This Row],[D1 Exp USD]]&lt;&gt;0,N12/$AE$7,0),"-")</f>
        <v>2.3778307110656636E-4</v>
      </c>
      <c r="P12" s="20">
        <f>IFERROR(IF(Tabelad[[#This Row],[D1 Exp USD]]&lt;&gt;0,((I12-K12)/L12*M12*H12)/$AD$7*10000,0),"-")</f>
        <v>8.8532500536505424E-2</v>
      </c>
      <c r="Q12" s="15">
        <f>IF(SUM(SUMIFS(Options!$AL$4:$AL$32, Options!$D$4:$D$32, B12), SUMIFS(Options!$AL$4:$AL$32, Options!$D$4:$D$32, B12 &amp; " US"))=0,0,SUM(SUMIFS(Options!$AL$4:$AL$32, Options!$D$4:$D$32, B12), SUMIFS(Options!$AL$4:$AL$32, Options!$D$4:$D$32, B12 &amp; " US")))</f>
        <v>0</v>
      </c>
      <c r="R12" s="19">
        <f t="shared" ref="R12:R37" si="4">Q12/$AE$7</f>
        <v>0</v>
      </c>
      <c r="S12" s="20">
        <f>IF(SUM(SUMIFS(Options!$AK$4:$AK$32, Options!$D$4:$D$32, B12), SUMIFS(Options!$AK$4:$AK$32, Options!$D$4:$D$32, B12 &amp; " US"))=0,0,SUM(SUMIFS(Options!$AK$4:$AK$32, Options!$D$4:$D$32, B12), SUMIFS(Options!AK$4:$AK$32, Options!$D$4:$D$32, B12 &amp; " US")))</f>
        <v>0</v>
      </c>
      <c r="T12" s="13">
        <f t="shared" ref="T12:T37" si="5">N12+Q12</f>
        <v>569767.26</v>
      </c>
      <c r="U12" s="48">
        <f t="shared" ref="U12:U37" si="6">T12/$AE$7</f>
        <v>2.3778307110656636E-4</v>
      </c>
      <c r="V12" s="20">
        <f t="shared" ref="V12:V37" si="7">P12+S12</f>
        <v>8.8532500536505424E-2</v>
      </c>
      <c r="W12" s="15">
        <f t="shared" ref="W12:W37" si="8">$W$10/(I12/L12*M12)</f>
        <v>1420.6225801861624</v>
      </c>
      <c r="X12" s="19"/>
      <c r="Y12" s="375">
        <f>Tabelad[[#This Row],[Exp %]]*$Y$10*$AD$7/Tabelad[[#This Row],[Price Today]]</f>
        <v>1182.3000000000002</v>
      </c>
      <c r="Z12" s="266">
        <f>Tabelad[[#This Row],[Vol 10d]]/16*Tabelad[[#This Row],[Exp %]]*100</f>
        <v>9.8923580015890175E-2</v>
      </c>
      <c r="AA12" s="19">
        <f>Tabelad[[#This Row],[Exp %]]*Tabelad[[#This Row],[Beta Adj2]]</f>
        <v>2.0299333430870035E-4</v>
      </c>
      <c r="AB12" s="36">
        <f>_xll.BDP($B12&amp;" Equity","volatility_10d")</f>
        <v>66.563917813345739</v>
      </c>
      <c r="AC12" s="36">
        <f>_xll.BDP(B12&amp;" EQUITY","eqy_beta")</f>
        <v>0.85369127988815308</v>
      </c>
      <c r="AD12" s="15">
        <f>Tabelad[[#This Row],[D1 P&amp;L bps]]*$AD$5/10000</f>
        <v>19884.710086272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7" si="9">(T12*AG12)/$AD$7*10000</f>
        <v>#VALUE!</v>
      </c>
      <c r="AI12" s="456" t="str">
        <f>_xll.BDP(B12&amp;" Equity","DVD_EX_DT")</f>
        <v>12/06/2025</v>
      </c>
    </row>
    <row r="13" spans="1:39">
      <c r="B13" s="40" t="s">
        <v>2166</v>
      </c>
      <c r="C13" t="s">
        <v>1915</v>
      </c>
      <c r="E13" t="s">
        <v>194</v>
      </c>
      <c r="F13" s="22" t="str">
        <f>IF(T13&gt;0,"Long","Short")</f>
        <v>Long</v>
      </c>
      <c r="G13" s="15"/>
      <c r="H13" s="459">
        <v>3510</v>
      </c>
      <c r="I13" s="36" cm="1">
        <f t="array" ref="I13">_xll.BDP(B13&amp;" Equity","LAST_PRICE")</f>
        <v>162.28</v>
      </c>
      <c r="J13" s="51">
        <f t="shared" si="2"/>
        <v>8.1722437008398874E-2</v>
      </c>
      <c r="K13" s="439" cm="1">
        <f t="array" ref="K13">_xll.BDP(B13&amp;" EQUITY","PX_YEST_CLOSE")</f>
        <v>150.02000000000001</v>
      </c>
      <c r="L13" s="53" cm="1">
        <f t="array" ref="L13">_xll.BDP(E13&amp;" Curncy","PX_LAST")</f>
        <v>1</v>
      </c>
      <c r="M13" s="52">
        <v>1</v>
      </c>
      <c r="N13" s="15">
        <f t="shared" si="3"/>
        <v>569602.80000000005</v>
      </c>
      <c r="O13" s="357">
        <f>IFERROR(IF(Tabelad[[#This Row],[D1 Exp USD]]&lt;&gt;0,N13/$AE$7,0),"-")</f>
        <v>2.3771443640847195E-4</v>
      </c>
      <c r="P13" s="20">
        <f>IFERROR(IF(Tabelad[[#This Row],[D1 Exp USD]]&lt;&gt;0,((I13-K13)/L13*M13*H13)/$AD$7*10000,0),"-")</f>
        <v>0.17958953600985111</v>
      </c>
      <c r="Q13" s="15">
        <f>IF(SUM(SUMIFS(Options!$AL$4:$AL$32, Options!$D$4:$D$32, B13), SUMIFS(Options!$AL$4:$AL$32, Options!$D$4:$D$32, B13 &amp; " US"))=0,0,SUM(SUMIFS(Options!$AL$4:$AL$32, Options!$D$4:$D$32, B13), SUMIFS(Options!$AL$4:$AL$32, Options!$D$4:$D$32, B13 &amp; " US")))</f>
        <v>0</v>
      </c>
      <c r="R13" s="19">
        <f t="shared" si="4"/>
        <v>0</v>
      </c>
      <c r="S13" s="20">
        <f>IF(SUM(SUMIFS(Options!$AK$4:$AK$32, Options!$D$4:$D$32, B13), SUMIFS(Options!$AK$4:$AK$32, Options!$D$4:$D$32, B13 &amp; " US"))=0,0,SUM(SUMIFS(Options!$AK$4:$AK$32, Options!$D$4:$D$32, B13), SUMIFS(Options!AK$4:$AK$32, Options!$D$4:$D$32, B13 &amp; " US")))</f>
        <v>0</v>
      </c>
      <c r="T13" s="13">
        <f t="shared" si="5"/>
        <v>569602.80000000005</v>
      </c>
      <c r="U13" s="48">
        <f t="shared" si="6"/>
        <v>2.3771443640847195E-4</v>
      </c>
      <c r="V13" s="20">
        <f t="shared" si="7"/>
        <v>0.17958953600985111</v>
      </c>
      <c r="W13" s="15">
        <f t="shared" si="8"/>
        <v>1476.5615639635198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8.984121966054015E-2</v>
      </c>
      <c r="AA13" s="19">
        <f>Tabelad[[#This Row],[Exp %]]*Tabelad[[#This Row],[Beta Adj2]]</f>
        <v>2.4611035063155901E-4</v>
      </c>
      <c r="AB13" s="36">
        <f>_xll.BDP($B13&amp;" Equity","volatility_10d")</f>
        <v>60.470013360846629</v>
      </c>
      <c r="AC13" s="36">
        <f>_xll.BDP(B13&amp;" EQUITY","eqy_beta")</f>
        <v>1.0353193283081055</v>
      </c>
      <c r="AD13" s="15">
        <f>Tabelad[[#This Row],[D1 P&amp;L bps]]*$AD$5/10000</f>
        <v>40336.439572397438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56" t="str">
        <f>_xll.BDP(B13&amp;" Equity","DVD_EX_DT")</f>
        <v>#N/A Field Not Applicable</v>
      </c>
    </row>
    <row r="14" spans="1:39">
      <c r="B14" s="40" t="s">
        <v>38</v>
      </c>
      <c r="C14" t="s">
        <v>1915</v>
      </c>
      <c r="E14" t="s">
        <v>194</v>
      </c>
      <c r="F14" s="22" t="str">
        <f>IF(T14&gt;0,"Long","Short")</f>
        <v>Long</v>
      </c>
      <c r="G14" s="15"/>
      <c r="H14" s="459"/>
      <c r="I14" s="36" cm="1">
        <f t="array" ref="I14">_xll.BDP(B14&amp;" Equity","LAST_PRICE")</f>
        <v>33.729999999999997</v>
      </c>
      <c r="J14" s="51">
        <f t="shared" si="2"/>
        <v>7.4671445639187262E-3</v>
      </c>
      <c r="K14" s="439" cm="1">
        <f t="array" ref="K14">_xll.BDP(B14&amp;" EQUITY","PX_YEST_CLOSE")</f>
        <v>33.479999999999997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7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IF(SUM(SUMIFS(Options!$AL$4:$AL$32, Options!$D$4:$D$32, B14), SUMIFS(Options!$AL$4:$AL$32, Options!$D$4:$D$32, B14 &amp; " US"))=0,0,SUM(SUMIFS(Options!$AL$4:$AL$32, Options!$D$4:$D$32, B14), SUMIFS(Options!$AL$4:$AL$32, Options!$D$4:$D$32, B14 &amp; " US")))</f>
        <v>1851774.8721241951</v>
      </c>
      <c r="R14" s="19">
        <f t="shared" si="4"/>
        <v>7.728080340938865E-4</v>
      </c>
      <c r="S14" s="20">
        <f>IF(SUM(SUMIFS(Options!$AK$4:$AK$32, Options!$D$4:$D$32, B14), SUMIFS(Options!$AK$4:$AK$32, Options!$D$4:$D$32, B14 &amp; " US"))=0,0,SUM(SUMIFS(Options!$AK$4:$AK$32, Options!$D$4:$D$32, B14), SUMIFS(Options!AK$4:$AK$32, Options!$D$4:$D$32, B14 &amp; " US")))</f>
        <v>1.5821159644733837E-2</v>
      </c>
      <c r="T14" s="13">
        <f t="shared" si="5"/>
        <v>1851774.8721241951</v>
      </c>
      <c r="U14" s="48">
        <f t="shared" si="6"/>
        <v>7.728080340938865E-4</v>
      </c>
      <c r="V14" s="20">
        <f t="shared" si="7"/>
        <v>1.5821159644733837E-2</v>
      </c>
      <c r="W14" s="15">
        <f t="shared" si="8"/>
        <v>7103.9552505188267</v>
      </c>
      <c r="X14" s="19"/>
      <c r="Y14" s="375">
        <f>Tabelad[[#This Row],[Exp %]]*$Y$10*$AD$7/Tabelad[[#This Row],[Price Today]]</f>
        <v>19214.977920055389</v>
      </c>
      <c r="Z14" s="266">
        <f>Tabelad[[#This Row],[Vol 10d]]/16*Tabelad[[#This Row],[Exp %]]*100</f>
        <v>7.252682635588642E-2</v>
      </c>
      <c r="AA14" s="19">
        <f>Tabelad[[#This Row],[Exp %]]*Tabelad[[#This Row],[Beta Adj2]]</f>
        <v>8.8475408046593217E-4</v>
      </c>
      <c r="AB14" s="36">
        <f>_xll.BDP($B14&amp;" Equity","volatility_10d")</f>
        <v>15.015749972821906</v>
      </c>
      <c r="AC14" s="36">
        <f>_xll.BDP(B14&amp;" EQUITY","eqy_beta")</f>
        <v>1.1448562145233154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5.6749890000000001E-3</v>
      </c>
      <c r="AH14" s="20">
        <f t="shared" si="9"/>
        <v>4.3856770925944311E-2</v>
      </c>
      <c r="AI14" s="456" t="str">
        <f>_xll.BDP(B14&amp;" Equity","DVD_EX_DT")</f>
        <v>19/12/2025</v>
      </c>
    </row>
    <row r="15" spans="1:39" s="510" customFormat="1">
      <c r="A15" s="511"/>
      <c r="B15" s="513" t="s">
        <v>2324</v>
      </c>
      <c r="C15" s="510" t="s">
        <v>78</v>
      </c>
      <c r="E15" s="510" t="s">
        <v>194</v>
      </c>
      <c r="F15" s="512" t="s">
        <v>100</v>
      </c>
      <c r="G15" s="509"/>
      <c r="H15" s="508"/>
      <c r="I15" s="506" cm="1">
        <f t="array" ref="I15">_xll.BDP(B15&amp;" Index","LAST_PRICE")</f>
        <v>25494</v>
      </c>
      <c r="J15" s="505">
        <f t="shared" si="2"/>
        <v>1.4514957668852135E-2</v>
      </c>
      <c r="K15" s="514" cm="1">
        <f t="array" ref="K15">_xll.BDP(B15&amp;" Index","PX_YEST_CLOSE")</f>
        <v>25129.25</v>
      </c>
      <c r="L15" s="507" cm="1">
        <f t="array" ref="L15">_xll.BDP(E15&amp;" Curncy","PX_LAST")</f>
        <v>1</v>
      </c>
      <c r="M15" s="504">
        <v>20</v>
      </c>
      <c r="N15" s="509">
        <f t="shared" si="3"/>
        <v>0</v>
      </c>
      <c r="O15" s="503">
        <f>IFERROR(IF(Tabelad[[#This Row],[D1 Exp USD]]&lt;&gt;0,N15/$AE$7,0),"-")</f>
        <v>0</v>
      </c>
      <c r="P15" s="502">
        <f>IFERROR(IF(Tabelad[[#This Row],[D1 Exp USD]]&lt;&gt;0,((I15-K15)/L15*M15*H15)/$AD$7*10000,0),"-")</f>
        <v>0</v>
      </c>
      <c r="Q15" s="509">
        <f>IF(SUM(SUMIFS(Options!$AL$4:$AL$32, Options!$D$4:$D$32, B15), SUMIFS(Options!$AL$4:$AL$32, Options!$D$4:$D$32, B15 &amp; " US"))=0,0,SUM(SUMIFS(Options!$AL$4:$AL$32, Options!$D$4:$D$32, B15), SUMIFS(Options!$AL$4:$AL$32, Options!$D$4:$D$32, B15 &amp; " US")))</f>
        <v>-1661523.3516454697</v>
      </c>
      <c r="R15" s="483">
        <f t="shared" si="4"/>
        <v>-6.9340966567565704E-4</v>
      </c>
      <c r="S15" s="502">
        <f>IF(SUM(SUMIFS(Options!$AK$4:$AK$32, Options!$D$4:$D$32, B15), SUMIFS(Options!$AK$4:$AK$32, Options!$D$4:$D$32, B15 &amp; " US"))=0,0,SUM(SUMIFS(Options!$AK$4:$AK$32, Options!$D$4:$D$32, B15), SUMIFS(Options!AK$4:$AK$32, Options!$D$4:$D$32, B15 &amp; " US")))</f>
        <v>-0.14190180010984615</v>
      </c>
      <c r="T15" s="475">
        <f t="shared" si="5"/>
        <v>-1661523.3516454697</v>
      </c>
      <c r="U15" s="482">
        <f t="shared" si="6"/>
        <v>-6.9340966567565704E-4</v>
      </c>
      <c r="V15" s="502">
        <f t="shared" si="7"/>
        <v>-0.14190180010984615</v>
      </c>
      <c r="W15" s="509">
        <f t="shared" si="8"/>
        <v>0.46994667490389896</v>
      </c>
      <c r="X15" s="483"/>
      <c r="Y15" s="476">
        <f>Tabelad[[#This Row],[Exp %]]*$Y$10*$AD$7/Tabelad[[#This Row],[Price Today]]</f>
        <v>-22.810589671134949</v>
      </c>
      <c r="Z15" s="481">
        <f>Tabelad[[#This Row],[Vol 10d]]/16*Tabelad[[#This Row],[Exp %]]*100</f>
        <v>-8.1208621256510571E-2</v>
      </c>
      <c r="AA15" s="483" t="e">
        <f>Tabelad[[#This Row],[Exp %]]*Tabelad[[#This Row],[Beta Adj2]]</f>
        <v>#VALUE!</v>
      </c>
      <c r="AB15" s="506">
        <f>_xll.BDP($B15&amp;" Index","volatility_10d")</f>
        <v>18.738388061523438</v>
      </c>
      <c r="AC15" s="506" t="str" cm="1">
        <f t="array" ref="AC15">_xll.BDP(B15&amp;" Index","eqy_beta")</f>
        <v>#N/A Field Not Applicable</v>
      </c>
      <c r="AD15" s="509">
        <f>Tabelad[[#This Row],[D1 P&amp;L bps]]*$AD$5/10000</f>
        <v>0</v>
      </c>
      <c r="AE15" s="480"/>
      <c r="AF15" s="479" t="str">
        <f>_xll.BDP(B15&amp;" Index","EXPECTED_REPORT_DT")</f>
        <v>#N/A Field Not Applicable</v>
      </c>
      <c r="AG15" s="478" t="e">
        <f>_xll.BDP(B15&amp;" Index","CHG_PCT_1D_PRE_FROM_REGULAR")/100</f>
        <v>#VALUE!</v>
      </c>
      <c r="AH15" s="502" t="e">
        <f t="shared" si="9"/>
        <v>#VALUE!</v>
      </c>
      <c r="AI15" s="477" t="str">
        <f>_xll.BDP(B15&amp;" Index","DVD_EX_DT")</f>
        <v>#N/A Field Not Applicable</v>
      </c>
    </row>
    <row r="16" spans="1:39">
      <c r="B16" s="40" t="s">
        <v>131</v>
      </c>
      <c r="C16" t="s">
        <v>2159</v>
      </c>
      <c r="E16" t="s">
        <v>194</v>
      </c>
      <c r="F16" s="22"/>
      <c r="G16" s="15"/>
      <c r="H16" s="459">
        <v>12300</v>
      </c>
      <c r="I16" s="36" cm="1">
        <f t="array" ref="I16">_xll.BDP(B16&amp;" Equity","LAST_PRICE")</f>
        <v>101.29</v>
      </c>
      <c r="J16" s="51">
        <f t="shared" ref="J16:J21" si="10">I16/K16-1</f>
        <v>-1.449698384899778E-2</v>
      </c>
      <c r="K16" s="439" cm="1">
        <f t="array" ref="K16">_xll.BDP(B16&amp;" EQUITY","PX_YEST_CLOSE")</f>
        <v>102.78</v>
      </c>
      <c r="L16" s="53" cm="1">
        <f t="array" ref="L16">_xll.BDP(E16&amp;" Curncy","PX_LAST")</f>
        <v>1</v>
      </c>
      <c r="M16" s="52">
        <v>1</v>
      </c>
      <c r="N16" s="15">
        <f t="shared" ref="N16:N21" si="11">IFERROR(IF(((I16/L16)*H16*M16)&lt;&gt;0,((I16/L16)*H16*M16),0),"-")</f>
        <v>1245867</v>
      </c>
      <c r="O16" s="357">
        <f>IFERROR(IF(Tabelad[[#This Row],[D1 Exp USD]]&lt;&gt;0,N16/$AE$7,0),"-")</f>
        <v>5.1994226809438731E-4</v>
      </c>
      <c r="P16" s="20">
        <f>IFERROR(IF(Tabelad[[#This Row],[D1 Exp USD]]&lt;&gt;0,((I16-K16)/L16*M16*H16)/$AD$7*10000,0),"-")</f>
        <v>-7.6484744738931243E-2</v>
      </c>
      <c r="Q16" s="15">
        <f>IF(SUM(SUMIFS(Options!$AL$4:$AL$32, Options!$D$4:$D$32, B16), SUMIFS(Options!$AL$4:$AL$32, Options!$D$4:$D$32, B16 &amp; " US"))=0,0,SUM(SUMIFS(Options!$AL$4:$AL$32, Options!$D$4:$D$32, B16), SUMIFS(Options!$AL$4:$AL$32, Options!$D$4:$D$32, B16 &amp; " US")))</f>
        <v>1087325.0646054745</v>
      </c>
      <c r="R16" s="19">
        <f t="shared" ref="R16:R21" si="12">Q16/$AE$7</f>
        <v>4.53777377719168E-4</v>
      </c>
      <c r="S16" s="20">
        <f>IF(SUM(SUMIFS(Options!$AK$4:$AK$32, Options!$D$4:$D$32, B16), SUMIFS(Options!$AK$4:$AK$32, Options!$D$4:$D$32, B16 &amp; " US"))=0,0,SUM(SUMIFS(Options!$AK$4:$AK$32, Options!$D$4:$D$32, B16), SUMIFS(Options!AK$4:$AK$32, Options!$D$4:$D$32, B16 &amp; " US")))</f>
        <v>-0.19969416902700177</v>
      </c>
      <c r="T16" s="13">
        <f t="shared" ref="T16:T21" si="13">N16+Q16</f>
        <v>2333192.0646054745</v>
      </c>
      <c r="U16" s="48">
        <f t="shared" ref="U16:U21" si="14">T16/$AE$7</f>
        <v>9.7371964581355536E-4</v>
      </c>
      <c r="V16" s="20">
        <f t="shared" ref="V16:V21" si="15">P16+S16</f>
        <v>-0.27617891376593301</v>
      </c>
      <c r="W16" s="15">
        <f t="shared" si="8"/>
        <v>2365.6472563925363</v>
      </c>
      <c r="X16" s="19"/>
      <c r="Y16" s="375">
        <f>Tabelad[[#This Row],[Exp %]]*$Y$10*$AD$7/Tabelad[[#This Row],[Price Today]]</f>
        <v>8062.1702301502219</v>
      </c>
      <c r="Z16" s="266">
        <f>Tabelad[[#This Row],[Vol 10d]]/16*Tabelad[[#This Row],[Exp %]]*100</f>
        <v>0.2089684388067819</v>
      </c>
      <c r="AA16" s="19">
        <f>Tabelad[[#This Row],[Exp %]]*Tabelad[[#This Row],[Beta Adj2]]</f>
        <v>9.6429261485500995E-4</v>
      </c>
      <c r="AB16" s="36">
        <f>_xll.BDP($B16&amp;" Equity","volatility_10d")</f>
        <v>34.337347873010991</v>
      </c>
      <c r="AC16" s="36">
        <f>_xll.BDP(B16&amp;" EQUITY","eqy_beta")</f>
        <v>0.99031853675842285</v>
      </c>
      <c r="AD16" s="15">
        <f>Tabelad[[#This Row],[D1 P&amp;L bps]]*$AD$5/10000</f>
        <v>-17178.741885066807</v>
      </c>
      <c r="AE16" s="277"/>
      <c r="AF16" s="231" t="str">
        <f>_xll.BDP(B16&amp;" Equity","EXPECTED_REPORT_DT")</f>
        <v>#N/A N/A</v>
      </c>
      <c r="AG16" s="172">
        <f>_xll.BDP(B16&amp;" Index","CHG_PCT_1D_PRE_FROM_REGULAR")/100</f>
        <v>2.062661E-2</v>
      </c>
      <c r="AH16" s="20">
        <f t="shared" si="9"/>
        <v>0.20084535383534338</v>
      </c>
      <c r="AI16" s="456" t="str">
        <f>_xll.BDP(B16&amp;" Equity","DVD_EX_DT")</f>
        <v>22/12/2025</v>
      </c>
    </row>
    <row r="17" spans="1:35" s="59" customFormat="1">
      <c r="A17" s="461" t="s">
        <v>1770</v>
      </c>
      <c r="B17" s="424" t="s">
        <v>131</v>
      </c>
      <c r="C17" s="59" t="s">
        <v>2159</v>
      </c>
      <c r="E17" s="59" t="s">
        <v>194</v>
      </c>
      <c r="F17" s="163"/>
      <c r="G17" s="404"/>
      <c r="H17" s="462">
        <v>2500</v>
      </c>
      <c r="I17" s="14" cm="1">
        <f t="array" ref="I17">_xll.BDP(B17&amp;" Equity","LAST_PRICE")</f>
        <v>101.29</v>
      </c>
      <c r="J17" s="463">
        <f t="shared" ref="J17" si="16">I17/K17-1</f>
        <v>-3.947498272969252E-4</v>
      </c>
      <c r="K17" s="464">
        <v>101.33</v>
      </c>
      <c r="L17" s="8" cm="1">
        <f t="array" ref="L17">_xll.BDP(E17&amp;" Curncy","PX_LAST")</f>
        <v>1</v>
      </c>
      <c r="M17" s="465">
        <v>1</v>
      </c>
      <c r="N17" s="404">
        <f t="shared" ref="N17" si="17">IFERROR(IF(((I17/L17)*H17*M17)&lt;&gt;0,((I17/L17)*H17*M17),0),"-")</f>
        <v>253225.00000000003</v>
      </c>
      <c r="O17" s="466">
        <f>IFERROR(IF(Tabelad[[#This Row],[D1 Exp USD]]&lt;&gt;0,N17/$AE$7,0),"-")</f>
        <v>1.0567932278341208E-4</v>
      </c>
      <c r="P17" s="467">
        <f>IFERROR(IF(Tabelad[[#This Row],[D1 Exp USD]]&lt;&gt;0,((I17-K17)/L17*M17*H17)/$AD$7*10000,0),"-")</f>
        <v>-4.1733368657672444E-4</v>
      </c>
      <c r="Q17" s="404"/>
      <c r="R17" s="128"/>
      <c r="S17" s="467"/>
      <c r="T17" s="468">
        <f t="shared" ref="T17" si="18">N17+Q17</f>
        <v>253225.00000000003</v>
      </c>
      <c r="U17" s="469">
        <f t="shared" ref="U17" si="19">T17/$AE$7</f>
        <v>1.0567932278341208E-4</v>
      </c>
      <c r="V17" s="467">
        <f t="shared" ref="V17" si="20">P17+S17</f>
        <v>-4.1733368657672444E-4</v>
      </c>
      <c r="W17" s="404">
        <f t="shared" ref="W17" si="21">$W$10/(I17/L17*M17)</f>
        <v>2365.6472563925363</v>
      </c>
      <c r="X17" s="128"/>
      <c r="Y17" s="470">
        <f>Tabelad[[#This Row],[Exp %]]*$Y$10*$AD$7/Tabelad[[#This Row],[Price Today]]</f>
        <v>875</v>
      </c>
      <c r="Z17" s="471">
        <f>Tabelad[[#This Row],[Vol 10d]]/16*Tabelad[[#This Row],[Exp %]]*100</f>
        <v>2.2679672933738976E-2</v>
      </c>
      <c r="AA17" s="128">
        <f>Tabelad[[#This Row],[Exp %]]*Tabelad[[#This Row],[Beta Adj2]]</f>
        <v>1.0465619230448971E-4</v>
      </c>
      <c r="AB17" s="14">
        <f>_xll.BDP($B17&amp;" Equity","volatility_10d")</f>
        <v>34.337347873010991</v>
      </c>
      <c r="AC17" s="14">
        <f>_xll.BDP(B17&amp;" EQUITY","eqy_beta")</f>
        <v>0.99031853675842285</v>
      </c>
      <c r="AD17" s="404">
        <f>Tabelad[[#This Row],[D1 P&amp;L bps]]*$AD$5/10000</f>
        <v>-93.734609510904406</v>
      </c>
      <c r="AE17" s="337"/>
      <c r="AF17" s="472" t="str">
        <f>_xll.BDP(B17&amp;" Equity","EXPECTED_REPORT_DT")</f>
        <v>#N/A N/A</v>
      </c>
      <c r="AG17" s="473">
        <f>_xll.BDP(B17&amp;" Index","CHG_PCT_1D_PRE_FROM_REGULAR")/100</f>
        <v>2.062661E-2</v>
      </c>
      <c r="AH17" s="467">
        <f t="shared" ref="AH17" si="22">(T17*AG17)/$AD$7*10000</f>
        <v>2.1798061761175554E-2</v>
      </c>
      <c r="AI17" s="474" t="str">
        <f>_xll.BDP(B17&amp;" Equity","DVD_EX_DT")</f>
        <v>22/12/2025</v>
      </c>
    </row>
    <row r="18" spans="1:35" s="59" customFormat="1">
      <c r="A18" s="461" t="s">
        <v>1770</v>
      </c>
      <c r="B18" s="424" t="s">
        <v>484</v>
      </c>
      <c r="C18" s="59" t="s">
        <v>2159</v>
      </c>
      <c r="E18" s="59" t="s">
        <v>194</v>
      </c>
      <c r="F18" s="163"/>
      <c r="G18" s="404"/>
      <c r="H18" s="462">
        <v>6000</v>
      </c>
      <c r="I18" s="14" cm="1">
        <f t="array" ref="I18">_xll.BDP(B18&amp;" Equity","LAST_PRICE")</f>
        <v>83.97</v>
      </c>
      <c r="J18" s="463">
        <f t="shared" ref="J18" si="23">I18/K18-1</f>
        <v>4.9066539013882249E-3</v>
      </c>
      <c r="K18" s="464">
        <v>83.56</v>
      </c>
      <c r="L18" s="8" cm="1">
        <f t="array" ref="L18">_xll.BDP(E18&amp;" Curncy","PX_LAST")</f>
        <v>1</v>
      </c>
      <c r="M18" s="465">
        <v>1</v>
      </c>
      <c r="N18" s="404">
        <f t="shared" ref="N18" si="24">IFERROR(IF(((I18/L18)*H18*M18)&lt;&gt;0,((I18/L18)*H18*M18),0),"-")</f>
        <v>503820</v>
      </c>
      <c r="O18" s="466">
        <f>IFERROR(IF(Tabelad[[#This Row],[D1 Exp USD]]&lt;&gt;0,N18/$AE$7,0),"-")</f>
        <v>2.1026105797112714E-4</v>
      </c>
      <c r="P18" s="467">
        <f>IFERROR(IF(Tabelad[[#This Row],[D1 Exp USD]]&lt;&gt;0,((I18-K18)/L18*M18*H18)/$AD$7*10000,0),"-")</f>
        <v>1.0266408689789378E-2</v>
      </c>
      <c r="Q18" s="404"/>
      <c r="R18" s="128"/>
      <c r="S18" s="467"/>
      <c r="T18" s="468">
        <f t="shared" ref="T18" si="25">N18+Q18</f>
        <v>503820</v>
      </c>
      <c r="U18" s="469">
        <f t="shared" ref="U18" si="26">T18/$AE$7</f>
        <v>2.1026105797112714E-4</v>
      </c>
      <c r="V18" s="467">
        <f t="shared" ref="V18" si="27">P18+S18</f>
        <v>1.0266408689789378E-2</v>
      </c>
      <c r="W18" s="404">
        <f t="shared" ref="W18" si="28">$W$10/(I18/L18*M18)</f>
        <v>2853.5954579016316</v>
      </c>
      <c r="X18" s="128"/>
      <c r="Y18" s="470">
        <f>Tabelad[[#This Row],[Exp %]]*$Y$10*$AD$7/Tabelad[[#This Row],[Price Today]]</f>
        <v>2100</v>
      </c>
      <c r="Z18" s="471">
        <f>Tabelad[[#This Row],[Vol 10d]]/16*Tabelad[[#This Row],[Exp %]]*100</f>
        <v>3.8082076513751666E-2</v>
      </c>
      <c r="AA18" s="128">
        <f>Tabelad[[#This Row],[Exp %]]*Tabelad[[#This Row],[Beta Adj2]]</f>
        <v>2.1597855113442217E-4</v>
      </c>
      <c r="AB18" s="14">
        <f>_xll.BDP($B18&amp;" Equity","volatility_10d")</f>
        <v>28.978890817894438</v>
      </c>
      <c r="AC18" s="14">
        <f>_xll.BDP(B18&amp;" EQUITY","eqy_beta")</f>
        <v>1.0271923542022705</v>
      </c>
      <c r="AD18" s="404">
        <f>Tabelad[[#This Row],[D1 P&amp;L bps]]*$AD$5/10000</f>
        <v>2305.8713939686877</v>
      </c>
      <c r="AE18" s="337"/>
      <c r="AF18" s="472" t="str">
        <f>_xll.BDP(B18&amp;" Equity","EXPECTED_REPORT_DT")</f>
        <v>#N/A N/A</v>
      </c>
      <c r="AG18" s="473" t="e">
        <f>_xll.BDP(B18&amp;" Index","CHG_PCT_1D_PRE_FROM_REGULAR")/100</f>
        <v>#VALUE!</v>
      </c>
      <c r="AH18" s="467" t="e">
        <f t="shared" ref="AH18" si="29">(T18*AG18)/$AD$7*10000</f>
        <v>#VALUE!</v>
      </c>
      <c r="AI18" s="474" t="str">
        <f>_xll.BDP(B18&amp;" Equity","DVD_EX_DT")</f>
        <v>30/12/2025</v>
      </c>
    </row>
    <row r="19" spans="1:35">
      <c r="B19" s="40" t="s">
        <v>2175</v>
      </c>
      <c r="C19" t="s">
        <v>2297</v>
      </c>
      <c r="E19" t="s">
        <v>194</v>
      </c>
      <c r="F19" s="22" t="s">
        <v>99</v>
      </c>
      <c r="G19" s="15"/>
      <c r="H19" s="459">
        <v>7400</v>
      </c>
      <c r="I19" s="36" cm="1">
        <f t="array" ref="I19">_xll.BDP(B19&amp;" Equity","LAST_PRICE")</f>
        <v>328.38</v>
      </c>
      <c r="J19" s="51">
        <f t="shared" si="10"/>
        <v>1.9307176558231776E-2</v>
      </c>
      <c r="K19" s="439" cm="1">
        <f t="array" ref="K19">_xll.BDP(B19&amp;" EQUITY","PX_YEST_CLOSE")</f>
        <v>322.16000000000003</v>
      </c>
      <c r="L19" s="53" cm="1">
        <f t="array" ref="L19">_xll.BDP(E19&amp;" Curncy","PX_LAST")</f>
        <v>1</v>
      </c>
      <c r="M19" s="52">
        <v>1</v>
      </c>
      <c r="N19" s="15">
        <f t="shared" si="11"/>
        <v>2430012</v>
      </c>
      <c r="O19" s="357">
        <f>IFERROR(IF(Tabelad[[#This Row],[D1 Exp USD]]&lt;&gt;0,N19/$AE$7,0),"-")</f>
        <v>1.0141258663858811E-3</v>
      </c>
      <c r="P19" s="20">
        <f>IFERROR(IF(Tabelad[[#This Row],[D1 Exp USD]]&lt;&gt;0,((I19-K19)/L19*M19*H19)/$AD$7*10000,0),"-")</f>
        <v>0.19209034925757201</v>
      </c>
      <c r="Q19" s="15">
        <f>IF(SUM(SUMIFS(Options!$AL$4:$AL$32, Options!$D$4:$D$32, B19), SUMIFS(Options!$AL$4:$AL$32, Options!$D$4:$D$32, B19 &amp; " US"))=0,0,SUM(SUMIFS(Options!$AL$4:$AL$32, Options!$D$4:$D$32, B19), SUMIFS(Options!$AL$4:$AL$32, Options!$D$4:$D$32, B19 &amp; " US")))</f>
        <v>0</v>
      </c>
      <c r="R19" s="19">
        <f t="shared" si="12"/>
        <v>0</v>
      </c>
      <c r="S19" s="20">
        <f>IF(SUM(SUMIFS(Options!$AK$4:$AK$32, Options!$D$4:$D$32, B19), SUMIFS(Options!$AK$4:$AK$32, Options!$D$4:$D$32, B19 &amp; " US"))=0,0,SUM(SUMIFS(Options!$AK$4:$AK$32, Options!$D$4:$D$32, B19), SUMIFS(Options!AK$4:$AK$32, Options!$D$4:$D$32, B19 &amp; " US")))</f>
        <v>0</v>
      </c>
      <c r="T19" s="13">
        <f t="shared" si="13"/>
        <v>2430012</v>
      </c>
      <c r="U19" s="48">
        <f t="shared" si="14"/>
        <v>1.0141258663858811E-3</v>
      </c>
      <c r="V19" s="20">
        <f t="shared" si="15"/>
        <v>0.19209034925757201</v>
      </c>
      <c r="W19" s="15">
        <f t="shared" si="8"/>
        <v>729.69246178208175</v>
      </c>
      <c r="X19" s="19"/>
      <c r="Y19" s="375">
        <f>Tabelad[[#This Row],[Exp %]]*$Y$10*$AD$7/Tabelad[[#This Row],[Price Today]]</f>
        <v>2590</v>
      </c>
      <c r="Z19" s="266">
        <f>Tabelad[[#This Row],[Vol 10d]]/16*Tabelad[[#This Row],[Exp %]]*100</f>
        <v>0.14300112311348404</v>
      </c>
      <c r="AA19" s="19">
        <f>Tabelad[[#This Row],[Exp %]]*Tabelad[[#This Row],[Beta Adj2]]</f>
        <v>1.0333349534343702E-3</v>
      </c>
      <c r="AB19" s="36">
        <f>_xll.BDP($B19&amp;" Equity","volatility_10d")</f>
        <v>22.561479256709344</v>
      </c>
      <c r="AC19" s="36" cm="1">
        <f t="array" ref="AC19">_xll.BDP(B19&amp;" EQUITY","eqy_beta")</f>
        <v>1.0189415216445923</v>
      </c>
      <c r="AD19" s="15">
        <f>Tabelad[[#This Row],[D1 P&amp;L bps]]*$AD$5/10000</f>
        <v>43144.166065687445</v>
      </c>
      <c r="AE19" s="277"/>
      <c r="AF19" s="231" t="str">
        <f>_xll.BDP(B19&amp;" Equity","EXPECTED_REPORT_DT")</f>
        <v>04/02/2026</v>
      </c>
      <c r="AG19" s="172">
        <f>_xll.BDP(B19&amp;" Index","CHG_PCT_1D_PRE_FROM_REGULAR")/100</f>
        <v>-3.6007060000000004E-3</v>
      </c>
      <c r="AH19" s="20">
        <f t="shared" si="9"/>
        <v>-3.6515690918508405E-2</v>
      </c>
      <c r="AI19" s="456" t="str">
        <f>_xll.BDP(B19&amp;" Equity","DVD_EX_DT")</f>
        <v>08/12/2025</v>
      </c>
    </row>
    <row r="20" spans="1:35" s="59" customFormat="1">
      <c r="A20" s="461" t="s">
        <v>1770</v>
      </c>
      <c r="B20" s="424" t="s">
        <v>2175</v>
      </c>
      <c r="C20" s="59" t="s">
        <v>2297</v>
      </c>
      <c r="E20" s="59" t="s">
        <v>194</v>
      </c>
      <c r="F20" s="163" t="s">
        <v>99</v>
      </c>
      <c r="G20" s="404"/>
      <c r="H20" s="462">
        <v>7400</v>
      </c>
      <c r="I20" s="14" cm="1">
        <f t="array" ref="I20">_xll.BDP(B20&amp;" Equity","LAST_PRICE")</f>
        <v>328.38</v>
      </c>
      <c r="J20" s="463">
        <f t="shared" ref="J20" si="30">I20/K20-1</f>
        <v>4.9577671685641089E-3</v>
      </c>
      <c r="K20" s="464">
        <v>326.76</v>
      </c>
      <c r="L20" s="8" cm="1">
        <f t="array" ref="L20">_xll.BDP(E20&amp;" Curncy","PX_LAST")</f>
        <v>1</v>
      </c>
      <c r="M20" s="465">
        <v>1</v>
      </c>
      <c r="N20" s="404">
        <f t="shared" ref="N20" si="31">IFERROR(IF(((I20/L20)*H20*M20)&lt;&gt;0,((I20/L20)*H20*M20),0),"-")</f>
        <v>2430012</v>
      </c>
      <c r="O20" s="466">
        <f>IFERROR(IF(Tabelad[[#This Row],[D1 Exp USD]]&lt;&gt;0,N20/$AE$7,0),"-")</f>
        <v>1.0141258663858811E-3</v>
      </c>
      <c r="P20" s="467">
        <f>IFERROR(IF(Tabelad[[#This Row],[D1 Exp USD]]&lt;&gt;0,((I20-K20)/L20*M20*H20)/$AD$7*10000,0),"-")</f>
        <v>5.0029962346827814E-2</v>
      </c>
      <c r="Q20" s="404"/>
      <c r="R20" s="128"/>
      <c r="S20" s="467"/>
      <c r="T20" s="468">
        <f t="shared" ref="T20" si="32">N20+Q20</f>
        <v>2430012</v>
      </c>
      <c r="U20" s="469">
        <f t="shared" ref="U20" si="33">T20/$AE$7</f>
        <v>1.0141258663858811E-3</v>
      </c>
      <c r="V20" s="467">
        <f t="shared" ref="V20" si="34">P20+S20</f>
        <v>5.0029962346827814E-2</v>
      </c>
      <c r="W20" s="404">
        <f t="shared" ref="W20" si="35">$W$10/(I20/L20*M20)</f>
        <v>729.69246178208175</v>
      </c>
      <c r="X20" s="128"/>
      <c r="Y20" s="470">
        <f>Tabelad[[#This Row],[Exp %]]*$Y$10*$AD$7/Tabelad[[#This Row],[Price Today]]</f>
        <v>2590</v>
      </c>
      <c r="Z20" s="471">
        <f>Tabelad[[#This Row],[Vol 10d]]/16*Tabelad[[#This Row],[Exp %]]*100</f>
        <v>0.14300112311348404</v>
      </c>
      <c r="AA20" s="128">
        <f>Tabelad[[#This Row],[Exp %]]*Tabelad[[#This Row],[Beta Adj2]]</f>
        <v>1.0333349534343702E-3</v>
      </c>
      <c r="AB20" s="14">
        <f>_xll.BDP($B20&amp;" Equity","volatility_10d")</f>
        <v>22.561479256709344</v>
      </c>
      <c r="AC20" s="14" cm="1">
        <f t="array" ref="AC20">_xll.BDP(B20&amp;" EQUITY","eqy_beta")</f>
        <v>1.0189415216445923</v>
      </c>
      <c r="AD20" s="404">
        <f>Tabelad[[#This Row],[D1 P&amp;L bps]]*$AD$5/10000</f>
        <v>11236.904988169485</v>
      </c>
      <c r="AE20" s="337"/>
      <c r="AF20" s="472" t="str">
        <f>_xll.BDP(B20&amp;" Equity","EXPECTED_REPORT_DT")</f>
        <v>04/02/2026</v>
      </c>
      <c r="AG20" s="473">
        <f>_xll.BDP(B20&amp;" Index","CHG_PCT_1D_PRE_FROM_REGULAR")/100</f>
        <v>-3.6007060000000004E-3</v>
      </c>
      <c r="AH20" s="467">
        <f t="shared" ref="AH20" si="36">(T20*AG20)/$AD$7*10000</f>
        <v>-3.6515690918508405E-2</v>
      </c>
      <c r="AI20" s="474" t="str">
        <f>_xll.BDP(B20&amp;" Equity","DVD_EX_DT")</f>
        <v>08/12/2025</v>
      </c>
    </row>
    <row r="21" spans="1:35">
      <c r="B21" s="40" t="s">
        <v>399</v>
      </c>
      <c r="C21" t="s">
        <v>2297</v>
      </c>
      <c r="E21" t="s">
        <v>194</v>
      </c>
      <c r="F21" s="22" t="s">
        <v>99</v>
      </c>
      <c r="G21" s="15"/>
      <c r="H21" s="459">
        <v>11435</v>
      </c>
      <c r="I21" s="36" cm="1">
        <f t="array" ref="I21">_xll.BDP(B21&amp;" Equity","LAST_PRICE")</f>
        <v>231.3</v>
      </c>
      <c r="J21" s="51">
        <f t="shared" si="10"/>
        <v>1.2987012987013546E-3</v>
      </c>
      <c r="K21" s="439" cm="1">
        <f t="array" ref="K21">_xll.BDP(B21&amp;" EQUITY","PX_YEST_CLOSE")</f>
        <v>231</v>
      </c>
      <c r="L21" s="53" cm="1">
        <f t="array" ref="L21">_xll.BDP(E21&amp;" Curncy","PX_LAST")</f>
        <v>1</v>
      </c>
      <c r="M21" s="52">
        <v>1</v>
      </c>
      <c r="N21" s="15">
        <f t="shared" si="11"/>
        <v>2644915.5</v>
      </c>
      <c r="O21" s="357">
        <f>IFERROR(IF(Tabelad[[#This Row],[D1 Exp USD]]&lt;&gt;0,N21/$AE$7,0),"-")</f>
        <v>1.10381233629914E-3</v>
      </c>
      <c r="P21" s="20">
        <f>IFERROR(IF(Tabelad[[#This Row],[D1 Exp USD]]&lt;&gt;0,((I21-K21)/L21*M21*H21)/$AD$7*10000,0),"-")</f>
        <v>1.4316632118017921E-2</v>
      </c>
      <c r="Q21" s="15">
        <f>IF(SUM(SUMIFS(Options!$AL$4:$AL$32, Options!$D$4:$D$32, B21), SUMIFS(Options!$AL$4:$AL$32, Options!$D$4:$D$32, B21 &amp; " US"))=0,0,SUM(SUMIFS(Options!$AL$4:$AL$32, Options!$D$4:$D$32, B21), SUMIFS(Options!$AL$4:$AL$32, Options!$D$4:$D$32, B21 &amp; " US")))</f>
        <v>0</v>
      </c>
      <c r="R21" s="19">
        <f t="shared" si="12"/>
        <v>0</v>
      </c>
      <c r="S21" s="20">
        <f>IF(SUM(SUMIFS(Options!$AK$4:$AK$32, Options!$D$4:$D$32, B21), SUMIFS(Options!$AK$4:$AK$32, Options!$D$4:$D$32, B21 &amp; " US"))=0,0,SUM(SUMIFS(Options!$AK$4:$AK$32, Options!$D$4:$D$32, B21), SUMIFS(Options!AK$4:$AK$32, Options!$D$4:$D$32, B21 &amp; " US")))</f>
        <v>0</v>
      </c>
      <c r="T21" s="13">
        <f t="shared" si="13"/>
        <v>2644915.5</v>
      </c>
      <c r="U21" s="48">
        <f t="shared" si="14"/>
        <v>1.10381233629914E-3</v>
      </c>
      <c r="V21" s="20">
        <f t="shared" si="15"/>
        <v>1.4316632118017921E-2</v>
      </c>
      <c r="W21" s="15">
        <f t="shared" si="8"/>
        <v>1035.9550825767401</v>
      </c>
      <c r="X21" s="19"/>
      <c r="Y21" s="375">
        <f>Tabelad[[#This Row],[Exp %]]*$Y$10*$AD$7/Tabelad[[#This Row],[Price Today]]</f>
        <v>4002.25</v>
      </c>
      <c r="Z21" s="266">
        <f>Tabelad[[#This Row],[Vol 10d]]/16*Tabelad[[#This Row],[Exp %]]*100</f>
        <v>0.18841522270327996</v>
      </c>
      <c r="AA21" s="19">
        <f>Tabelad[[#This Row],[Exp %]]*Tabelad[[#This Row],[Beta Adj2]]</f>
        <v>1.4120080103483745E-3</v>
      </c>
      <c r="AB21" s="36">
        <f>_xll.BDP($B21&amp;" Equity","volatility_10d")</f>
        <v>27.311196515160997</v>
      </c>
      <c r="AC21" s="36" cm="1">
        <f t="array" ref="AC21">_xll.BDP(B21&amp;" EQUITY","eqy_beta")</f>
        <v>1.2792102098464966</v>
      </c>
      <c r="AD21" s="15">
        <f>Tabelad[[#This Row],[D1 P&amp;L bps]]*$AD$5/10000</f>
        <v>3215.5657792723364</v>
      </c>
      <c r="AE21" s="277"/>
      <c r="AF21" s="231" t="str">
        <f>_xll.BDP(B21&amp;" Equity","EXPECTED_REPORT_DT")</f>
        <v>06/02/2026</v>
      </c>
      <c r="AG21" s="172">
        <f>_xll.BDP(B21&amp;" Index","CHG_PCT_1D_PRE_FROM_REGULAR")/100</f>
        <v>8.659858E-5</v>
      </c>
      <c r="AH21" s="20">
        <f t="shared" si="9"/>
        <v>9.5588580909987961E-4</v>
      </c>
      <c r="AI21" s="456" t="str">
        <f>_xll.BDP(B21&amp;" Equity","DVD_EX_DT")</f>
        <v>#N/A Field Not Applicable</v>
      </c>
    </row>
    <row r="22" spans="1:35">
      <c r="B22" s="40" t="s">
        <v>81</v>
      </c>
      <c r="C22" t="s">
        <v>2297</v>
      </c>
      <c r="E22" t="s">
        <v>194</v>
      </c>
      <c r="F22" s="22" t="s">
        <v>99</v>
      </c>
      <c r="G22" s="15"/>
      <c r="H22" s="459">
        <v>6000</v>
      </c>
      <c r="I22" s="36" cm="1">
        <f t="array" ref="I22">_xll.BDP(B22&amp;" Equity","LAST_PRICE")</f>
        <v>612.96</v>
      </c>
      <c r="J22" s="51">
        <f t="shared" si="2"/>
        <v>1.4632854399788231E-2</v>
      </c>
      <c r="K22" s="439" cm="1">
        <f t="array" ref="K22">_xll.BDP(B22&amp;" EQUITY","PX_YEST_CLOSE")</f>
        <v>604.12</v>
      </c>
      <c r="L22" s="53" cm="1">
        <f t="array" ref="L22">_xll.BDP(E22&amp;" Curncy","PX_LAST")</f>
        <v>1</v>
      </c>
      <c r="M22" s="52">
        <v>1</v>
      </c>
      <c r="N22" s="15">
        <f t="shared" si="3"/>
        <v>3677760</v>
      </c>
      <c r="O22" s="357">
        <f>IFERROR(IF(Tabelad[[#This Row],[D1 Exp USD]]&lt;&gt;0,N22/$AE$7,0),"-")</f>
        <v>1.5348531391447193E-3</v>
      </c>
      <c r="P22" s="20">
        <f>IFERROR(IF(Tabelad[[#This Row],[D1 Exp USD]]&lt;&gt;0,((I22-K22)/L22*M22*H22)/$AD$7*10000,0),"-")</f>
        <v>0.22135378736033948</v>
      </c>
      <c r="Q22" s="15">
        <f>IF(SUM(SUMIFS(Options!$AL$4:$AL$32, Options!$D$4:$D$32, B22), SUMIFS(Options!$AL$4:$AL$32, Options!$D$4:$D$32, B22 &amp; " US"))=0,0,SUM(SUMIFS(Options!$AL$4:$AL$32, Options!$D$4:$D$32, B22), SUMIFS(Options!$AL$4:$AL$32, Options!$D$4:$D$32, B22 &amp; " US")))</f>
        <v>1175551.8287086489</v>
      </c>
      <c r="R22" s="19">
        <f t="shared" si="4"/>
        <v>4.9059737843708815E-4</v>
      </c>
      <c r="S22" s="20">
        <f>IF(SUM(SUMIFS(Options!$AK$4:$AK$32, Options!$D$4:$D$32, B22), SUMIFS(Options!$AK$4:$AK$32, Options!$D$4:$D$32, B22 &amp; " US"))=0,0,SUM(SUMIFS(Options!$AK$4:$AK$32, Options!$D$4:$D$32, B22), SUMIFS(Options!AK$4:$AK$32, Options!$D$4:$D$32, B22 &amp; " US")))</f>
        <v>6.2307919405917393E-2</v>
      </c>
      <c r="T22" s="13">
        <f t="shared" si="5"/>
        <v>4853311.8287086487</v>
      </c>
      <c r="U22" s="48">
        <f t="shared" si="6"/>
        <v>2.0254505175818075E-3</v>
      </c>
      <c r="V22" s="20">
        <f t="shared" si="7"/>
        <v>0.28366170676625685</v>
      </c>
      <c r="W22" s="15">
        <f t="shared" si="8"/>
        <v>390.91687973114068</v>
      </c>
      <c r="X22" s="19"/>
      <c r="Y22" s="375">
        <f>Tabelad[[#This Row],[Exp %]]*$Y$10*$AD$7/Tabelad[[#This Row],[Price Today]]</f>
        <v>2771.2397873401642</v>
      </c>
      <c r="Z22" s="266">
        <f>Tabelad[[#This Row],[Vol 10d]]/16*Tabelad[[#This Row],[Exp %]]*100</f>
        <v>0.33794565009554911</v>
      </c>
      <c r="AA22" s="19">
        <f>Tabelad[[#This Row],[Exp %]]*Tabelad[[#This Row],[Beta Adj2]]</f>
        <v>2.460043800758433E-3</v>
      </c>
      <c r="AB22" s="36">
        <f>_xll.BDP($B22&amp;" Equity","volatility_10d")</f>
        <v>26.695939271744727</v>
      </c>
      <c r="AC22" s="36" cm="1">
        <f t="array" ref="AC22">_xll.BDP(B22&amp;" EQUITY","eqy_beta")</f>
        <v>1.2145662307739258</v>
      </c>
      <c r="AD22" s="15">
        <f>Tabelad[[#This Row],[D1 P&amp;L bps]]*$AD$5/10000</f>
        <v>49716.836884593758</v>
      </c>
      <c r="AE22" s="277"/>
      <c r="AF22" s="231" t="str">
        <f>_xll.BDP(B22&amp;" Equity","EXPECTED_REPORT_DT")</f>
        <v>28/01/2026</v>
      </c>
      <c r="AG22" s="172" t="e">
        <f>_xll.BDP(B22&amp;" Index","CHG_PCT_1D_PRE_FROM_REGULAR")/100</f>
        <v>#VALUE!</v>
      </c>
      <c r="AH22" s="20" t="e">
        <f t="shared" si="9"/>
        <v>#VALUE!</v>
      </c>
      <c r="AI22" s="456" t="str">
        <f>_xll.BDP(B22&amp;" Equity","DVD_EX_DT")</f>
        <v>15/12/2025</v>
      </c>
    </row>
    <row r="23" spans="1:35">
      <c r="B23" s="40" t="s">
        <v>90</v>
      </c>
      <c r="C23" t="s">
        <v>2297</v>
      </c>
      <c r="E23" t="s">
        <v>194</v>
      </c>
      <c r="F23" s="22" t="s">
        <v>99</v>
      </c>
      <c r="G23" s="15"/>
      <c r="H23" s="459">
        <v>4610</v>
      </c>
      <c r="I23" s="36" cm="1">
        <f t="array" ref="I23">_xll.BDP(B23&amp;" Equity","LAST_PRICE")</f>
        <v>444.11</v>
      </c>
      <c r="J23" s="51">
        <f t="shared" si="2"/>
        <v>-2.290328258382468E-2</v>
      </c>
      <c r="K23" s="439" cm="1">
        <f t="array" ref="K23">_xll.BDP(B23&amp;" EQUITY","PX_YEST_CLOSE")</f>
        <v>454.52</v>
      </c>
      <c r="L23" s="53" cm="1">
        <f t="array" ref="L23">_xll.BDP(E23&amp;" Curncy","PX_LAST")</f>
        <v>1</v>
      </c>
      <c r="M23" s="52">
        <v>1</v>
      </c>
      <c r="N23" s="15">
        <f t="shared" si="3"/>
        <v>2047347.1</v>
      </c>
      <c r="O23" s="357">
        <f>IFERROR(IF(Tabelad[[#This Row],[D1 Exp USD]]&lt;&gt;0,N23/$AE$7,0),"-")</f>
        <v>8.5442691294533568E-4</v>
      </c>
      <c r="P23" s="20">
        <f>IFERROR(IF(Tabelad[[#This Row],[D1 Exp USD]]&lt;&gt;0,((I23-K23)/L23*M23*H23)/$AD$7*10000,0),"-")</f>
        <v>-0.20027885352189584</v>
      </c>
      <c r="Q23" s="15">
        <f>IF(SUM(SUMIFS(Options!$AL$4:$AL$32, Options!$D$4:$D$32, B23), SUMIFS(Options!$AL$4:$AL$32, Options!$D$4:$D$32, B23 &amp; " US"))=0,0,SUM(SUMIFS(Options!$AL$4:$AL$32, Options!$D$4:$D$32, B23), SUMIFS(Options!$AL$4:$AL$32, Options!$D$4:$D$32, B23 &amp; " US")))</f>
        <v>1399861.4601761103</v>
      </c>
      <c r="R23" s="19">
        <f t="shared" si="4"/>
        <v>5.8420934387208882E-4</v>
      </c>
      <c r="S23" s="20">
        <f>IF(SUM(SUMIFS(Options!$AK$4:$AK$32, Options!$D$4:$D$32, B23), SUMIFS(Options!$AK$4:$AK$32, Options!$D$4:$D$32, B23 &amp; " US"))=0,0,SUM(SUMIFS(Options!$AK$4:$AK$32, Options!$D$4:$D$32, B23), SUMIFS(Options!AK$4:$AK$32, Options!$D$4:$D$32, B23 &amp; " US")))</f>
        <v>-0.24742670942922476</v>
      </c>
      <c r="T23" s="13">
        <f t="shared" si="5"/>
        <v>3447208.5601761104</v>
      </c>
      <c r="U23" s="48">
        <f t="shared" si="6"/>
        <v>1.4386362568174244E-3</v>
      </c>
      <c r="V23" s="20">
        <f t="shared" si="7"/>
        <v>-0.44770556295112063</v>
      </c>
      <c r="W23" s="15">
        <f t="shared" si="8"/>
        <v>539.54292990475335</v>
      </c>
      <c r="X23" s="19"/>
      <c r="Y23" s="375">
        <f>Tabelad[[#This Row],[Exp %]]*$Y$10*$AD$7/Tabelad[[#This Row],[Price Today]]</f>
        <v>2716.7210737466808</v>
      </c>
      <c r="Z23" s="266">
        <f>Tabelad[[#This Row],[Vol 10d]]/16*Tabelad[[#This Row],[Exp %]]*100</f>
        <v>0.14671522126453157</v>
      </c>
      <c r="AA23" s="19">
        <f>Tabelad[[#This Row],[Exp %]]*Tabelad[[#This Row],[Beta Adj2]]</f>
        <v>1.4711424835226999E-3</v>
      </c>
      <c r="AB23" s="36">
        <f>_xll.BDP($B23&amp;" Equity","volatility_10d")</f>
        <v>16.317144303213652</v>
      </c>
      <c r="AC23" s="36" cm="1">
        <f t="array" ref="AC23">_xll.BDP(B23&amp;" EQUITY","eqy_beta")</f>
        <v>1.0225951671600342</v>
      </c>
      <c r="AD23" s="15">
        <f>Tabelad[[#This Row],[D1 P&amp;L bps]]*$AD$5/10000</f>
        <v>-44983.332838901333</v>
      </c>
      <c r="AE23" s="277"/>
      <c r="AF23" s="231" t="str">
        <f>_xll.BDP(B23&amp;" Equity","EXPECTED_REPORT_DT")</f>
        <v>28/01/2026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56" t="str">
        <f>_xll.BDP(B23&amp;" Equity","DVD_EX_DT")</f>
        <v>19/02/2026</v>
      </c>
    </row>
    <row r="24" spans="1:35" s="59" customFormat="1">
      <c r="A24" s="461" t="s">
        <v>1770</v>
      </c>
      <c r="B24" s="424" t="s">
        <v>90</v>
      </c>
      <c r="C24" s="59" t="s">
        <v>2297</v>
      </c>
      <c r="E24" s="59" t="s">
        <v>194</v>
      </c>
      <c r="F24" s="163" t="s">
        <v>99</v>
      </c>
      <c r="G24" s="404"/>
      <c r="H24" s="462">
        <v>-1110</v>
      </c>
      <c r="I24" s="14" cm="1">
        <f t="array" ref="I24">_xll.BDP(B24&amp;" Equity","LAST_PRICE")</f>
        <v>444.11</v>
      </c>
      <c r="J24" s="463">
        <f t="shared" ref="J24" si="37">I24/K24-1</f>
        <v>-1.8519746292735784E-2</v>
      </c>
      <c r="K24" s="464">
        <v>452.49</v>
      </c>
      <c r="L24" s="8" cm="1">
        <f t="array" ref="L24">_xll.BDP(E24&amp;" Curncy","PX_LAST")</f>
        <v>1</v>
      </c>
      <c r="M24" s="465">
        <v>1</v>
      </c>
      <c r="N24" s="404">
        <f t="shared" ref="N24" si="38">IFERROR(IF(((I24/L24)*H24*M24)&lt;&gt;0,((I24/L24)*H24*M24),0),"-")</f>
        <v>-492962.10000000003</v>
      </c>
      <c r="O24" s="466">
        <f>IFERROR(IF(Tabelad[[#This Row],[D1 Exp USD]]&lt;&gt;0,N24/$AE$7,0),"-")</f>
        <v>-2.0572969053564481E-4</v>
      </c>
      <c r="P24" s="467">
        <f>IFERROR(IF(Tabelad[[#This Row],[D1 Exp USD]]&lt;&gt;0,((I24-K24)/L24*M24*H24)/$AD$7*10000,0),"-")</f>
        <v>3.8819544858001459E-2</v>
      </c>
      <c r="Q24" s="404"/>
      <c r="R24" s="128"/>
      <c r="S24" s="467"/>
      <c r="T24" s="468">
        <f t="shared" ref="T24" si="39">N24+Q24</f>
        <v>-492962.10000000003</v>
      </c>
      <c r="U24" s="469">
        <f t="shared" ref="U24" si="40">T24/$AE$7</f>
        <v>-2.0572969053564481E-4</v>
      </c>
      <c r="V24" s="467">
        <f t="shared" ref="V24" si="41">P24+S24</f>
        <v>3.8819544858001459E-2</v>
      </c>
      <c r="W24" s="404">
        <f t="shared" ref="W24" si="42">$W$10/(I24/L24*M24)</f>
        <v>539.54292990475335</v>
      </c>
      <c r="X24" s="128"/>
      <c r="Y24" s="470">
        <f>Tabelad[[#This Row],[Exp %]]*$Y$10*$AD$7/Tabelad[[#This Row],[Price Today]]</f>
        <v>-388.49999999999994</v>
      </c>
      <c r="Z24" s="471">
        <f>Tabelad[[#This Row],[Vol 10d]]/16*Tabelad[[#This Row],[Exp %]]*100</f>
        <v>-2.0980756549535028E-2</v>
      </c>
      <c r="AA24" s="128">
        <f>Tabelad[[#This Row],[Exp %]]*Tabelad[[#This Row],[Beta Adj2]]</f>
        <v>-2.103781872830798E-4</v>
      </c>
      <c r="AB24" s="14">
        <f>_xll.BDP($B24&amp;" Equity","volatility_10d")</f>
        <v>16.317144303213652</v>
      </c>
      <c r="AC24" s="14" cm="1">
        <f t="array" ref="AC24">_xll.BDP(B24&amp;" EQUITY","eqy_beta")</f>
        <v>1.0225951671600342</v>
      </c>
      <c r="AD24" s="404">
        <f>Tabelad[[#This Row],[D1 P&amp;L bps]]*$AD$5/10000</f>
        <v>8719.0059074870369</v>
      </c>
      <c r="AE24" s="337"/>
      <c r="AF24" s="472" t="str">
        <f>_xll.BDP(B24&amp;" Equity","EXPECTED_REPORT_DT")</f>
        <v>28/01/2026</v>
      </c>
      <c r="AG24" s="473" t="e">
        <f>_xll.BDP(B24&amp;" Index","CHG_PCT_1D_PRE_FROM_REGULAR")/100</f>
        <v>#VALUE!</v>
      </c>
      <c r="AH24" s="467" t="e">
        <f t="shared" ref="AH24" si="43">(T24*AG24)/$AD$7*10000</f>
        <v>#VALUE!</v>
      </c>
      <c r="AI24" s="474" t="str">
        <f>_xll.BDP(B24&amp;" Equity","DVD_EX_DT")</f>
        <v>19/02/2026</v>
      </c>
    </row>
    <row r="25" spans="1:35">
      <c r="B25" s="453" t="s">
        <v>2341</v>
      </c>
      <c r="C25" t="s">
        <v>2158</v>
      </c>
      <c r="E25" t="s">
        <v>2125</v>
      </c>
      <c r="F25" s="22" t="s">
        <v>99</v>
      </c>
      <c r="G25" s="15"/>
      <c r="H25" s="459">
        <v>1500</v>
      </c>
      <c r="I25" s="36" cm="1">
        <f t="array" ref="I25">_xll.BDP(B25&amp;" Equity","LAST_PRICE")</f>
        <v>740000</v>
      </c>
      <c r="J25" s="51">
        <f t="shared" si="2"/>
        <v>-4.0376850605652326E-3</v>
      </c>
      <c r="K25" s="439" cm="1">
        <f t="array" ref="K25">_xll.BDP(B25&amp;" EQUITY","PX_YEST_CLOSE")</f>
        <v>743000</v>
      </c>
      <c r="L25" s="53" cm="1">
        <f t="array" ref="L25">_xll.BDP(E25&amp;" Curncy","PX_LAST")</f>
        <v>1465.85</v>
      </c>
      <c r="M25" s="52">
        <v>1</v>
      </c>
      <c r="N25" s="15">
        <f t="shared" si="3"/>
        <v>757239.82672169735</v>
      </c>
      <c r="O25" s="357">
        <f>IFERROR(IF(Tabelad[[#This Row],[D1 Exp USD]]&lt;&gt;0,N25/$AE$7,0),"-")</f>
        <v>3.1602168850854883E-4</v>
      </c>
      <c r="P25" s="20">
        <f>IFERROR(IF(Tabelad[[#This Row],[D1 Exp USD]]&lt;&gt;0,((I25-K25)/L25*M25*H25)/$AD$7*10000,0),"-")</f>
        <v>-1.28116900746709E-2</v>
      </c>
      <c r="Q25" s="15">
        <f>IF(SUM(SUMIFS(Options!$AL$4:$AL$32, Options!$D$4:$D$32, B25), SUMIFS(Options!$AL$4:$AL$32, Options!$D$4:$D$32, B25 &amp; " US"))=0,0,SUM(SUMIFS(Options!$AL$4:$AL$32, Options!$D$4:$D$32, B25), SUMIFS(Options!$AL$4:$AL$32, Options!$D$4:$D$32, B25 &amp; " US")))</f>
        <v>0</v>
      </c>
      <c r="R25" s="19">
        <f t="shared" si="4"/>
        <v>0</v>
      </c>
      <c r="S25" s="20">
        <f>IF(SUM(SUMIFS(Options!$AK$4:$AK$32, Options!$D$4:$D$32, B25), SUMIFS(Options!$AK$4:$AK$32, Options!$D$4:$D$32, B25 &amp; " US"))=0,0,SUM(SUMIFS(Options!$AK$4:$AK$32, Options!$D$4:$D$32, B25), SUMIFS(Options!AK$4:$AK$32, Options!$D$4:$D$32, B25 &amp; " US")))</f>
        <v>0</v>
      </c>
      <c r="T25" s="13">
        <f t="shared" si="5"/>
        <v>757239.82672169735</v>
      </c>
      <c r="U25" s="48">
        <f t="shared" si="6"/>
        <v>3.1602168850854883E-4</v>
      </c>
      <c r="V25" s="20">
        <f t="shared" si="7"/>
        <v>-1.28116900746709E-2</v>
      </c>
      <c r="W25" s="15">
        <f t="shared" si="8"/>
        <v>474.65096686217566</v>
      </c>
      <c r="X25" s="19"/>
      <c r="Y25" s="375">
        <f>Tabelad[[#This Row],[Exp %]]*$Y$10*$AD$7/Tabelad[[#This Row],[Price Today]]</f>
        <v>0.35815397209810013</v>
      </c>
      <c r="Z25" s="266">
        <f>Tabelad[[#This Row],[Vol 10d]]/16*Tabelad[[#This Row],[Exp %]]*100</f>
        <v>4.4713079150142235E-2</v>
      </c>
      <c r="AA25" s="19">
        <f>Tabelad[[#This Row],[Exp %]]*Tabelad[[#This Row],[Beta Adj2]]</f>
        <v>5.0225832589365278E-4</v>
      </c>
      <c r="AB25" s="36">
        <f>_xll.BDP($B25&amp;" Equity","volatility_10d")</f>
        <v>22.637979999999999</v>
      </c>
      <c r="AC25" s="36" cm="1">
        <f t="array" ref="AC25">_xll.BDP(B25&amp;" EQUITY","eqy_beta")</f>
        <v>1.589316</v>
      </c>
      <c r="AD25" s="15">
        <f>Tabelad[[#This Row],[D1 P&amp;L bps]]*$AD$5/10000</f>
        <v>-2877.5505188058378</v>
      </c>
      <c r="AE25" s="277"/>
      <c r="AF25" s="231" t="str">
        <f>_xll.BDP(B25&amp;" Equity","EXPECTED_REPORT_DT")</f>
        <v>29/01/2026</v>
      </c>
      <c r="AG25" s="172" t="e">
        <f>_xll.BDP(B25&amp;" Index","CHG_PCT_1D_PRE_FROM_REGULAR")/100</f>
        <v>#VALUE!</v>
      </c>
      <c r="AH25" s="20" t="e">
        <f t="shared" si="9"/>
        <v>#VALUE!</v>
      </c>
      <c r="AI25" s="456" t="str">
        <f>_xll.BDP(B25&amp;" Equity","DVD_EX_DT")</f>
        <v>27/11/2025</v>
      </c>
    </row>
    <row r="26" spans="1:35" s="59" customFormat="1">
      <c r="A26" s="461"/>
      <c r="B26" s="516" t="s">
        <v>2341</v>
      </c>
      <c r="C26" s="59" t="s">
        <v>2158</v>
      </c>
      <c r="E26" s="59" t="s">
        <v>2125</v>
      </c>
      <c r="F26" s="163" t="s">
        <v>99</v>
      </c>
      <c r="G26" s="404"/>
      <c r="H26" s="462">
        <v>900</v>
      </c>
      <c r="I26" s="14" cm="1">
        <f t="array" ref="I26">_xll.BDP(B26&amp;" Equity","LAST_PRICE")</f>
        <v>740000</v>
      </c>
      <c r="J26" s="463">
        <f t="shared" ref="J26:J27" si="44">I26/K26-1</f>
        <v>-1.2016021361815787E-2</v>
      </c>
      <c r="K26" s="464">
        <v>749000</v>
      </c>
      <c r="L26" s="8" cm="1">
        <f t="array" ref="L26">_xll.BDP(E26&amp;" Curncy","PX_LAST")</f>
        <v>1465.85</v>
      </c>
      <c r="M26" s="465">
        <v>1</v>
      </c>
      <c r="N26" s="404">
        <f t="shared" ref="N26:N27" si="45">IFERROR(IF(((I26/L26)*H26*M26)&lt;&gt;0,((I26/L26)*H26*M26),0),"-")</f>
        <v>454343.89603301842</v>
      </c>
      <c r="O26" s="466">
        <f>IFERROR(IF(Tabelad[[#This Row],[D1 Exp USD]]&lt;&gt;0,N26/$AE$7,0),"-")</f>
        <v>1.896130131051293E-4</v>
      </c>
      <c r="P26" s="467">
        <f>IFERROR(IF(Tabelad[[#This Row],[D1 Exp USD]]&lt;&gt;0,((I26-K26)/L26*M26*H26)/$AD$7*10000,0),"-")</f>
        <v>-2.3061042134407617E-2</v>
      </c>
      <c r="Q26" s="404">
        <f>IF(SUM(SUMIFS(Options!$AL$4:$AL$32, Options!$D$4:$D$32, B26), SUMIFS(Options!$AL$4:$AL$32, Options!$D$4:$D$32, B26 &amp; " US"))=0,0,SUM(SUMIFS(Options!$AL$4:$AL$32, Options!$D$4:$D$32, B26), SUMIFS(Options!$AL$4:$AL$32, Options!$D$4:$D$32, B26 &amp; " US")))</f>
        <v>0</v>
      </c>
      <c r="R26" s="128">
        <f t="shared" ref="R26:R27" si="46">Q26/$AE$7</f>
        <v>0</v>
      </c>
      <c r="S26" s="467">
        <f>IF(SUM(SUMIFS(Options!$AK$4:$AK$32, Options!$D$4:$D$32, B26), SUMIFS(Options!$AK$4:$AK$32, Options!$D$4:$D$32, B26 &amp; " US"))=0,0,SUM(SUMIFS(Options!$AK$4:$AK$32, Options!$D$4:$D$32, B26), SUMIFS(Options!AK$4:$AK$32, Options!$D$4:$D$32, B26 &amp; " US")))</f>
        <v>0</v>
      </c>
      <c r="T26" s="468">
        <f t="shared" ref="T26:T27" si="47">N26+Q26</f>
        <v>454343.89603301842</v>
      </c>
      <c r="U26" s="469">
        <f t="shared" ref="U26:U27" si="48">T26/$AE$7</f>
        <v>1.896130131051293E-4</v>
      </c>
      <c r="V26" s="467">
        <f t="shared" ref="V26:V27" si="49">P26+S26</f>
        <v>-2.3061042134407617E-2</v>
      </c>
      <c r="W26" s="404">
        <f t="shared" ref="W26:W27" si="50">$W$10/(I26/L26*M26)</f>
        <v>474.65096686217566</v>
      </c>
      <c r="X26" s="128"/>
      <c r="Y26" s="470">
        <f>Tabelad[[#This Row],[Exp %]]*$Y$10*$AD$7/Tabelad[[#This Row],[Price Today]]</f>
        <v>0.21489238325886006</v>
      </c>
      <c r="Z26" s="471">
        <f>Tabelad[[#This Row],[Vol 10d]]/16*Tabelad[[#This Row],[Exp %]]*100</f>
        <v>2.6827847490085346E-2</v>
      </c>
      <c r="AA26" s="128">
        <f>Tabelad[[#This Row],[Exp %]]*Tabelad[[#This Row],[Beta Adj2]]</f>
        <v>3.0135499553619167E-4</v>
      </c>
      <c r="AB26" s="14">
        <f>_xll.BDP($B26&amp;" Equity","volatility_10d")</f>
        <v>22.637979999999999</v>
      </c>
      <c r="AC26" s="14" cm="1">
        <f t="array" ref="AC26">_xll.BDP(B26&amp;" EQUITY","eqy_beta")</f>
        <v>1.589316</v>
      </c>
      <c r="AD26" s="404">
        <f>Tabelad[[#This Row],[D1 P&amp;L bps]]*$AD$5/10000</f>
        <v>-5179.5909338505071</v>
      </c>
      <c r="AE26" s="337"/>
      <c r="AF26" s="472" t="str">
        <f>_xll.BDP(B26&amp;" Equity","EXPECTED_REPORT_DT")</f>
        <v>29/01/2026</v>
      </c>
      <c r="AG26" s="473" t="e">
        <f>_xll.BDP(B26&amp;" Index","CHG_PCT_1D_PRE_FROM_REGULAR")/100</f>
        <v>#VALUE!</v>
      </c>
      <c r="AH26" s="467" t="e">
        <f t="shared" ref="AH26:AH27" si="51">(T26*AG26)/$AD$7*10000</f>
        <v>#VALUE!</v>
      </c>
      <c r="AI26" s="474" t="str">
        <f>_xll.BDP(B26&amp;" Equity","DVD_EX_DT")</f>
        <v>27/11/2025</v>
      </c>
    </row>
    <row r="27" spans="1:35" s="59" customFormat="1">
      <c r="A27" s="461"/>
      <c r="B27" s="424" t="s">
        <v>2348</v>
      </c>
      <c r="C27" s="59" t="s">
        <v>2158</v>
      </c>
      <c r="E27" s="59" t="s">
        <v>194</v>
      </c>
      <c r="F27" s="163" t="s">
        <v>99</v>
      </c>
      <c r="G27" s="404"/>
      <c r="H27" s="462"/>
      <c r="I27" s="14" cm="1">
        <f t="array" ref="I27">_xll.BDP(B27&amp;" Equity","LAST_PRICE")</f>
        <v>501.29</v>
      </c>
      <c r="J27" s="463">
        <f t="shared" si="44"/>
        <v>0.10630737994350281</v>
      </c>
      <c r="K27" s="464" cm="1">
        <f t="array" ref="K27">_xll.BDP(B27&amp;" EQUITY","PX_YEST_CLOSE")</f>
        <v>453.12</v>
      </c>
      <c r="L27" s="8" cm="1">
        <f t="array" ref="L27">_xll.BDP(E27&amp;" Curncy","PX_LAST")</f>
        <v>1</v>
      </c>
      <c r="M27" s="465">
        <v>1</v>
      </c>
      <c r="N27" s="404">
        <f t="shared" si="45"/>
        <v>0</v>
      </c>
      <c r="O27" s="466">
        <f>IFERROR(IF(Tabelad[[#This Row],[D1 Exp USD]]&lt;&gt;0,N27/$AE$7,0),"-")</f>
        <v>0</v>
      </c>
      <c r="P27" s="467">
        <f>IFERROR(IF(Tabelad[[#This Row],[D1 Exp USD]]&lt;&gt;0,((I27-K27)/L27*M27*H27)/$AD$7*10000,0),"-")</f>
        <v>0</v>
      </c>
      <c r="Q27" s="404">
        <f>IF(SUM(SUMIFS(Options!$AL$4:$AL$32, Options!$D$4:$D$32, B27), SUMIFS(Options!$AL$4:$AL$32, Options!$D$4:$D$32, B27 &amp; " US"))=0,0,SUM(SUMIFS(Options!$AL$4:$AL$32, Options!$D$4:$D$32, B27), SUMIFS(Options!$AL$4:$AL$32, Options!$D$4:$D$32, B27 &amp; " US")))</f>
        <v>285803.0923473835</v>
      </c>
      <c r="R27" s="128">
        <f t="shared" si="46"/>
        <v>1.1927525816438529E-4</v>
      </c>
      <c r="S27" s="467">
        <f>IF(SUM(SUMIFS(Options!$AK$4:$AK$32, Options!$D$4:$D$32, B27), SUMIFS(Options!$AK$4:$AK$32, Options!$D$4:$D$32, B27 &amp; " US"))=0,0,SUM(SUMIFS(Options!$AK$4:$AK$32, Options!$D$4:$D$32, B27), SUMIFS(Options!AK$4:$AK$32, Options!$D$4:$D$32, B27 &amp; " US")))</f>
        <v>8.551167237958783E-2</v>
      </c>
      <c r="T27" s="468">
        <f t="shared" si="47"/>
        <v>285803.0923473835</v>
      </c>
      <c r="U27" s="469">
        <f t="shared" si="48"/>
        <v>1.1927525816438529E-4</v>
      </c>
      <c r="V27" s="467">
        <f t="shared" si="49"/>
        <v>8.551167237958783E-2</v>
      </c>
      <c r="W27" s="404">
        <f t="shared" si="50"/>
        <v>477.99958227772345</v>
      </c>
      <c r="X27" s="128"/>
      <c r="Y27" s="470">
        <f>Tabelad[[#This Row],[Exp %]]*$Y$10*$AD$7/Tabelad[[#This Row],[Price Today]]</f>
        <v>199.54733252525327</v>
      </c>
      <c r="Z27" s="471">
        <f>Tabelad[[#This Row],[Vol 10d]]/16*Tabelad[[#This Row],[Exp %]]*100</f>
        <v>6.8481220843635504E-2</v>
      </c>
      <c r="AA27" s="128" t="e">
        <f>Tabelad[[#This Row],[Exp %]]*Tabelad[[#This Row],[Beta Adj2]]</f>
        <v>#VALUE!</v>
      </c>
      <c r="AB27" s="14">
        <f>_xll.BDP($B27&amp;" Equity","volatility_10d")</f>
        <v>91.863103074409082</v>
      </c>
      <c r="AC27" s="14" t="str" cm="1">
        <f t="array" ref="AC27">_xll.BDP(B27&amp;" EQUITY","eqy_beta")</f>
        <v>#N/A N/A</v>
      </c>
      <c r="AD27" s="404">
        <f>Tabelad[[#This Row],[D1 P&amp;L bps]]*$AD$5/10000</f>
        <v>0</v>
      </c>
      <c r="AE27" s="337"/>
      <c r="AF27" s="472" t="str">
        <f>_xll.BDP(B27&amp;" Equity","EXPECTED_REPORT_DT")</f>
        <v>29/01/2026</v>
      </c>
      <c r="AG27" s="473">
        <f>_xll.BDP(B27&amp;" Index","CHG_PCT_1D_PRE_FROM_REGULAR")/100</f>
        <v>2.2687140000000001E-2</v>
      </c>
      <c r="AH27" s="467">
        <f t="shared" si="51"/>
        <v>2.7060144805115524E-2</v>
      </c>
      <c r="AI27" s="474" t="str">
        <f>_xll.BDP(B27&amp;" Equity","DVD_EX_DT")</f>
        <v>#N/A N/A</v>
      </c>
    </row>
    <row r="28" spans="1:35">
      <c r="B28" s="40" t="s">
        <v>1754</v>
      </c>
      <c r="C28" t="s">
        <v>2158</v>
      </c>
      <c r="E28" t="s">
        <v>194</v>
      </c>
      <c r="F28" s="22" t="s">
        <v>99</v>
      </c>
      <c r="G28" s="15"/>
      <c r="H28" s="459">
        <v>42000</v>
      </c>
      <c r="I28" s="36" cm="1">
        <f t="array" ref="I28">_xll.BDP(B28&amp;" Equity","LAST_PRICE")</f>
        <v>115.66</v>
      </c>
      <c r="J28" s="51">
        <f t="shared" si="2"/>
        <v>4.2263674867081269E-2</v>
      </c>
      <c r="K28" s="439" cm="1">
        <f t="array" ref="K28">_xll.BDP(B28&amp;" EQUITY","PX_YEST_CLOSE")</f>
        <v>110.97</v>
      </c>
      <c r="L28" s="53" cm="1">
        <f t="array" ref="L28">_xll.BDP(E28&amp;" Curncy","PX_LAST")</f>
        <v>1</v>
      </c>
      <c r="M28" s="52">
        <v>1</v>
      </c>
      <c r="N28" s="15">
        <f t="shared" si="3"/>
        <v>4857720</v>
      </c>
      <c r="O28" s="357">
        <f>IFERROR(IF(Tabelad[[#This Row],[D1 Exp USD]]&lt;&gt;0,N28/$AE$7,0),"-")</f>
        <v>2.027290195957889E-3</v>
      </c>
      <c r="P28" s="20">
        <f>IFERROR(IF(Tabelad[[#This Row],[D1 Exp USD]]&lt;&gt;0,((I28-K28)/L28*M28*H28)/$AD$7*10000,0),"-")</f>
        <v>0.82206389581899486</v>
      </c>
      <c r="Q28" s="15">
        <f>IF(SUM(SUMIFS(Options!$AL$4:$AL$32, Options!$D$4:$D$32, B28), SUMIFS(Options!$AL$4:$AL$32, Options!$D$4:$D$32, B28 &amp; " US"))=0,0,SUM(SUMIFS(Options!$AL$4:$AL$32, Options!$D$4:$D$32, B28), SUMIFS(Options!$AL$4:$AL$32, Options!$D$4:$D$32, B28 &amp; " US")))</f>
        <v>0</v>
      </c>
      <c r="R28" s="19">
        <f t="shared" si="4"/>
        <v>0</v>
      </c>
      <c r="S28" s="20">
        <f>IF(SUM(SUMIFS(Options!$AK$4:$AK$32, Options!$D$4:$D$32, B28), SUMIFS(Options!$AK$4:$AK$32, Options!$D$4:$D$32, B28 &amp; " US"))=0,0,SUM(SUMIFS(Options!$AK$4:$AK$32, Options!$D$4:$D$32, B28), SUMIFS(Options!AK$4:$AK$32, Options!$D$4:$D$32, B28 &amp; " US")))</f>
        <v>0</v>
      </c>
      <c r="T28" s="13">
        <f t="shared" si="5"/>
        <v>4857720</v>
      </c>
      <c r="U28" s="48">
        <f t="shared" si="6"/>
        <v>2.027290195957889E-3</v>
      </c>
      <c r="V28" s="20">
        <f t="shared" si="7"/>
        <v>0.82206389581899486</v>
      </c>
      <c r="W28" s="15">
        <f t="shared" si="8"/>
        <v>2071.7310271485389</v>
      </c>
      <c r="X28" s="19"/>
      <c r="Y28" s="375">
        <f>Tabelad[[#This Row],[Exp %]]*$Y$10*$AD$7/Tabelad[[#This Row],[Price Today]]</f>
        <v>14700</v>
      </c>
      <c r="Z28" s="266">
        <f>Tabelad[[#This Row],[Vol 10d]]/16*Tabelad[[#This Row],[Exp %]]*100</f>
        <v>0.35837305054832486</v>
      </c>
      <c r="AA28" s="19">
        <f>Tabelad[[#This Row],[Exp %]]*Tabelad[[#This Row],[Beta Adj2]]</f>
        <v>1.8848674316384105E-3</v>
      </c>
      <c r="AB28" s="36">
        <f>_xll.BDP($B28&amp;" Equity","volatility_10d")</f>
        <v>28.283907356755666</v>
      </c>
      <c r="AC28" s="36" cm="1">
        <f t="array" ref="AC28">_xll.BDP(B28&amp;" EQUITY","eqy_beta")</f>
        <v>0.92974722385406494</v>
      </c>
      <c r="AD28" s="15">
        <f>Tabelad[[#This Row],[D1 P&amp;L bps]]*$AD$5/10000</f>
        <v>184638.43381461612</v>
      </c>
      <c r="AE28" s="277"/>
      <c r="AF28" s="231" t="str">
        <f>_xll.BDP(B28&amp;" Equity","EXPECTED_REPORT_DT")</f>
        <v>#N/A N/A</v>
      </c>
      <c r="AG28" s="172">
        <f>_xll.BDP(B28&amp;" Index","CHG_PCT_1D_PRE_FROM_REGULAR")/100</f>
        <v>2.7484869999999998E-2</v>
      </c>
      <c r="AH28" s="20">
        <f t="shared" si="9"/>
        <v>0.55719807488177109</v>
      </c>
      <c r="AI28" s="456" t="str">
        <f>_xll.BDP(B28&amp;" Equity","DVD_EX_DT")</f>
        <v>16/12/2025</v>
      </c>
    </row>
    <row r="29" spans="1:35">
      <c r="B29" s="40" t="s">
        <v>2072</v>
      </c>
      <c r="C29" t="s">
        <v>2073</v>
      </c>
      <c r="E29" t="s">
        <v>194</v>
      </c>
      <c r="F29" s="22" t="s">
        <v>99</v>
      </c>
      <c r="G29" s="15"/>
      <c r="H29" s="459">
        <v>-1876</v>
      </c>
      <c r="I29" s="36" cm="1">
        <f t="array" ref="I29">_xll.BDP(B29&amp;" Equity","LAST_PRICE")</f>
        <v>362.44</v>
      </c>
      <c r="J29" s="51">
        <f t="shared" si="2"/>
        <v>1.5721772272510703E-2</v>
      </c>
      <c r="K29" s="439" cm="1">
        <f t="array" ref="K29">_xll.BDP(B29&amp;" EQUITY","PX_YEST_CLOSE")</f>
        <v>356.83</v>
      </c>
      <c r="L29" s="53" cm="1">
        <f t="array" ref="L29">_xll.BDP(E29&amp;" Curncy","PX_LAST")</f>
        <v>1</v>
      </c>
      <c r="M29" s="52">
        <v>1</v>
      </c>
      <c r="N29" s="15">
        <f t="shared" si="3"/>
        <v>-679937.44</v>
      </c>
      <c r="O29" s="357">
        <f>IFERROR(IF(Tabelad[[#This Row],[D1 Exp USD]]&lt;&gt;0,N29/$AE$7,0),"-")</f>
        <v>-2.8376079847679681E-4</v>
      </c>
      <c r="P29" s="20">
        <f>IFERROR(IF(Tabelad[[#This Row],[D1 Exp USD]]&lt;&gt;0,((I29-K29)/L29*M29*H29)/$AD$7*10000,0),"-")</f>
        <v>-4.3921699576615E-2</v>
      </c>
      <c r="Q29" s="15">
        <f>IF(SUM(SUMIFS(Options!$AL$4:$AL$32, Options!$D$4:$D$32, B29), SUMIFS(Options!$AL$4:$AL$32, Options!$D$4:$D$32, B29 &amp; " US"))=0,0,SUM(SUMIFS(Options!$AL$4:$AL$32, Options!$D$4:$D$32, B29), SUMIFS(Options!$AL$4:$AL$32, Options!$D$4:$D$32, B29 &amp; " US")))</f>
        <v>981522.34576463699</v>
      </c>
      <c r="R29" s="19">
        <f t="shared" si="4"/>
        <v>4.0962233901547184E-4</v>
      </c>
      <c r="S29" s="20">
        <f>IF(SUM(SUMIFS(Options!$AK$4:$AK$32, Options!$D$4:$D$32, B29), SUMIFS(Options!$AK$4:$AK$32, Options!$D$4:$D$32, B29 &amp; " US"))=0,0,SUM(SUMIFS(Options!$AK$4:$AK$32, Options!$D$4:$D$32, B29), SUMIFS(Options!AK$4:$AK$32, Options!$D$4:$D$32, B29 &amp; " US")))</f>
        <v>8.9893676088644306E-2</v>
      </c>
      <c r="T29" s="13">
        <f t="shared" si="5"/>
        <v>301584.90576463705</v>
      </c>
      <c r="U29" s="48">
        <f t="shared" si="6"/>
        <v>1.2586154053867505E-4</v>
      </c>
      <c r="V29" s="20">
        <f t="shared" si="7"/>
        <v>4.5971976512029306E-2</v>
      </c>
      <c r="W29" s="15">
        <f t="shared" si="8"/>
        <v>661.12021465621899</v>
      </c>
      <c r="X29" s="19"/>
      <c r="Y29" s="375">
        <f>Tabelad[[#This Row],[Exp %]]*$Y$10*$AD$7/Tabelad[[#This Row],[Price Today]]</f>
        <v>291.23363044261936</v>
      </c>
      <c r="Z29" s="266">
        <f>Tabelad[[#This Row],[Vol 10d]]/16*Tabelad[[#This Row],[Exp %]]*100</f>
        <v>8.9824614300333949E-2</v>
      </c>
      <c r="AA29" s="19">
        <f>Tabelad[[#This Row],[Exp %]]*Tabelad[[#This Row],[Beta Adj2]]</f>
        <v>2.5429918465309575E-4</v>
      </c>
      <c r="AB29" s="36">
        <f>_xll.BDP($B29&amp;" Equity","volatility_10d")</f>
        <v>114.18848225234608</v>
      </c>
      <c r="AC29" s="36" cm="1">
        <f t="array" ref="AC29">_xll.BDP(B29&amp;" EQUITY","eqy_beta")</f>
        <v>2.0204677581787109</v>
      </c>
      <c r="AD29" s="15">
        <f>Tabelad[[#This Row],[D1 P&amp;L bps]]*$AD$5/10000</f>
        <v>-9864.9677495238047</v>
      </c>
      <c r="AE29" s="277"/>
      <c r="AF29" s="231" t="str">
        <f>_xll.BDP(B29&amp;" Equity","EXPECTED_REPORT_DT")</f>
        <v>03/02/2026</v>
      </c>
      <c r="AG29" s="172" t="e">
        <f>_xll.BDP(B29&amp;" Index","CHG_PCT_1D_PRE_FROM_REGULAR")/100</f>
        <v>#VALUE!</v>
      </c>
      <c r="AH29" s="20" t="e">
        <f t="shared" si="9"/>
        <v>#VALUE!</v>
      </c>
      <c r="AI29" s="456" t="str">
        <f>_xll.BDP(B29&amp;" Equity","DVD_EX_DT")</f>
        <v>#N/A N/A</v>
      </c>
    </row>
    <row r="30" spans="1:35" s="59" customFormat="1">
      <c r="A30" s="461" t="s">
        <v>1770</v>
      </c>
      <c r="B30" s="424" t="s">
        <v>2072</v>
      </c>
      <c r="C30" s="59" t="s">
        <v>2073</v>
      </c>
      <c r="E30" s="59" t="s">
        <v>194</v>
      </c>
      <c r="F30" s="163" t="s">
        <v>99</v>
      </c>
      <c r="G30" s="404"/>
      <c r="H30" s="462">
        <v>3076</v>
      </c>
      <c r="I30" s="14" cm="1">
        <f t="array" ref="I30">_xll.BDP(B30&amp;" Equity","LAST_PRICE")</f>
        <v>362.44</v>
      </c>
      <c r="J30" s="463">
        <f t="shared" ref="J30" si="52">I30/K30-1</f>
        <v>3.7664783427495685E-3</v>
      </c>
      <c r="K30" s="464">
        <v>361.08</v>
      </c>
      <c r="L30" s="8" cm="1">
        <f t="array" ref="L30">_xll.BDP(E30&amp;" Curncy","PX_LAST")</f>
        <v>1</v>
      </c>
      <c r="M30" s="465">
        <v>1</v>
      </c>
      <c r="N30" s="404">
        <f t="shared" ref="N30" si="53">IFERROR(IF(((I30/L30)*H30*M30)&lt;&gt;0,((I30/L30)*H30*M30),0),"-")</f>
        <v>1114865.44</v>
      </c>
      <c r="O30" s="466">
        <f>IFERROR(IF(Tabelad[[#This Row],[D1 Exp USD]]&lt;&gt;0,N30/$AE$7,0),"-")</f>
        <v>4.6527090411227452E-4</v>
      </c>
      <c r="P30" s="467">
        <f>IFERROR(IF(Tabelad[[#This Row],[D1 Exp USD]]&lt;&gt;0,((I30-K30)/L30*M30*H30)/$AD$7*10000,0),"-")</f>
        <v>1.745857051077971E-2</v>
      </c>
      <c r="Q30" s="404"/>
      <c r="R30" s="128"/>
      <c r="S30" s="467"/>
      <c r="T30" s="468">
        <f t="shared" ref="T30" si="54">N30+Q30</f>
        <v>1114865.44</v>
      </c>
      <c r="U30" s="469">
        <f t="shared" ref="U30" si="55">T30/$AE$7</f>
        <v>4.6527090411227452E-4</v>
      </c>
      <c r="V30" s="467">
        <f t="shared" ref="V30" si="56">P30+S30</f>
        <v>1.745857051077971E-2</v>
      </c>
      <c r="W30" s="404">
        <f t="shared" ref="W30" si="57">$W$10/(I30/L30*M30)</f>
        <v>661.12021465621899</v>
      </c>
      <c r="X30" s="128"/>
      <c r="Y30" s="470">
        <f>Tabelad[[#This Row],[Exp %]]*$Y$10*$AD$7/Tabelad[[#This Row],[Price Today]]</f>
        <v>1076.5999999999999</v>
      </c>
      <c r="Z30" s="471">
        <f>Tabelad[[#This Row],[Vol 10d]]/16*Tabelad[[#This Row],[Exp %]]*100</f>
        <v>0.33205361485473422</v>
      </c>
      <c r="AA30" s="128">
        <f>Tabelad[[#This Row],[Exp %]]*Tabelad[[#This Row],[Beta Adj2]]</f>
        <v>9.4006486057750932E-4</v>
      </c>
      <c r="AB30" s="14">
        <f>_xll.BDP($B30&amp;" Equity","volatility_10d")</f>
        <v>114.18848225234608</v>
      </c>
      <c r="AC30" s="14" cm="1">
        <f t="array" ref="AC30">_xll.BDP(B30&amp;" EQUITY","eqy_beta")</f>
        <v>2.0204677581787109</v>
      </c>
      <c r="AD30" s="404">
        <f>Tabelad[[#This Row],[D1 P&amp;L bps]]*$AD$5/10000</f>
        <v>3921.2561604361899</v>
      </c>
      <c r="AE30" s="337"/>
      <c r="AF30" s="472" t="str">
        <f>_xll.BDP(B30&amp;" Equity","EXPECTED_REPORT_DT")</f>
        <v>03/02/2026</v>
      </c>
      <c r="AG30" s="473" t="e">
        <f>_xll.BDP(B30&amp;" Index","CHG_PCT_1D_PRE_FROM_REGULAR")/100</f>
        <v>#VALUE!</v>
      </c>
      <c r="AH30" s="467" t="e">
        <f t="shared" ref="AH30" si="58">(T30*AG30)/$AD$7*10000</f>
        <v>#VALUE!</v>
      </c>
      <c r="AI30" s="474" t="str">
        <f>_xll.BDP(B30&amp;" Equity","DVD_EX_DT")</f>
        <v>#N/A N/A</v>
      </c>
    </row>
    <row r="31" spans="1:35">
      <c r="B31" s="40" t="s">
        <v>137</v>
      </c>
      <c r="C31" t="s">
        <v>1882</v>
      </c>
      <c r="E31" t="s">
        <v>194</v>
      </c>
      <c r="F31" s="22" t="s">
        <v>99</v>
      </c>
      <c r="G31" s="15"/>
      <c r="H31" s="459">
        <v>12000</v>
      </c>
      <c r="I31" s="36" cm="1">
        <f t="array" ref="I31">_xll.BDP(B31&amp;" Equity","LAST_PRICE")</f>
        <v>328.8</v>
      </c>
      <c r="J31" s="51">
        <f t="shared" si="2"/>
        <v>-1.1425135297654876E-2</v>
      </c>
      <c r="K31" s="439" cm="1">
        <f t="array" ref="K31">_xll.BDP(B31&amp;" EQUITY","PX_YEST_CLOSE")</f>
        <v>332.6</v>
      </c>
      <c r="L31" s="53" cm="1">
        <f t="array" ref="L31">_xll.BDP(E31&amp;" Curncy","PX_LAST")</f>
        <v>1</v>
      </c>
      <c r="M31" s="52">
        <v>1</v>
      </c>
      <c r="N31" s="15">
        <f t="shared" si="3"/>
        <v>3945600</v>
      </c>
      <c r="O31" s="357">
        <f>IFERROR(IF(Tabelad[[#This Row],[D1 Exp USD]]&lt;&gt;0,N31/$AE$7,0),"-")</f>
        <v>1.6466317937574514E-3</v>
      </c>
      <c r="P31" s="20">
        <f>IFERROR(IF(Tabelad[[#This Row],[D1 Exp USD]]&lt;&gt;0,((I31-K31)/L31*M31*H31)/$AD$7*10000,0),"-")</f>
        <v>-0.19030416107902476</v>
      </c>
      <c r="Q31" s="15">
        <f>IF(SUM(SUMIFS(Options!$AL$4:$AL$32, Options!$D$4:$D$32, B31), SUMIFS(Options!$AL$4:$AL$32, Options!$D$4:$D$32, B31 &amp; " US"))=0,0,SUM(SUMIFS(Options!$AL$4:$AL$32, Options!$D$4:$D$32, B31), SUMIFS(Options!$AL$4:$AL$32, Options!$D$4:$D$32, B31 &amp; " US")))</f>
        <v>573967.47386455536</v>
      </c>
      <c r="R31" s="19">
        <f t="shared" si="4"/>
        <v>2.3953596184307226E-4</v>
      </c>
      <c r="S31" s="20">
        <f>IF(SUM(SUMIFS(Options!$AK$4:$AK$32, Options!$D$4:$D$32, B31), SUMIFS(Options!$AK$4:$AK$32, Options!$D$4:$D$32, B31 &amp; " US"))=0,0,SUM(SUMIFS(Options!$AK$4:$AK$32, Options!$D$4:$D$32, B31), SUMIFS(Options!AK$4:$AK$32, Options!$D$4:$D$32, B31 &amp; " US")))</f>
        <v>-3.6934031262047438E-2</v>
      </c>
      <c r="T31" s="13">
        <f t="shared" si="5"/>
        <v>4519567.4738645554</v>
      </c>
      <c r="U31" s="48">
        <f t="shared" si="6"/>
        <v>1.8861677556005238E-3</v>
      </c>
      <c r="V31" s="20">
        <f t="shared" si="7"/>
        <v>-0.2272381923410722</v>
      </c>
      <c r="W31" s="15">
        <f t="shared" si="8"/>
        <v>728.76037287104623</v>
      </c>
      <c r="X31" s="19"/>
      <c r="Y31" s="375">
        <f>Tabelad[[#This Row],[Exp %]]*$Y$10*$AD$7/Tabelad[[#This Row],[Price Today]]</f>
        <v>4810.9751090407372</v>
      </c>
      <c r="Z31" s="266">
        <f>Tabelad[[#This Row],[Vol 10d]]/16*Tabelad[[#This Row],[Exp %]]*100</f>
        <v>0.61777132320410366</v>
      </c>
      <c r="AA31" s="19">
        <f>Tabelad[[#This Row],[Exp %]]*Tabelad[[#This Row],[Beta Adj2]]</f>
        <v>3.8078737504945851E-3</v>
      </c>
      <c r="AB31" s="36">
        <f>_xll.BDP($B31&amp;" Equity","volatility_10d")</f>
        <v>52.40435874230419</v>
      </c>
      <c r="AC31" s="36" cm="1">
        <f t="array" ref="AC31">_xll.BDP(B31&amp;" EQUITY","eqy_beta")</f>
        <v>2.0188415050506592</v>
      </c>
      <c r="AD31" s="15">
        <f>Tabelad[[#This Row],[D1 P&amp;L bps]]*$AD$5/10000</f>
        <v>-42742.981936981036</v>
      </c>
      <c r="AE31" s="277"/>
      <c r="AF31" s="231" t="str">
        <f>_xll.BDP(B31&amp;" Equity","EXPECTED_REPORT_DT")</f>
        <v>06/03/2026</v>
      </c>
      <c r="AG31" s="172">
        <f>_xll.BDP(B31&amp;" Index","CHG_PCT_1D_PRE_FROM_REGULAR")/100</f>
        <v>9.2904279999999999E-3</v>
      </c>
      <c r="AH31" s="20">
        <f t="shared" si="9"/>
        <v>0.17523305729328262</v>
      </c>
      <c r="AI31" s="456" t="str">
        <f>_xll.BDP(B31&amp;" Equity","DVD_EX_DT")</f>
        <v>22/12/2025</v>
      </c>
    </row>
    <row r="32" spans="1:35" s="59" customFormat="1">
      <c r="A32" s="461" t="s">
        <v>1770</v>
      </c>
      <c r="B32" s="424" t="s">
        <v>137</v>
      </c>
      <c r="C32" s="59" t="s">
        <v>1882</v>
      </c>
      <c r="E32" s="59" t="s">
        <v>194</v>
      </c>
      <c r="F32" s="163" t="s">
        <v>99</v>
      </c>
      <c r="G32" s="404"/>
      <c r="H32" s="462">
        <v>-5000</v>
      </c>
      <c r="I32" s="14" cm="1">
        <f t="array" ref="I32">_xll.BDP(B32&amp;" Equity","LAST_PRICE")</f>
        <v>328.8</v>
      </c>
      <c r="J32" s="463">
        <f t="shared" ref="J32" si="59">I32/K32-1</f>
        <v>1.7365871492551754E-3</v>
      </c>
      <c r="K32" s="464">
        <v>328.23</v>
      </c>
      <c r="L32" s="8" cm="1">
        <f t="array" ref="L32">_xll.BDP(E32&amp;" Curncy","PX_LAST")</f>
        <v>1</v>
      </c>
      <c r="M32" s="465">
        <v>1</v>
      </c>
      <c r="N32" s="404">
        <f t="shared" ref="N32" si="60">IFERROR(IF(((I32/L32)*H32*M32)&lt;&gt;0,((I32/L32)*H32*M32),0),"-")</f>
        <v>-1644000</v>
      </c>
      <c r="O32" s="466">
        <f>IFERROR(IF(Tabelad[[#This Row],[D1 Exp USD]]&lt;&gt;0,N32/$AE$7,0),"-")</f>
        <v>-6.8609658073227138E-4</v>
      </c>
      <c r="P32" s="467">
        <f>IFERROR(IF(Tabelad[[#This Row],[D1 Exp USD]]&lt;&gt;0,((I32-K32)/L32*M32*H32)/$AD$7*10000,0),"-")</f>
        <v>-1.189401006743887E-2</v>
      </c>
      <c r="Q32" s="404"/>
      <c r="R32" s="128"/>
      <c r="S32" s="467"/>
      <c r="T32" s="468">
        <f t="shared" ref="T32" si="61">N32+Q32</f>
        <v>-1644000</v>
      </c>
      <c r="U32" s="469">
        <f t="shared" ref="U32" si="62">T32/$AE$7</f>
        <v>-6.8609658073227138E-4</v>
      </c>
      <c r="V32" s="467">
        <f t="shared" ref="V32" si="63">P32+S32</f>
        <v>-1.189401006743887E-2</v>
      </c>
      <c r="W32" s="404">
        <f t="shared" ref="W32" si="64">$W$10/(I32/L32*M32)</f>
        <v>728.76037287104623</v>
      </c>
      <c r="X32" s="128"/>
      <c r="Y32" s="470">
        <f>Tabelad[[#This Row],[Exp %]]*$Y$10*$AD$7/Tabelad[[#This Row],[Price Today]]</f>
        <v>-1749.9999999999995</v>
      </c>
      <c r="Z32" s="471">
        <f>Tabelad[[#This Row],[Vol 10d]]/16*Tabelad[[#This Row],[Exp %]]*100</f>
        <v>-0.22471532092851387</v>
      </c>
      <c r="AA32" s="128">
        <f>Tabelad[[#This Row],[Exp %]]*Tabelad[[#This Row],[Beta Adj2]]</f>
        <v>-1.3851202536556498E-3</v>
      </c>
      <c r="AB32" s="14">
        <f>_xll.BDP($B32&amp;" Equity","volatility_10d")</f>
        <v>52.40435874230419</v>
      </c>
      <c r="AC32" s="14" cm="1">
        <f t="array" ref="AC32">_xll.BDP(B32&amp;" EQUITY","eqy_beta")</f>
        <v>2.0188415050506592</v>
      </c>
      <c r="AD32" s="404">
        <f>Tabelad[[#This Row],[D1 P&amp;L bps]]*$AD$5/10000</f>
        <v>-2671.4363710612747</v>
      </c>
      <c r="AE32" s="337"/>
      <c r="AF32" s="472" t="str">
        <f>_xll.BDP(B32&amp;" Equity","EXPECTED_REPORT_DT")</f>
        <v>06/03/2026</v>
      </c>
      <c r="AG32" s="473">
        <f>_xll.BDP(B32&amp;" Index","CHG_PCT_1D_PRE_FROM_REGULAR")/100</f>
        <v>9.2904279999999999E-3</v>
      </c>
      <c r="AH32" s="467">
        <f t="shared" ref="AH32" si="65">(T32*AG32)/$AD$7*10000</f>
        <v>-6.3741308843393546E-2</v>
      </c>
      <c r="AI32" s="474" t="str">
        <f>_xll.BDP(B32&amp;" Equity","DVD_EX_DT")</f>
        <v>22/12/2025</v>
      </c>
    </row>
    <row r="33" spans="1:35">
      <c r="B33" s="40" t="s">
        <v>96</v>
      </c>
      <c r="C33" t="s">
        <v>1882</v>
      </c>
      <c r="E33" t="s">
        <v>194</v>
      </c>
      <c r="F33" s="22" t="s">
        <v>99</v>
      </c>
      <c r="G33" s="15"/>
      <c r="H33" s="459">
        <v>9000</v>
      </c>
      <c r="I33" s="36" cm="1">
        <f t="array" ref="I33">_xll.BDP(B33&amp;" Equity","LAST_PRICE")</f>
        <v>326.12</v>
      </c>
      <c r="J33" s="51">
        <f t="shared" si="2"/>
        <v>-3.1788727228267977E-3</v>
      </c>
      <c r="K33" s="439" cm="1">
        <f t="array" ref="K33">_xll.BDP(B33&amp;" EQUITY","PX_YEST_CLOSE")</f>
        <v>327.16000000000003</v>
      </c>
      <c r="L33" s="53" cm="1">
        <f t="array" ref="L33">_xll.BDP(E33&amp;" Curncy","PX_LAST")</f>
        <v>1</v>
      </c>
      <c r="M33" s="52">
        <v>1</v>
      </c>
      <c r="N33" s="15">
        <f t="shared" si="3"/>
        <v>2935080</v>
      </c>
      <c r="O33" s="357">
        <f>IFERROR(IF(Tabelad[[#This Row],[D1 Exp USD]]&lt;&gt;0,N33/$AE$7,0),"-")</f>
        <v>1.2249077567978561E-3</v>
      </c>
      <c r="P33" s="20">
        <f>IFERROR(IF(Tabelad[[#This Row],[D1 Exp USD]]&lt;&gt;0,((I33-K33)/L33*M33*H33)/$AD$7*10000,0),"-")</f>
        <v>-3.9062433063589939E-2</v>
      </c>
      <c r="Q33" s="15">
        <f>IF(SUM(SUMIFS(Options!$AL$4:$AL$32, Options!$D$4:$D$32, B33), SUMIFS(Options!$AL$4:$AL$32, Options!$D$4:$D$32, B33 &amp; " US"))=0,0,SUM(SUMIFS(Options!$AL$4:$AL$32, Options!$D$4:$D$32, B33), SUMIFS(Options!$AL$4:$AL$32, Options!$D$4:$D$32, B33 &amp; " US")))</f>
        <v>8811538.3483171463</v>
      </c>
      <c r="R33" s="19">
        <f t="shared" si="4"/>
        <v>3.6773517833161074E-3</v>
      </c>
      <c r="S33" s="20">
        <f>IF(SUM(SUMIFS(Options!$AK$4:$AK$32, Options!$D$4:$D$32, B33), SUMIFS(Options!$AK$4:$AK$32, Options!$D$4:$D$32, B33 &amp; " US"))=0,0,SUM(SUMIFS(Options!$AK$4:$AK$32, Options!$D$4:$D$32, B33), SUMIFS(Options!AK$4:$AK$32, Options!$D$4:$D$32, B33 &amp; " US")))</f>
        <v>-0.39511066776659359</v>
      </c>
      <c r="T33" s="13">
        <f t="shared" si="5"/>
        <v>11746618.348317146</v>
      </c>
      <c r="U33" s="48">
        <f t="shared" si="6"/>
        <v>4.9022595401139631E-3</v>
      </c>
      <c r="V33" s="20">
        <f t="shared" si="7"/>
        <v>-0.43417310083018351</v>
      </c>
      <c r="W33" s="15">
        <f t="shared" si="8"/>
        <v>734.74920458726854</v>
      </c>
      <c r="X33" s="19"/>
      <c r="Y33" s="375">
        <f>Tabelad[[#This Row],[Exp %]]*$Y$10*$AD$7/Tabelad[[#This Row],[Price Today]]</f>
        <v>12606.759542226788</v>
      </c>
      <c r="Z33" s="266">
        <f>Tabelad[[#This Row],[Vol 10d]]/16*Tabelad[[#This Row],[Exp %]]*100</f>
        <v>1.2374928478291103</v>
      </c>
      <c r="AA33" s="19">
        <f>Tabelad[[#This Row],[Exp %]]*Tabelad[[#This Row],[Beta Adj2]]</f>
        <v>7.2146738358039586E-3</v>
      </c>
      <c r="AB33" s="36">
        <f>_xll.BDP($B33&amp;" Equity","volatility_10d")</f>
        <v>40.389304979159625</v>
      </c>
      <c r="AC33" s="36" cm="1">
        <f t="array" ref="AC33">_xll.BDP(B33&amp;" EQUITY","eqy_beta")</f>
        <v>1.4717037677764893</v>
      </c>
      <c r="AD33" s="15">
        <f>Tabelad[[#This Row],[D1 P&amp;L bps]]*$AD$5/10000</f>
        <v>-8773.5594502225686</v>
      </c>
      <c r="AE33" s="277"/>
      <c r="AF33" s="231" t="str">
        <f>_xll.BDP(B33&amp;" Equity","EXPECTED_REPORT_DT")</f>
        <v>17/04/2026</v>
      </c>
      <c r="AG33" s="172" t="e">
        <f>_xll.BDP(B33&amp;" Index","CHG_PCT_1D_PRE_FROM_REGULAR")/100</f>
        <v>#VALUE!</v>
      </c>
      <c r="AH33" s="20" t="e">
        <f t="shared" si="9"/>
        <v>#VALUE!</v>
      </c>
      <c r="AI33" s="456" t="str">
        <f>_xll.BDP(B33&amp;" Equity","DVD_EX_DT")</f>
        <v>17/03/2026</v>
      </c>
    </row>
    <row r="34" spans="1:35" s="59" customFormat="1">
      <c r="A34" s="461" t="s">
        <v>1770</v>
      </c>
      <c r="B34" s="424" t="s">
        <v>96</v>
      </c>
      <c r="C34" s="59" t="s">
        <v>1882</v>
      </c>
      <c r="E34" s="59" t="s">
        <v>194</v>
      </c>
      <c r="F34" s="163" t="s">
        <v>99</v>
      </c>
      <c r="G34" s="404"/>
      <c r="H34" s="462">
        <v>5600</v>
      </c>
      <c r="I34" s="14" cm="1">
        <f t="array" ref="I34">_xll.BDP(B34&amp;" Equity","LAST_PRICE")</f>
        <v>326.12</v>
      </c>
      <c r="J34" s="463">
        <f t="shared" ref="J34" si="66">I34/K34-1</f>
        <v>-1.3640625472582601E-2</v>
      </c>
      <c r="K34" s="464">
        <v>330.63</v>
      </c>
      <c r="L34" s="8" cm="1">
        <f t="array" ref="L34">_xll.BDP(E34&amp;" Curncy","PX_LAST")</f>
        <v>1</v>
      </c>
      <c r="M34" s="465">
        <v>1</v>
      </c>
      <c r="N34" s="404">
        <f t="shared" ref="N34" si="67">IFERROR(IF(((I34/L34)*H34*M34)&lt;&gt;0,((I34/L34)*H34*M34),0),"-")</f>
        <v>1826272</v>
      </c>
      <c r="O34" s="466">
        <f>IFERROR(IF(Tabelad[[#This Row],[D1 Exp USD]]&lt;&gt;0,N34/$AE$7,0),"-")</f>
        <v>7.6216482645199925E-4</v>
      </c>
      <c r="P34" s="467">
        <f>IFERROR(IF(Tabelad[[#This Row],[D1 Exp USD]]&lt;&gt;0,((I34-K34)/L34*M34*H34)/$AD$7*10000,0),"-")</f>
        <v>-0.10540179588183828</v>
      </c>
      <c r="Q34" s="404"/>
      <c r="R34" s="128"/>
      <c r="S34" s="467"/>
      <c r="T34" s="468">
        <f t="shared" ref="T34" si="68">N34+Q34</f>
        <v>1826272</v>
      </c>
      <c r="U34" s="469">
        <f t="shared" ref="U34" si="69">T34/$AE$7</f>
        <v>7.6216482645199925E-4</v>
      </c>
      <c r="V34" s="467">
        <f t="shared" ref="V34" si="70">P34+S34</f>
        <v>-0.10540179588183828</v>
      </c>
      <c r="W34" s="404">
        <f t="shared" ref="W34" si="71">$W$10/(I34/L34*M34)</f>
        <v>734.74920458726854</v>
      </c>
      <c r="X34" s="128"/>
      <c r="Y34" s="470">
        <f>Tabelad[[#This Row],[Exp %]]*$Y$10*$AD$7/Tabelad[[#This Row],[Price Today]]</f>
        <v>1959.9999999999998</v>
      </c>
      <c r="Z34" s="471">
        <f>Tabelad[[#This Row],[Vol 10d]]/16*Tabelad[[#This Row],[Exp %]]*100</f>
        <v>0.19239567262473789</v>
      </c>
      <c r="AA34" s="128">
        <f>Tabelad[[#This Row],[Exp %]]*Tabelad[[#This Row],[Beta Adj2]]</f>
        <v>1.1216808467561213E-3</v>
      </c>
      <c r="AB34" s="14">
        <f>_xll.BDP($B34&amp;" Equity","volatility_10d")</f>
        <v>40.389304979159625</v>
      </c>
      <c r="AC34" s="14" cm="1">
        <f t="array" ref="AC34">_xll.BDP(B34&amp;" EQUITY","eqy_beta")</f>
        <v>1.4717037677764893</v>
      </c>
      <c r="AD34" s="404">
        <f>Tabelad[[#This Row],[D1 P&amp;L bps]]*$AD$5/10000</f>
        <v>-23673.612978078676</v>
      </c>
      <c r="AE34" s="337"/>
      <c r="AF34" s="472" t="str">
        <f>_xll.BDP(B34&amp;" Equity","EXPECTED_REPORT_DT")</f>
        <v>17/04/2026</v>
      </c>
      <c r="AG34" s="473" t="e">
        <f>_xll.BDP(B34&amp;" Index","CHG_PCT_1D_PRE_FROM_REGULAR")/100</f>
        <v>#VALUE!</v>
      </c>
      <c r="AH34" s="467" t="e">
        <f t="shared" ref="AH34" si="72">(T34*AG34)/$AD$7*10000</f>
        <v>#VALUE!</v>
      </c>
      <c r="AI34" s="474" t="str">
        <f>_xll.BDP(B34&amp;" Equity","DVD_EX_DT")</f>
        <v>17/03/2026</v>
      </c>
    </row>
    <row r="35" spans="1:35" s="59" customFormat="1">
      <c r="A35" s="461"/>
      <c r="B35" s="424" t="s">
        <v>96</v>
      </c>
      <c r="C35" s="59" t="s">
        <v>1882</v>
      </c>
      <c r="E35" s="59" t="s">
        <v>194</v>
      </c>
      <c r="F35" s="163" t="s">
        <v>99</v>
      </c>
      <c r="G35" s="404"/>
      <c r="H35" s="462">
        <v>-5100</v>
      </c>
      <c r="I35" s="14" cm="1">
        <f t="array" ref="I35">_xll.BDP(B35&amp;" Equity","LAST_PRICE")</f>
        <v>326.12</v>
      </c>
      <c r="J35" s="463">
        <f t="shared" ref="J35" si="73">I35/K35-1</f>
        <v>-1.0708327013499108E-2</v>
      </c>
      <c r="K35" s="464">
        <v>329.65</v>
      </c>
      <c r="L35" s="8" cm="1">
        <f t="array" ref="L35">_xll.BDP(E35&amp;" Curncy","PX_LAST")</f>
        <v>1</v>
      </c>
      <c r="M35" s="465">
        <v>1</v>
      </c>
      <c r="N35" s="404">
        <f t="shared" ref="N35" si="74">IFERROR(IF(((I35/L35)*H35*M35)&lt;&gt;0,((I35/L35)*H35*M35),0),"-")</f>
        <v>-1663212</v>
      </c>
      <c r="O35" s="466">
        <f>IFERROR(IF(Tabelad[[#This Row],[D1 Exp USD]]&lt;&gt;0,N35/$AE$7,0),"-")</f>
        <v>-6.9411439551878506E-4</v>
      </c>
      <c r="P35" s="467">
        <f>IFERROR(IF(Tabelad[[#This Row],[D1 Exp USD]]&lt;&gt;0,((I35-K35)/L35*M35*H35)/$AD$7*10000,0),"-")</f>
        <v>7.513258359442207E-2</v>
      </c>
      <c r="Q35" s="404"/>
      <c r="R35" s="128"/>
      <c r="S35" s="467"/>
      <c r="T35" s="468">
        <f t="shared" ref="T35" si="75">N35+Q35</f>
        <v>-1663212</v>
      </c>
      <c r="U35" s="469">
        <f t="shared" ref="U35" si="76">T35/$AE$7</f>
        <v>-6.9411439551878506E-4</v>
      </c>
      <c r="V35" s="467">
        <f t="shared" ref="V35" si="77">P35+S35</f>
        <v>7.513258359442207E-2</v>
      </c>
      <c r="W35" s="404">
        <f t="shared" ref="W35" si="78">$W$10/(I35/L35*M35)</f>
        <v>734.74920458726854</v>
      </c>
      <c r="X35" s="128"/>
      <c r="Y35" s="470">
        <f>Tabelad[[#This Row],[Exp %]]*$Y$10*$AD$7/Tabelad[[#This Row],[Price Today]]</f>
        <v>-1784.9999999999998</v>
      </c>
      <c r="Z35" s="471">
        <f>Tabelad[[#This Row],[Vol 10d]]/16*Tabelad[[#This Row],[Exp %]]*100</f>
        <v>-0.17521748756895775</v>
      </c>
      <c r="AA35" s="128">
        <f>Tabelad[[#This Row],[Exp %]]*Tabelad[[#This Row],[Beta Adj2]]</f>
        <v>-1.0215307711528962E-3</v>
      </c>
      <c r="AB35" s="14">
        <f>_xll.BDP($B35&amp;" Equity","volatility_10d")</f>
        <v>40.389304979159625</v>
      </c>
      <c r="AC35" s="14" cm="1">
        <f t="array" ref="AC35">_xll.BDP(B35&amp;" EQUITY","eqy_beta")</f>
        <v>1.4717037677764893</v>
      </c>
      <c r="AD35" s="404">
        <f>Tabelad[[#This Row],[D1 P&amp;L bps]]*$AD$5/10000</f>
        <v>16875.041750251348</v>
      </c>
      <c r="AE35" s="337"/>
      <c r="AF35" s="472" t="str">
        <f>_xll.BDP(B35&amp;" Equity","EXPECTED_REPORT_DT")</f>
        <v>17/04/2026</v>
      </c>
      <c r="AG35" s="473" t="e">
        <f>_xll.BDP(B35&amp;" Index","CHG_PCT_1D_PRE_FROM_REGULAR")/100</f>
        <v>#VALUE!</v>
      </c>
      <c r="AH35" s="467" t="e">
        <f t="shared" ref="AH35" si="79">(T35*AG35)/$AD$7*10000</f>
        <v>#VALUE!</v>
      </c>
      <c r="AI35" s="474" t="str">
        <f>_xll.BDP(B35&amp;" Equity","DVD_EX_DT")</f>
        <v>17/03/2026</v>
      </c>
    </row>
    <row r="36" spans="1:35">
      <c r="B36" s="40" t="s">
        <v>94</v>
      </c>
      <c r="C36" t="s">
        <v>1882</v>
      </c>
      <c r="E36" t="s">
        <v>194</v>
      </c>
      <c r="F36" s="22" t="s">
        <v>99</v>
      </c>
      <c r="G36" s="15"/>
      <c r="H36" s="459">
        <v>25392</v>
      </c>
      <c r="I36" s="36" cm="1">
        <f t="array" ref="I36">_xll.BDP(B36&amp;" Equity","LAST_PRICE")</f>
        <v>183.18</v>
      </c>
      <c r="J36" s="51">
        <f t="shared" si="2"/>
        <v>2.8696579996630556E-2</v>
      </c>
      <c r="K36" s="439" cm="1">
        <f t="array" ref="K36">_xll.BDP(B36&amp;" EQUITY","PX_YEST_CLOSE")</f>
        <v>178.07</v>
      </c>
      <c r="L36" s="53" cm="1">
        <f t="array" ref="L36">_xll.BDP(E36&amp;" Curncy","PX_LAST")</f>
        <v>1</v>
      </c>
      <c r="M36" s="52">
        <v>1</v>
      </c>
      <c r="N36" s="15">
        <f t="shared" si="3"/>
        <v>4651306.5600000005</v>
      </c>
      <c r="O36" s="357">
        <f>IFERROR(IF(Tabelad[[#This Row],[D1 Exp USD]]&lt;&gt;0,N36/$AE$7,0),"-")</f>
        <v>1.9411469140836887E-3</v>
      </c>
      <c r="P36" s="20">
        <f>IFERROR(IF(Tabelad[[#This Row],[D1 Exp USD]]&lt;&gt;0,((I36-K36)/L36*M36*H36)/$AD$7*10000,0),"-")</f>
        <v>0.54150347914443031</v>
      </c>
      <c r="Q36" s="15">
        <f>IF(SUM(SUMIFS(Options!$AL$4:$AL$32, Options!$D$4:$D$32, B36), SUMIFS(Options!$AL$4:$AL$32, Options!$D$4:$D$32, B36 &amp; " US"))=0,0,SUM(SUMIFS(Options!$AL$4:$AL$32, Options!$D$4:$D$32, B36), SUMIFS(Options!$AL$4:$AL$32, Options!$D$4:$D$32, B36 &amp; " US")))</f>
        <v>0</v>
      </c>
      <c r="R36" s="19">
        <f t="shared" si="4"/>
        <v>0</v>
      </c>
      <c r="S36" s="20">
        <f>IF(SUM(SUMIFS(Options!$AK$4:$AK$32, Options!$D$4:$D$32, B36), SUMIFS(Options!$AK$4:$AK$32, Options!$D$4:$D$32, B36 &amp; " US"))=0,0,SUM(SUMIFS(Options!$AK$4:$AK$32, Options!$D$4:$D$32, B36), SUMIFS(Options!AK$4:$AK$32, Options!$D$4:$D$32, B36 &amp; " US")))</f>
        <v>0</v>
      </c>
      <c r="T36" s="13">
        <f t="shared" si="5"/>
        <v>4651306.5600000005</v>
      </c>
      <c r="U36" s="48">
        <f t="shared" si="6"/>
        <v>1.9411469140836887E-3</v>
      </c>
      <c r="V36" s="20">
        <f t="shared" si="7"/>
        <v>0.54150347914443031</v>
      </c>
      <c r="W36" s="15">
        <f t="shared" si="8"/>
        <v>1308.0926443934927</v>
      </c>
      <c r="X36" s="19"/>
      <c r="Y36" s="375">
        <f>Tabelad[[#This Row],[Exp %]]*$Y$10*$AD$7/Tabelad[[#This Row],[Price Today]]</f>
        <v>8887.2000000000007</v>
      </c>
      <c r="Z36" s="266">
        <f>Tabelad[[#This Row],[Vol 10d]]/16*Tabelad[[#This Row],[Exp %]]*100</f>
        <v>0.46532836768357855</v>
      </c>
      <c r="AA36" s="19">
        <f>Tabelad[[#This Row],[Exp %]]*Tabelad[[#This Row],[Beta Adj2]]</f>
        <v>3.6077437278785414E-3</v>
      </c>
      <c r="AB36" s="36">
        <f>_xll.BDP($B36&amp;" Equity","volatility_10d")</f>
        <v>38.354922179868915</v>
      </c>
      <c r="AC36" s="36" cm="1">
        <f t="array" ref="AC36">_xll.BDP(B36&amp;" EQUITY","eqy_beta")</f>
        <v>1.8585629463195801</v>
      </c>
      <c r="AD36" s="15">
        <f>Tabelad[[#This Row],[D1 P&amp;L bps]]*$AD$5/10000</f>
        <v>121623.58036023972</v>
      </c>
      <c r="AE36" s="277"/>
      <c r="AF36" s="231" t="str">
        <f>_xll.BDP(B36&amp;" Equity","EXPECTED_REPORT_DT")</f>
        <v>25/02/2026</v>
      </c>
      <c r="AG36" s="172">
        <f>_xll.BDP(B36&amp;" Index","CHG_PCT_1D_PRE_FROM_REGULAR")/100</f>
        <v>4.998031E-3</v>
      </c>
      <c r="AH36" s="20">
        <f t="shared" si="9"/>
        <v>9.7019124521446121E-2</v>
      </c>
      <c r="AI36" s="456" t="str">
        <f>_xll.BDP(B36&amp;" Equity","DVD_EX_DT")</f>
        <v>04/12/2025</v>
      </c>
    </row>
    <row r="37" spans="1:35">
      <c r="B37" s="40" t="s">
        <v>138</v>
      </c>
      <c r="C37" t="s">
        <v>1882</v>
      </c>
      <c r="E37" t="s">
        <v>194</v>
      </c>
      <c r="F37" s="22" t="s">
        <v>100</v>
      </c>
      <c r="G37" s="15"/>
      <c r="H37" s="459">
        <v>-1500</v>
      </c>
      <c r="I37" s="36" cm="1">
        <f t="array" ref="I37">_xll.BDP(B37&amp;" Equity","LAST_PRICE")</f>
        <v>82.55</v>
      </c>
      <c r="J37" s="51">
        <f t="shared" si="2"/>
        <v>3.4461152882205415E-2</v>
      </c>
      <c r="K37" s="439" cm="1">
        <f t="array" ref="K37">_xll.BDP(B37&amp;" EQUITY","PX_YEST_CLOSE")</f>
        <v>79.8</v>
      </c>
      <c r="L37" s="53" cm="1">
        <f t="array" ref="L37">_xll.BDP(E37&amp;" Curncy","PX_LAST")</f>
        <v>1</v>
      </c>
      <c r="M37" s="52">
        <v>1</v>
      </c>
      <c r="N37" s="15">
        <f t="shared" si="3"/>
        <v>-123825</v>
      </c>
      <c r="O37" s="357">
        <f>IFERROR(IF(Tabelad[[#This Row],[D1 Exp USD]]&lt;&gt;0,N37/$AE$7,0),"-")</f>
        <v>-5.1676343740373179E-5</v>
      </c>
      <c r="P37" s="20">
        <f>IFERROR(IF(Tabelad[[#This Row],[D1 Exp USD]]&lt;&gt;0,((I37-K37)/L37*M37*H37)/$AD$7*10000,0),"-")</f>
        <v>-1.7215014571293309E-2</v>
      </c>
      <c r="Q37" s="15">
        <f>IF(SUM(SUMIFS(Options!$AL$4:$AL$32, Options!$D$4:$D$32, B37), SUMIFS(Options!$AL$4:$AL$32, Options!$D$4:$D$32, B37 &amp; " US"))=0,0,SUM(SUMIFS(Options!$AL$4:$AL$32, Options!$D$4:$D$32, B37), SUMIFS(Options!$AL$4:$AL$32, Options!$D$4:$D$32, B37 &amp; " US")))</f>
        <v>-570798.66038635373</v>
      </c>
      <c r="R37" s="19">
        <f t="shared" si="4"/>
        <v>-2.382135092321401E-4</v>
      </c>
      <c r="S37" s="20">
        <f>IF(SUM(SUMIFS(Options!$AK$4:$AK$32, Options!$D$4:$D$32, B37), SUMIFS(Options!$AK$4:$AK$32, Options!$D$4:$D$32, B37 &amp; " US"))=0,0,SUM(SUMIFS(Options!$AK$4:$AK$32, Options!$D$4:$D$32, B37), SUMIFS(Options!AK$4:$AK$32, Options!$D$4:$D$32, B37 &amp; " US")))</f>
        <v>-4.9662708702639939E-2</v>
      </c>
      <c r="T37" s="13">
        <f t="shared" si="5"/>
        <v>-694623.66038635373</v>
      </c>
      <c r="U37" s="48">
        <f t="shared" si="6"/>
        <v>-2.898898529725133E-4</v>
      </c>
      <c r="V37" s="20">
        <f t="shared" si="7"/>
        <v>-6.6877723273933251E-2</v>
      </c>
      <c r="W37" s="15">
        <f t="shared" si="8"/>
        <v>2902.6821393095097</v>
      </c>
      <c r="X37" s="19"/>
      <c r="Y37" s="375">
        <f>Tabelad[[#This Row],[Exp %]]*$Y$10*$AD$7/Tabelad[[#This Row],[Price Today]]</f>
        <v>-2945.103345066309</v>
      </c>
      <c r="Z37" s="266">
        <f>Tabelad[[#This Row],[Vol 10d]]/16*Tabelad[[#This Row],[Exp %]]*100</f>
        <v>-4.7851863654881463E-2</v>
      </c>
      <c r="AA37" s="19">
        <f>Tabelad[[#This Row],[Exp %]]*Tabelad[[#This Row],[Beta Adj2]]</f>
        <v>-5.7351158597662895E-4</v>
      </c>
      <c r="AB37" s="36">
        <f>_xll.BDP($B37&amp;" Equity","volatility_10d")</f>
        <v>26.411059601685977</v>
      </c>
      <c r="AC37" s="36" cm="1">
        <f t="array" ref="AC37">_xll.BDP(B37&amp;" EQUITY","eqy_beta")</f>
        <v>1.9783775806427002</v>
      </c>
      <c r="AD37" s="15">
        <f>Tabelad[[#This Row],[D1 P&amp;L bps]]*$AD$5/10000</f>
        <v>-3866.5526423255756</v>
      </c>
      <c r="AE37" s="277"/>
      <c r="AF37" s="231" t="str">
        <f>_xll.BDP(B37&amp;" Equity","EXPECTED_REPORT_DT")</f>
        <v>05/03/2026</v>
      </c>
      <c r="AG37" s="172">
        <f>_xll.BDP(B37&amp;" Index","CHG_PCT_1D_PRE_FROM_REGULAR")/100</f>
        <v>8.5213070000000005E-3</v>
      </c>
      <c r="AH37" s="20">
        <f t="shared" si="9"/>
        <v>-2.4702404333636484E-2</v>
      </c>
      <c r="AI37" s="456" t="str">
        <f>_xll.BDP(B37&amp;" Equity","DVD_EX_DT")</f>
        <v>09/01/2026</v>
      </c>
    </row>
    <row r="38" spans="1:35" s="59" customFormat="1">
      <c r="A38" s="461" t="s">
        <v>1770</v>
      </c>
      <c r="B38" s="424" t="s">
        <v>138</v>
      </c>
      <c r="C38" s="59" t="s">
        <v>1882</v>
      </c>
      <c r="E38" s="59" t="s">
        <v>194</v>
      </c>
      <c r="F38" s="163" t="s">
        <v>100</v>
      </c>
      <c r="G38" s="404"/>
      <c r="H38" s="462">
        <v>1451</v>
      </c>
      <c r="I38" s="14" cm="1">
        <f t="array" ref="I38">_xll.BDP(B38&amp;" Equity","LAST_PRICE")</f>
        <v>82.55</v>
      </c>
      <c r="J38" s="463">
        <f t="shared" ref="J38" si="80">I38/K38-1</f>
        <v>-1.6910801476717863E-2</v>
      </c>
      <c r="K38" s="464">
        <v>83.97</v>
      </c>
      <c r="L38" s="8" cm="1">
        <f t="array" ref="L38">_xll.BDP(E38&amp;" Curncy","PX_LAST")</f>
        <v>1</v>
      </c>
      <c r="M38" s="465">
        <v>1</v>
      </c>
      <c r="N38" s="404">
        <f t="shared" ref="N38" si="81">IFERROR(IF(((I38/L38)*H38*M38)&lt;&gt;0,((I38/L38)*H38*M38),0),"-")</f>
        <v>119780.05</v>
      </c>
      <c r="O38" s="466">
        <f>IFERROR(IF(Tabelad[[#This Row],[D1 Exp USD]]&lt;&gt;0,N38/$AE$7,0),"-")</f>
        <v>4.9988249844854322E-5</v>
      </c>
      <c r="P38" s="467">
        <f>IFERROR(IF(Tabelad[[#This Row],[D1 Exp USD]]&lt;&gt;0,((I38-K38)/L38*M38*H38)/$AD$7*10000,0),"-")</f>
        <v>-8.5988267449658654E-3</v>
      </c>
      <c r="Q38" s="404"/>
      <c r="R38" s="128"/>
      <c r="S38" s="467"/>
      <c r="T38" s="468">
        <f t="shared" ref="T38" si="82">N38+Q38</f>
        <v>119780.05</v>
      </c>
      <c r="U38" s="469">
        <f t="shared" ref="U38" si="83">T38/$AE$7</f>
        <v>4.9988249844854322E-5</v>
      </c>
      <c r="V38" s="467">
        <f t="shared" ref="V38" si="84">P38+S38</f>
        <v>-8.5988267449658654E-3</v>
      </c>
      <c r="W38" s="404">
        <f t="shared" ref="W38" si="85">$W$10/(I38/L38*M38)</f>
        <v>2902.6821393095097</v>
      </c>
      <c r="X38" s="128"/>
      <c r="Y38" s="470">
        <f>Tabelad[[#This Row],[Exp %]]*$Y$10*$AD$7/Tabelad[[#This Row],[Price Today]]</f>
        <v>507.84999999999997</v>
      </c>
      <c r="Z38" s="471">
        <f>Tabelad[[#This Row],[Vol 10d]]/16*Tabelad[[#This Row],[Exp %]]*100</f>
        <v>8.2515165377276094E-3</v>
      </c>
      <c r="AA38" s="128">
        <f>Tabelad[[#This Row],[Exp %]]*Tabelad[[#This Row],[Beta Adj2]]</f>
        <v>9.8895632788625733E-5</v>
      </c>
      <c r="AB38" s="14">
        <f>_xll.BDP($B38&amp;" Equity","volatility_10d")</f>
        <v>26.411059601685977</v>
      </c>
      <c r="AC38" s="14" cm="1">
        <f t="array" ref="AC38">_xll.BDP(B38&amp;" EQUITY","eqy_beta")</f>
        <v>1.9783775806427002</v>
      </c>
      <c r="AD38" s="404">
        <f>Tabelad[[#This Row],[D1 P&amp;L bps]]*$AD$5/10000</f>
        <v>-1931.3266412849628</v>
      </c>
      <c r="AE38" s="337"/>
      <c r="AF38" s="472" t="str">
        <f>_xll.BDP(B38&amp;" Equity","EXPECTED_REPORT_DT")</f>
        <v>05/03/2026</v>
      </c>
      <c r="AG38" s="473">
        <f>_xll.BDP(B38&amp;" Index","CHG_PCT_1D_PRE_FROM_REGULAR")/100</f>
        <v>8.5213070000000005E-3</v>
      </c>
      <c r="AH38" s="467">
        <f t="shared" ref="AH38" si="86">(T38*AG38)/$AD$7*10000</f>
        <v>4.2596522332070605E-3</v>
      </c>
      <c r="AI38" s="474" t="str">
        <f>_xll.BDP(B38&amp;" Equity","DVD_EX_DT")</f>
        <v>09/01/2026</v>
      </c>
    </row>
    <row r="39" spans="1:35" s="59" customFormat="1">
      <c r="A39" s="461" t="s">
        <v>1770</v>
      </c>
      <c r="B39" s="424" t="s">
        <v>2150</v>
      </c>
      <c r="C39" s="59" t="s">
        <v>2151</v>
      </c>
      <c r="E39" s="59" t="s">
        <v>194</v>
      </c>
      <c r="F39" s="163" t="s">
        <v>99</v>
      </c>
      <c r="G39" s="404"/>
      <c r="H39" s="462">
        <v>2092</v>
      </c>
      <c r="I39" s="14" cm="1">
        <f t="array" ref="I39">_xll.BDP(B39&amp;" Equity","LAST_PRICE")</f>
        <v>17.25</v>
      </c>
      <c r="J39" s="463">
        <f>I39/K39-1</f>
        <v>1.1607661056296514E-3</v>
      </c>
      <c r="K39" s="464">
        <v>17.23</v>
      </c>
      <c r="L39" s="8" cm="1">
        <f t="array" ref="L39">_xll.BDP(E39&amp;" Curncy","PX_LAST")</f>
        <v>1</v>
      </c>
      <c r="M39" s="465">
        <v>1</v>
      </c>
      <c r="N39" s="404">
        <f>IFERROR(IF(((I39/L39)*H39*M39)&lt;&gt;0,((I39/L39)*H39*M39),0),"-")</f>
        <v>36087</v>
      </c>
      <c r="O39" s="466">
        <f>IFERROR(IF(Tabelad[[#This Row],[D1 Exp USD]]&lt;&gt;0,N39/$AE$7,0),"-")</f>
        <v>1.506032074749725E-5</v>
      </c>
      <c r="P39" s="467">
        <f>IFERROR(IF(Tabelad[[#This Row],[D1 Exp USD]]&lt;&gt;0,((I39-K39)/L39*M39*H39)/$AD$7*10000,0),"-")</f>
        <v>1.7461241446373253E-4</v>
      </c>
      <c r="Q39" s="404"/>
      <c r="R39" s="128"/>
      <c r="S39" s="467"/>
      <c r="T39" s="468">
        <f>N39+Q39</f>
        <v>36087</v>
      </c>
      <c r="U39" s="469">
        <f>T39/$AE$7</f>
        <v>1.506032074749725E-5</v>
      </c>
      <c r="V39" s="467">
        <f>P39+S39</f>
        <v>1.7461241446373253E-4</v>
      </c>
      <c r="W39" s="404">
        <f>$W$10/(I39/L39*M39)</f>
        <v>13890.806411594203</v>
      </c>
      <c r="X39" s="128"/>
      <c r="Y39" s="470">
        <f>Tabelad[[#This Row],[Exp %]]*$Y$10*$AD$7/Tabelad[[#This Row],[Price Today]]</f>
        <v>732.2</v>
      </c>
      <c r="Z39" s="471">
        <f>Tabelad[[#This Row],[Vol 10d]]/16*Tabelad[[#This Row],[Exp %]]*100</f>
        <v>9.9429631415035562E-3</v>
      </c>
      <c r="AA39" s="128">
        <f>Tabelad[[#This Row],[Exp %]]*Tabelad[[#This Row],[Beta Adj2]]</f>
        <v>3.0931653158973785E-5</v>
      </c>
      <c r="AB39" s="14">
        <f>_xll.BDP($B39&amp;" Equity","volatility_10d")</f>
        <v>105.63348080783359</v>
      </c>
      <c r="AC39" s="14" cm="1">
        <f t="array" ref="AC39">_xll.BDP(B39&amp;" EQUITY","eqy_beta")</f>
        <v>2.0538508892059326</v>
      </c>
      <c r="AD39" s="404">
        <f>Tabelad[[#This Row],[D1 P&amp;L bps]]*$AD$5/10000</f>
        <v>39.218560619369363</v>
      </c>
      <c r="AE39" s="337"/>
      <c r="AF39" s="472" t="str">
        <f>_xll.BDP(B39&amp;" Equity","EXPECTED_REPORT_DT")</f>
        <v>24/02/2026</v>
      </c>
      <c r="AG39" s="473">
        <f>_xll.BDP(B39&amp;" Index","CHG_PCT_1D_PRE_FROM_REGULAR")/100</f>
        <v>7.7347730000000003E-3</v>
      </c>
      <c r="AH39" s="467">
        <f>(T39*AG39)/$AD$7*10000</f>
        <v>1.1648816228908155E-3</v>
      </c>
      <c r="AI39" s="474" t="str">
        <f>_xll.BDP(B39&amp;" Equity","DVD_EX_DT")</f>
        <v>12/10/2017</v>
      </c>
    </row>
    <row r="40" spans="1:35">
      <c r="B40" s="40" t="s">
        <v>2150</v>
      </c>
      <c r="C40" t="s">
        <v>2151</v>
      </c>
      <c r="E40" t="s">
        <v>194</v>
      </c>
      <c r="F40" s="22" t="s">
        <v>99</v>
      </c>
      <c r="G40" s="15"/>
      <c r="H40" s="459">
        <v>22000</v>
      </c>
      <c r="I40" s="36" cm="1">
        <f t="array" ref="I40">_xll.BDP(B40&amp;" Equity","LAST_PRICE")</f>
        <v>17.25</v>
      </c>
      <c r="J40" s="51">
        <f>I40/K40-1</f>
        <v>-4.6961325966850875E-2</v>
      </c>
      <c r="K40" s="439" cm="1">
        <f t="array" ref="K40">_xll.BDP(B40&amp;" EQUITY","PX_YEST_CLOSE")</f>
        <v>18.100000000000001</v>
      </c>
      <c r="L40" s="53" cm="1">
        <f t="array" ref="L40">_xll.BDP(E40&amp;" Curncy","PX_LAST")</f>
        <v>1</v>
      </c>
      <c r="M40" s="52">
        <v>1</v>
      </c>
      <c r="N40" s="15">
        <f>IFERROR(IF(((I40/L40)*H40*M40)&lt;&gt;0,((I40/L40)*H40*M40),0),"-")</f>
        <v>379500</v>
      </c>
      <c r="O40" s="357">
        <f>IFERROR(IF(Tabelad[[#This Row],[D1 Exp USD]]&lt;&gt;0,N40/$AE$7,0),"-")</f>
        <v>1.5837813405589842E-4</v>
      </c>
      <c r="P40" s="20">
        <f>IFERROR(IF(Tabelad[[#This Row],[D1 Exp USD]]&lt;&gt;0,((I40-K40)/L40*M40*H40)/$AD$7*10000,0),"-")</f>
        <v>-7.8041399389863125E-2</v>
      </c>
      <c r="Q40" s="15">
        <f>IF(SUM(SUMIFS(Options!$AL$4:$AL$32, Options!$D$4:$D$32, B40), SUMIFS(Options!$AL$4:$AL$32, Options!$D$4:$D$32, B40 &amp; " US"))=0,0,SUM(SUMIFS(Options!$AL$4:$AL$32, Options!$D$4:$D$32, B40), SUMIFS(Options!$AL$4:$AL$32, Options!$D$4:$D$32, B40 &amp; " US")))</f>
        <v>0</v>
      </c>
      <c r="R40" s="19">
        <f>Q40/$AE$7</f>
        <v>0</v>
      </c>
      <c r="S40" s="20">
        <f>IF(SUM(SUMIFS(Options!$AK$4:$AK$32, Options!$D$4:$D$32, B40), SUMIFS(Options!$AK$4:$AK$32, Options!$D$4:$D$32, B40 &amp; " US"))=0,0,SUM(SUMIFS(Options!$AK$4:$AK$32, Options!$D$4:$D$32, B40), SUMIFS(Options!AK$4:$AK$32, Options!$D$4:$D$32, B40 &amp; " US")))</f>
        <v>0</v>
      </c>
      <c r="T40" s="13">
        <f>N40+Q40</f>
        <v>379500</v>
      </c>
      <c r="U40" s="48">
        <f>T40/$AE$7</f>
        <v>1.5837813405589842E-4</v>
      </c>
      <c r="V40" s="20">
        <f>P40+S40</f>
        <v>-7.8041399389863125E-2</v>
      </c>
      <c r="W40" s="15">
        <f>$W$10/(I40/L40*M40)</f>
        <v>13890.806411594203</v>
      </c>
      <c r="X40" s="19"/>
      <c r="Y40" s="375">
        <f>Tabelad[[#This Row],[Exp %]]*$Y$10*$AD$7/Tabelad[[#This Row],[Price Today]]</f>
        <v>7699.9999999999982</v>
      </c>
      <c r="Z40" s="266">
        <f>Tabelad[[#This Row],[Vol 10d]]/16*Tabelad[[#This Row],[Exp %]]*100</f>
        <v>0.10456270990108901</v>
      </c>
      <c r="AA40" s="19">
        <f>Tabelad[[#This Row],[Exp %]]*Tabelad[[#This Row],[Beta Adj2]]</f>
        <v>3.2528507146148335E-4</v>
      </c>
      <c r="AB40" s="36">
        <f>_xll.BDP($B40&amp;" Equity","volatility_10d")</f>
        <v>105.63348080783359</v>
      </c>
      <c r="AC40" s="36" cm="1">
        <f t="array" ref="AC40">_xll.BDP(B40&amp;" EQUITY","eqy_beta")</f>
        <v>2.0538508892059326</v>
      </c>
      <c r="AD40" s="15">
        <f>Tabelad[[#This Row],[D1 P&amp;L bps]]*$AD$5/10000</f>
        <v>-17528.371978542636</v>
      </c>
      <c r="AE40" s="277"/>
      <c r="AF40" s="231" t="str">
        <f>_xll.BDP(B40&amp;" Equity","EXPECTED_REPORT_DT")</f>
        <v>24/02/2026</v>
      </c>
      <c r="AG40" s="172">
        <f>_xll.BDP(B40&amp;" Index","CHG_PCT_1D_PRE_FROM_REGULAR")/100</f>
        <v>7.7347730000000003E-3</v>
      </c>
      <c r="AH40" s="20">
        <f>(T40*AG40)/$AD$7*10000</f>
        <v>1.2250189150859436E-2</v>
      </c>
      <c r="AI40" s="456" t="str">
        <f>_xll.BDP(B40&amp;" Equity","DVD_EX_DT")</f>
        <v>12/10/2017</v>
      </c>
    </row>
    <row r="41" spans="1:35">
      <c r="B41" s="40" t="s">
        <v>88</v>
      </c>
      <c r="C41" t="s">
        <v>2303</v>
      </c>
      <c r="E41" t="s">
        <v>194</v>
      </c>
      <c r="F41" s="22" t="s">
        <v>99</v>
      </c>
      <c r="G41" s="15"/>
      <c r="H41" s="459">
        <v>41300</v>
      </c>
      <c r="I41" s="36" cm="1">
        <f t="array" ref="I41">_xll.BDP(B41&amp;" Equity","LAST_PRICE")</f>
        <v>53.46</v>
      </c>
      <c r="J41" s="51">
        <f t="shared" ref="J41:J44" si="87">I41/K41-1</f>
        <v>4.8872180451127178E-3</v>
      </c>
      <c r="K41" s="439" cm="1">
        <f t="array" ref="K41">_xll.BDP(B41&amp;" EQUITY","PX_YEST_CLOSE")</f>
        <v>53.2</v>
      </c>
      <c r="L41" s="53" cm="1">
        <f t="array" ref="L41">_xll.BDP(E41&amp;" Curncy","PX_LAST")</f>
        <v>1</v>
      </c>
      <c r="M41" s="52">
        <v>1</v>
      </c>
      <c r="N41" s="15">
        <f t="shared" ref="N41:N44" si="88">IFERROR(IF(((I41/L41)*H41*M41)&lt;&gt;0,((I41/L41)*H41*M41),0),"-")</f>
        <v>2207898</v>
      </c>
      <c r="O41" s="357">
        <f>IFERROR(IF(Tabelad[[#This Row],[D1 Exp USD]]&lt;&gt;0,N41/$AE$7,0),"-")</f>
        <v>9.2143021192555999E-4</v>
      </c>
      <c r="P41" s="20">
        <f>IFERROR(IF(Tabelad[[#This Row],[D1 Exp USD]]&lt;&gt;0,((I41-K41)/L41*M41*H41)/$AD$7*10000,0),"-")</f>
        <v>4.4813291264617243E-2</v>
      </c>
      <c r="Q41" s="15">
        <f>IF(SUM(SUMIFS(Options!$AL$4:$AL$32, Options!$D$4:$D$32, B41), SUMIFS(Options!$AL$4:$AL$32, Options!$D$4:$D$32, B41 &amp; " US"))=0,0,SUM(SUMIFS(Options!$AL$4:$AL$32, Options!$D$4:$D$32, B41), SUMIFS(Options!$AL$4:$AL$32, Options!$D$4:$D$32, B41 &amp; " US")))</f>
        <v>0</v>
      </c>
      <c r="R41" s="19">
        <f t="shared" ref="R41:R44" si="89">Q41/$AE$7</f>
        <v>0</v>
      </c>
      <c r="S41" s="20">
        <f>IF(SUM(SUMIFS(Options!$AK$4:$AK$32, Options!$D$4:$D$32, B41), SUMIFS(Options!$AK$4:$AK$32, Options!$D$4:$D$32, B41 &amp; " US"))=0,0,SUM(SUMIFS(Options!$AK$4:$AK$32, Options!$D$4:$D$32, B41), SUMIFS(Options!AK$4:$AK$32, Options!$D$4:$D$32, B41 &amp; " US")))</f>
        <v>0</v>
      </c>
      <c r="T41" s="13">
        <f t="shared" ref="T41:T44" si="90">N41+Q41</f>
        <v>2207898</v>
      </c>
      <c r="U41" s="48">
        <f t="shared" ref="U41:U44" si="91">T41/$AE$7</f>
        <v>9.2143021192555999E-4</v>
      </c>
      <c r="V41" s="20">
        <f t="shared" ref="V41:V44" si="92">P41+S41</f>
        <v>4.4813291264617243E-2</v>
      </c>
      <c r="W41" s="15">
        <f t="shared" ref="W41:W44" si="93">$W$10/(I41/L41*M41)</f>
        <v>4482.1625626636742</v>
      </c>
      <c r="X41" s="19"/>
      <c r="Y41" s="375">
        <f>Tabelad[[#This Row],[Exp %]]*$Y$10*$AD$7/Tabelad[[#This Row],[Price Today]]</f>
        <v>14455</v>
      </c>
      <c r="Z41" s="266">
        <f>Tabelad[[#This Row],[Vol 10d]]/16*Tabelad[[#This Row],[Exp %]]*100</f>
        <v>0.10134797073631491</v>
      </c>
      <c r="AA41" s="19">
        <f>Tabelad[[#This Row],[Exp %]]*Tabelad[[#This Row],[Beta Adj2]]</f>
        <v>9.2133717486988869E-4</v>
      </c>
      <c r="AB41" s="36">
        <f>_xll.BDP($B41&amp;" Equity","volatility_10d")</f>
        <v>17.598375989781857</v>
      </c>
      <c r="AC41" s="36">
        <f>_xll.BDP(B41&amp;" EQUITY","eqy_beta")</f>
        <v>0.99989902973175049</v>
      </c>
      <c r="AD41" s="15">
        <f>Tabelad[[#This Row],[D1 P&amp;L bps]]*$AD$5/10000</f>
        <v>10065.222369282841</v>
      </c>
      <c r="AE41" s="277"/>
      <c r="AF41" s="231" t="str">
        <f>_xll.BDP(B41&amp;" Equity","EXPECTED_REPORT_DT")</f>
        <v>#N/A N/A</v>
      </c>
      <c r="AG41" s="172">
        <f>_xll.BDP(B41&amp;" Index","CHG_PCT_1D_PRE_FROM_REGULAR")/100</f>
        <v>3.383465E-3</v>
      </c>
      <c r="AH41" s="20">
        <f t="shared" ref="AH41:AH44" si="94">(T41*AG41)/$AD$7*10000</f>
        <v>3.1176268719927149E-2</v>
      </c>
      <c r="AI41" s="456" t="str">
        <f>_xll.BDP(B41&amp;" Equity","DVD_EX_DT")</f>
        <v>22/12/2025</v>
      </c>
    </row>
    <row r="42" spans="1:35" s="59" customFormat="1">
      <c r="A42" s="461" t="s">
        <v>1770</v>
      </c>
      <c r="B42" s="424" t="s">
        <v>88</v>
      </c>
      <c r="C42" s="59" t="s">
        <v>2303</v>
      </c>
      <c r="E42" s="59" t="s">
        <v>194</v>
      </c>
      <c r="F42" s="163" t="s">
        <v>99</v>
      </c>
      <c r="G42" s="404"/>
      <c r="H42" s="462">
        <v>4450</v>
      </c>
      <c r="I42" s="14" cm="1">
        <f t="array" ref="I42">_xll.BDP(B42&amp;" Equity","LAST_PRICE")</f>
        <v>53.46</v>
      </c>
      <c r="J42" s="463">
        <f t="shared" ref="J42" si="95">I42/K42-1</f>
        <v>-4.8399106478034248E-3</v>
      </c>
      <c r="K42" s="464">
        <v>53.72</v>
      </c>
      <c r="L42" s="8" cm="1">
        <f t="array" ref="L42">_xll.BDP(E42&amp;" Curncy","PX_LAST")</f>
        <v>1</v>
      </c>
      <c r="M42" s="465">
        <v>1</v>
      </c>
      <c r="N42" s="404">
        <f t="shared" ref="N42" si="96">IFERROR(IF(((I42/L42)*H42*M42)&lt;&gt;0,((I42/L42)*H42*M42),0),"-")</f>
        <v>237897</v>
      </c>
      <c r="O42" s="466">
        <f>IFERROR(IF(Tabelad[[#This Row],[D1 Exp USD]]&lt;&gt;0,N42/$AE$7,0),"-")</f>
        <v>9.9282432035562764E-5</v>
      </c>
      <c r="P42" s="467">
        <f>IFERROR(IF(Tabelad[[#This Row],[D1 Exp USD]]&lt;&gt;0,((I42-K42)/L42*M42*H42)/$AD$7*10000,0),"-")</f>
        <v>-4.8285507536936249E-3</v>
      </c>
      <c r="Q42" s="404"/>
      <c r="R42" s="128"/>
      <c r="S42" s="467"/>
      <c r="T42" s="468">
        <f t="shared" ref="T42" si="97">N42+Q42</f>
        <v>237897</v>
      </c>
      <c r="U42" s="469">
        <f t="shared" ref="U42" si="98">T42/$AE$7</f>
        <v>9.9282432035562764E-5</v>
      </c>
      <c r="V42" s="467">
        <f t="shared" ref="V42" si="99">P42+S42</f>
        <v>-4.8285507536936249E-3</v>
      </c>
      <c r="W42" s="404">
        <f t="shared" ref="W42" si="100">$W$10/(I42/L42*M42)</f>
        <v>4482.1625626636742</v>
      </c>
      <c r="X42" s="128"/>
      <c r="Y42" s="470">
        <f>Tabelad[[#This Row],[Exp %]]*$Y$10*$AD$7/Tabelad[[#This Row],[Price Today]]</f>
        <v>1557.5</v>
      </c>
      <c r="Z42" s="471">
        <f>Tabelad[[#This Row],[Vol 10d]]/16*Tabelad[[#This Row],[Exp %]]*100</f>
        <v>1.092005980088623E-2</v>
      </c>
      <c r="AA42" s="128">
        <f>Tabelad[[#This Row],[Exp %]]*Tabelad[[#This Row],[Beta Adj2]]</f>
        <v>9.9272407461767663E-5</v>
      </c>
      <c r="AB42" s="14">
        <f>_xll.BDP($B42&amp;" Equity","volatility_10d")</f>
        <v>17.598375989781857</v>
      </c>
      <c r="AC42" s="14">
        <f>_xll.BDP(B42&amp;" EQUITY","eqy_beta")</f>
        <v>0.99989902973175049</v>
      </c>
      <c r="AD42" s="404">
        <f>Tabelad[[#This Row],[D1 P&amp;L bps]]*$AD$5/10000</f>
        <v>-1084.5094320413712</v>
      </c>
      <c r="AE42" s="337"/>
      <c r="AF42" s="472" t="str">
        <f>_xll.BDP(B42&amp;" Equity","EXPECTED_REPORT_DT")</f>
        <v>#N/A N/A</v>
      </c>
      <c r="AG42" s="473">
        <f>_xll.BDP(B42&amp;" Index","CHG_PCT_1D_PRE_FROM_REGULAR")/100</f>
        <v>3.383465E-3</v>
      </c>
      <c r="AH42" s="467">
        <f t="shared" ref="AH42" si="101">(T42*AG42)/$AD$7*10000</f>
        <v>3.3591863390720535E-3</v>
      </c>
      <c r="AI42" s="474" t="str">
        <f>_xll.BDP(B42&amp;" Equity","DVD_EX_DT")</f>
        <v>22/12/2025</v>
      </c>
    </row>
    <row r="43" spans="1:35">
      <c r="B43" s="40" t="s">
        <v>2330</v>
      </c>
      <c r="C43" t="s">
        <v>2303</v>
      </c>
      <c r="E43" t="s">
        <v>194</v>
      </c>
      <c r="F43" s="22" t="s">
        <v>100</v>
      </c>
      <c r="G43" s="15"/>
      <c r="H43" s="459">
        <v>-10000</v>
      </c>
      <c r="I43" s="36" cm="1">
        <f t="array" ref="I43">_xll.BDP(B43&amp;" Equity","LAST_PRICE")</f>
        <v>22.4</v>
      </c>
      <c r="J43" s="51">
        <f t="shared" ref="J43" si="102">I43/K43-1</f>
        <v>-5.7239057239057312E-2</v>
      </c>
      <c r="K43" s="439" cm="1">
        <f t="array" ref="K43">_xll.BDP(B43&amp;" EQUITY","PX_YEST_CLOSE")</f>
        <v>23.76</v>
      </c>
      <c r="L43" s="53" cm="1">
        <f t="array" ref="L43">_xll.BDP(E43&amp;" Curncy","PX_LAST")</f>
        <v>1</v>
      </c>
      <c r="M43" s="52">
        <v>1</v>
      </c>
      <c r="N43" s="15">
        <f t="shared" ref="N43" si="103">IFERROR(IF(((I43/L43)*H43*M43)&lt;&gt;0,((I43/L43)*H43*M43),0),"-")</f>
        <v>-224000</v>
      </c>
      <c r="O43" s="357">
        <f>IFERROR(IF(Tabelad[[#This Row],[D1 Exp USD]]&lt;&gt;0,N43/$AE$7,0),"-")</f>
        <v>-9.3482745793204873E-5</v>
      </c>
      <c r="P43" s="20">
        <f>IFERROR(IF(Tabelad[[#This Row],[D1 Exp USD]]&lt;&gt;0,((I43-K43)/L43*M43*H43)/$AD$7*10000,0),"-")</f>
        <v>5.6757381374445935E-2</v>
      </c>
      <c r="Q43" s="15">
        <f>IF(SUM(SUMIFS(Options!$AL$4:$AL$32, Options!$D$4:$D$32, B43), SUMIFS(Options!$AL$4:$AL$32, Options!$D$4:$D$32, B43 &amp; " US"))=0,0,SUM(SUMIFS(Options!$AL$4:$AL$32, Options!$D$4:$D$32, B43), SUMIFS(Options!$AL$4:$AL$32, Options!$D$4:$D$32, B43 &amp; " US")))</f>
        <v>0</v>
      </c>
      <c r="R43" s="19">
        <f t="shared" ref="R43" si="104">Q43/$AE$7</f>
        <v>0</v>
      </c>
      <c r="S43" s="20">
        <f>IF(SUM(SUMIFS(Options!$AK$4:$AK$32, Options!$D$4:$D$32, B43), SUMIFS(Options!$AK$4:$AK$32, Options!$D$4:$D$32, B43 &amp; " US"))=0,0,SUM(SUMIFS(Options!$AK$4:$AK$32, Options!$D$4:$D$32, B43), SUMIFS(Options!AK$4:$AK$32, Options!$D$4:$D$32, B43 &amp; " US")))</f>
        <v>0</v>
      </c>
      <c r="T43" s="13">
        <f t="shared" ref="T43" si="105">N43+Q43</f>
        <v>-224000</v>
      </c>
      <c r="U43" s="48">
        <f t="shared" ref="U43" si="106">T43/$AE$7</f>
        <v>-9.3482745793204873E-5</v>
      </c>
      <c r="V43" s="20">
        <f t="shared" ref="V43" si="107">P43+S43</f>
        <v>5.6757381374445935E-2</v>
      </c>
      <c r="W43" s="15">
        <f t="shared" ref="W43" si="108">$W$10/(I43/L43*M43)</f>
        <v>10697.161187500002</v>
      </c>
      <c r="X43" s="19"/>
      <c r="Y43" s="375">
        <f>Tabelad[[#This Row],[Exp %]]*$Y$10*$AD$7/Tabelad[[#This Row],[Price Today]]</f>
        <v>-3499.9999999999995</v>
      </c>
      <c r="Z43" s="266">
        <f>Tabelad[[#This Row],[Vol 10d]]/16*Tabelad[[#This Row],[Exp %]]*100</f>
        <v>-2.4697984780961871E-2</v>
      </c>
      <c r="AA43" s="19">
        <f>Tabelad[[#This Row],[Exp %]]*Tabelad[[#This Row],[Beta Adj2]]</f>
        <v>-3.425587291556549E-5</v>
      </c>
      <c r="AB43" s="36">
        <f>_xll.BDP($B43&amp;" Equity","volatility_10d")</f>
        <v>42.271731873339363</v>
      </c>
      <c r="AC43" s="36">
        <f>_xll.BDP(B43&amp;" EQUITY","eqy_beta")</f>
        <v>0.36644059419631958</v>
      </c>
      <c r="AD43" s="15">
        <f>Tabelad[[#This Row],[D1 P&amp;L bps]]*$AD$5/10000</f>
        <v>12747.90689348556</v>
      </c>
      <c r="AE43" s="277"/>
      <c r="AF43" s="231" t="str">
        <f>_xll.BDP(B43&amp;" Equity","EXPECTED_REPORT_DT")</f>
        <v>11/02/2026</v>
      </c>
      <c r="AG43" s="172" t="e">
        <f>_xll.BDP(B43&amp;" Index","CHG_PCT_1D_PRE_FROM_REGULAR")/100</f>
        <v>#VALUE!</v>
      </c>
      <c r="AH43" s="20" t="e">
        <f t="shared" ref="AH43" si="109">(T43*AG43)/$AD$7*10000</f>
        <v>#VALUE!</v>
      </c>
      <c r="AI43" s="456" t="str">
        <f>_xll.BDP(B43&amp;" Equity","DVD_EX_DT")</f>
        <v>28/11/2025</v>
      </c>
    </row>
    <row r="44" spans="1:35">
      <c r="B44" s="40" t="s">
        <v>4</v>
      </c>
      <c r="C44" t="s">
        <v>2303</v>
      </c>
      <c r="E44" t="s">
        <v>194</v>
      </c>
      <c r="F44" s="22" t="s">
        <v>100</v>
      </c>
      <c r="G44" s="15"/>
      <c r="H44" s="459">
        <v>-27500</v>
      </c>
      <c r="I44" s="36" cm="1">
        <f t="array" ref="I44">_xll.BDP(B44&amp;" Equity","LAST_PRICE")</f>
        <v>82.415000000000006</v>
      </c>
      <c r="J44" s="51">
        <f t="shared" si="87"/>
        <v>6.6779990286547353E-4</v>
      </c>
      <c r="K44" s="439" cm="1">
        <f t="array" ref="K44">_xll.BDP(B44&amp;" EQUITY","PX_YEST_CLOSE")</f>
        <v>82.36</v>
      </c>
      <c r="L44" s="53" cm="1">
        <f t="array" ref="L44">_xll.BDP(E44&amp;" Curncy","PX_LAST")</f>
        <v>1</v>
      </c>
      <c r="M44" s="52">
        <v>1</v>
      </c>
      <c r="N44" s="15">
        <f t="shared" si="88"/>
        <v>-2266412.5</v>
      </c>
      <c r="O44" s="357">
        <f>IFERROR(IF(Tabelad[[#This Row],[D1 Exp USD]]&lt;&gt;0,N44/$AE$7,0),"-")</f>
        <v>-9.4585028392875858E-4</v>
      </c>
      <c r="P44" s="20">
        <f>IFERROR(IF(Tabelad[[#This Row],[D1 Exp USD]]&lt;&gt;0,((I44-K44)/L44*M44*H44)/$AD$7*10000,0),"-")</f>
        <v>-6.312172009474995E-3</v>
      </c>
      <c r="Q44" s="15">
        <f>IF(SUM(SUMIFS(Options!$AL$4:$AL$32, Options!$D$4:$D$32, B44), SUMIFS(Options!$AL$4:$AL$32, Options!$D$4:$D$32, B44 &amp; " US"))=0,0,SUM(SUMIFS(Options!$AL$4:$AL$32, Options!$D$4:$D$32, B44), SUMIFS(Options!$AL$4:$AL$32, Options!$D$4:$D$32, B44 &amp; " US")))</f>
        <v>0</v>
      </c>
      <c r="R44" s="19">
        <f t="shared" si="89"/>
        <v>0</v>
      </c>
      <c r="S44" s="20">
        <f>IF(SUM(SUMIFS(Options!$AK$4:$AK$32, Options!$D$4:$D$32, B44), SUMIFS(Options!$AK$4:$AK$32, Options!$D$4:$D$32, B44 &amp; " US"))=0,0,SUM(SUMIFS(Options!$AK$4:$AK$32, Options!$D$4:$D$32, B44), SUMIFS(Options!AK$4:$AK$32, Options!$D$4:$D$32, B44 &amp; " US")))</f>
        <v>0</v>
      </c>
      <c r="T44" s="13">
        <f t="shared" si="90"/>
        <v>-2266412.5</v>
      </c>
      <c r="U44" s="48">
        <f t="shared" si="91"/>
        <v>-9.4585028392875858E-4</v>
      </c>
      <c r="V44" s="20">
        <f t="shared" si="92"/>
        <v>-6.312172009474995E-3</v>
      </c>
      <c r="W44" s="15">
        <f t="shared" si="93"/>
        <v>2907.4368816356246</v>
      </c>
      <c r="X44" s="19"/>
      <c r="Y44" s="375">
        <f>Tabelad[[#This Row],[Exp %]]*$Y$10*$AD$7/Tabelad[[#This Row],[Price Today]]</f>
        <v>-9624.9999999999982</v>
      </c>
      <c r="Z44" s="266">
        <f>Tabelad[[#This Row],[Vol 10d]]/16*Tabelad[[#This Row],[Exp %]]*100</f>
        <v>-7.8474683417461208E-2</v>
      </c>
      <c r="AA44" s="19">
        <f>Tabelad[[#This Row],[Exp %]]*Tabelad[[#This Row],[Beta Adj2]]</f>
        <v>-9.4861354964677065E-4</v>
      </c>
      <c r="AB44" s="36">
        <f>_xll.BDP($B44&amp;" Equity","volatility_10d")</f>
        <v>13.274774623569821</v>
      </c>
      <c r="AC44" s="36">
        <f>_xll.BDP(B44&amp;" EQUITY","eqy_beta")</f>
        <v>1.002921462059021</v>
      </c>
      <c r="AD44" s="15">
        <f>Tabelad[[#This Row],[D1 P&amp;L bps]]*$AD$5/10000</f>
        <v>-1417.7359688528868</v>
      </c>
      <c r="AE44" s="277"/>
      <c r="AF44" s="231" t="str">
        <f>_xll.BDP(B44&amp;" Equity","EXPECTED_REPORT_DT")</f>
        <v>#N/A N/A</v>
      </c>
      <c r="AG44" s="172">
        <f>_xll.BDP(B44&amp;" Index","CHG_PCT_1D_PRE_FROM_REGULAR")/100</f>
        <v>-1.457051E-3</v>
      </c>
      <c r="AH44" s="20">
        <f t="shared" si="94"/>
        <v>1.3781521020486817E-2</v>
      </c>
      <c r="AI44" s="456" t="str">
        <f>_xll.BDP(B44&amp;" Equity","DVD_EX_DT")</f>
        <v>22/12/2025</v>
      </c>
    </row>
    <row r="45" spans="1:35">
      <c r="C45" s="40"/>
      <c r="D45" s="40"/>
      <c r="E45" s="40"/>
      <c r="H45" s="13"/>
      <c r="I45" s="53"/>
      <c r="K45" s="53"/>
      <c r="L45" s="53"/>
      <c r="M45" s="36"/>
      <c r="S45" s="277"/>
      <c r="U45" s="71"/>
      <c r="V45" s="65"/>
      <c r="X45" s="53"/>
      <c r="Y45" s="454"/>
      <c r="Z45" s="19"/>
      <c r="AG45" s="53"/>
      <c r="AI45" s="48"/>
    </row>
    <row r="46" spans="1:35">
      <c r="C46" s="21"/>
      <c r="D46" s="21"/>
      <c r="E46" s="21"/>
      <c r="H46" s="13"/>
      <c r="L46" s="3"/>
      <c r="S46" s="276"/>
    </row>
    <row r="47" spans="1:35">
      <c r="C47" s="21"/>
      <c r="D47" s="21"/>
      <c r="E47" s="21"/>
      <c r="H47" s="13"/>
      <c r="L47" s="3"/>
      <c r="S47" s="276"/>
    </row>
    <row r="48" spans="1:35">
      <c r="C48" s="21"/>
      <c r="D48" s="21"/>
      <c r="E48" s="21"/>
      <c r="H48" s="13"/>
      <c r="L48" s="3"/>
      <c r="S48" s="276"/>
    </row>
    <row r="49" spans="3:19">
      <c r="C49" s="21"/>
      <c r="D49" s="21"/>
      <c r="E49" s="21"/>
      <c r="H49" s="13"/>
      <c r="S49" s="276"/>
    </row>
    <row r="50" spans="3:19">
      <c r="C50" s="21"/>
      <c r="D50" s="21"/>
      <c r="E50" s="21"/>
      <c r="S50" s="276"/>
    </row>
    <row r="51" spans="3:19">
      <c r="C51" s="21"/>
      <c r="D51" s="21"/>
      <c r="E51" s="21"/>
      <c r="H51" s="13"/>
    </row>
    <row r="52" spans="3:19">
      <c r="C52" s="21"/>
      <c r="D52" s="21"/>
      <c r="E52" s="21"/>
    </row>
    <row r="53" spans="3:19">
      <c r="C53" s="21"/>
      <c r="D53" s="21"/>
      <c r="E53" s="21"/>
    </row>
    <row r="54" spans="3:19">
      <c r="C54" s="21"/>
      <c r="D54" s="21"/>
      <c r="E54" s="21"/>
    </row>
    <row r="55" spans="3:19">
      <c r="C55" s="21"/>
      <c r="D55" s="21"/>
      <c r="E55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45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46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4">
    <cfRule type="dataBar" priority="54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4">
    <cfRule type="colorScale" priority="546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4">
    <cfRule type="dataBar" priority="5460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4">
    <cfRule type="colorScale" priority="546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4">
    <cfRule type="colorScale" priority="546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4">
    <cfRule type="colorScale" priority="54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4">
    <cfRule type="colorScale" priority="546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1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B9" sqref="B9"/>
    </sheetView>
  </sheetViews>
  <sheetFormatPr defaultRowHeight="15" outlineLevelCol="1"/>
  <cols>
    <col min="1" max="1" width="6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0.71707314922630794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SUM(V4:V32)</f>
        <v>11.458025738409084</v>
      </c>
      <c r="W1" s="50">
        <f>SUM(W4:W32)</f>
        <v>11.139015868389773</v>
      </c>
      <c r="X1" s="50">
        <f>SUM(X4:X32)</f>
        <v>50.750000000000014</v>
      </c>
      <c r="Y1" s="269"/>
      <c r="AG1" s="43"/>
      <c r="AI1" s="416">
        <f>SUM(AI4:AI32)*252</f>
        <v>-15.891355915912214</v>
      </c>
      <c r="AJ1" s="416"/>
      <c r="AK1" s="363" t="s">
        <v>1904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2139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1845</v>
      </c>
      <c r="BB3" s="10" t="s">
        <v>1848</v>
      </c>
      <c r="BC3" s="10" t="s">
        <v>1849</v>
      </c>
      <c r="BD3" s="10" t="s">
        <v>1850</v>
      </c>
    </row>
    <row r="4" spans="1:56" s="59" customFormat="1">
      <c r="A4" s="335"/>
      <c r="B4" s="73" t="s">
        <v>2267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30</v>
      </c>
      <c r="G4" s="73" t="str" cm="1">
        <f t="array" ref="G4">_xll.BDP(B4&amp;" Equity","QUOTED_CURRENCY_REALTIME")</f>
        <v>USD</v>
      </c>
      <c r="H4" s="42">
        <v>1500</v>
      </c>
      <c r="I4" s="409">
        <v>0.54</v>
      </c>
      <c r="J4" s="415">
        <f>VLOOKUP(B4,Precificação!$B:$O,14,FALSE)</f>
        <v>0.2747266034293287</v>
      </c>
      <c r="K4" s="74">
        <f t="shared" ref="K4" si="0">+J4</f>
        <v>0.2747266034293287</v>
      </c>
      <c r="L4" s="74" cm="1">
        <f t="array" ref="L4">_xll.BDP($B4&amp;" Equity","mid")</f>
        <v>0.3</v>
      </c>
      <c r="M4" s="75">
        <f t="shared" ref="M4:M31" si="1">L4/Z4</f>
        <v>8.8941595019270681E-3</v>
      </c>
      <c r="N4" s="352"/>
      <c r="O4" s="75">
        <f t="shared" ref="O4:O31" si="2">L4/K4-1</f>
        <v>9.1994718586373425E-2</v>
      </c>
      <c r="P4" s="74" cm="1">
        <f t="array" ref="P4">_xll.BDP($B4&amp;" Equity","bid")</f>
        <v>0.2</v>
      </c>
      <c r="Q4" s="74" cm="1">
        <f t="array" ref="Q4">_xll.BDP($B4&amp;" Equity","ask")</f>
        <v>0.4</v>
      </c>
      <c r="R4" s="76">
        <f t="shared" ref="R4:R31" si="3">(Q4/P4-1)</f>
        <v>1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31" si="4">(L4/S4)*H4*T4</f>
        <v>45000</v>
      </c>
      <c r="V4" s="113">
        <f>U4/'Master P&amp;L'!$AD$7*10000</f>
        <v>0.18780015895956334</v>
      </c>
      <c r="W4" s="113">
        <f>(Y4*H4*T4/S4)/'Master P&amp;L'!$AD$7*10000</f>
        <v>0.18780015895956334</v>
      </c>
      <c r="X4" s="118">
        <f t="shared" ref="X4:X31" si="5">IF(C4="Put",IF(Z4&lt;AA4,AA4-Z4,0),IF(Z4&gt;AA4,Z4-AA4,0))</f>
        <v>0</v>
      </c>
      <c r="Y4" s="272">
        <f t="shared" ref="Y4:Y31" si="6">L4-X4</f>
        <v>0.3</v>
      </c>
      <c r="Z4" s="77">
        <f>_xll.BDP(D4&amp;" Equity","LAST_PRICE")</f>
        <v>33.729999999999997</v>
      </c>
      <c r="AA4" s="77" cm="1">
        <f t="array" ref="AA4">_xll.BDP(B4&amp;" Equity","OPT_STRIKE_PX")</f>
        <v>35</v>
      </c>
      <c r="AB4" s="76">
        <f t="shared" ref="AB4:AB31" si="7">AA4/Z4-1</f>
        <v>3.7651941891491347E-2</v>
      </c>
      <c r="AC4" s="323" cm="1">
        <f t="array" ref="AC4">_xll.BDP($D4&amp;" Equity","volatility_10d")</f>
        <v>14.966263365466828</v>
      </c>
      <c r="AD4" s="77" cm="1">
        <f t="array" ref="AD4">_xll.BDP(B4&amp;" Equity","ivol_mid")</f>
        <v>18.38618</v>
      </c>
      <c r="AE4" s="77">
        <f t="shared" ref="AE4:AE31" si="8">AD4/AC4</f>
        <v>1.2285083825548795</v>
      </c>
      <c r="AF4" s="78" cm="1">
        <f t="array" ref="AF4">_xll.BDP(B4&amp;" Equity","DELTA_MID_RT")</f>
        <v>0.27449968457221985</v>
      </c>
      <c r="AG4" s="75">
        <f>AL4/'Master P&amp;L'!$AE$7</f>
        <v>5.7960602557041491E-4</v>
      </c>
      <c r="AH4" s="75">
        <f>AM4/'Master P&amp;L'!$AE$7</f>
        <v>2.111499787235357E-3</v>
      </c>
      <c r="AI4" s="436">
        <f>AO4/'Master P&amp;L'!$AD$7*10000</f>
        <v>-6.3063071048498351E-3</v>
      </c>
      <c r="AJ4" s="350">
        <f t="shared" ref="AJ4:AJ31" si="9">(252*AI4)/$AI$1</f>
        <v>0.10000338541476395</v>
      </c>
      <c r="AK4" s="78">
        <f>AP4/'Master P&amp;L'!$AD$7*10000</f>
        <v>1.5821159644733837E-2</v>
      </c>
      <c r="AL4" s="42">
        <f t="shared" ref="AL4:AL31" si="10">Z4*AF4*H4*T4/S4</f>
        <v>1388831.1540931463</v>
      </c>
      <c r="AM4" s="42">
        <f t="shared" ref="AM4:AM31" si="11">IF(C4="Put",-Z4*H4*T4/S4,Z4*H4*T4/S4)</f>
        <v>5059499.9999999991</v>
      </c>
      <c r="AN4" s="78" cm="1">
        <f t="array" ref="AN4">_xll.BDP($B4&amp;" Equity","theta_mid_rt")</f>
        <v>-1.0073964484035969E-2</v>
      </c>
      <c r="AO4" s="42">
        <f t="shared" ref="AO4:AO31" si="12">AN4*H4*T4/S4</f>
        <v>-1511.0946726053953</v>
      </c>
      <c r="AP4" s="42">
        <f t="shared" ref="AP4:AP31" si="13">(L4-K4)*T4/S4*H4</f>
        <v>3791.0094856006936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6.3420000000000004E-2</v>
      </c>
      <c r="AS4" s="73">
        <f t="shared" ref="AS4:AS32" si="14">$Z4*($AR4*$Z4*$AS$3)*$H4*$T4/$S4</f>
        <v>108230.62817699998</v>
      </c>
      <c r="AT4" s="73">
        <f t="shared" ref="AT4:AT32" si="15">$Z4*($AR4*$Z4*$AT$3)*$H4*$T4/$S4</f>
        <v>541153.14088499988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0.3</v>
      </c>
      <c r="AZ4" s="354"/>
      <c r="BA4" s="42">
        <f t="shared" ref="BA4:BA31" si="16">+AY4</f>
        <v>0.3</v>
      </c>
      <c r="BB4" s="346">
        <f t="shared" ref="BB4:BB31" si="17">+J4</f>
        <v>0.2747266034293287</v>
      </c>
      <c r="BC4" s="346">
        <f t="shared" ref="BC4:BC31" si="18">(BB4-BA4)*H4*100</f>
        <v>-3791.0094856006936</v>
      </c>
      <c r="BD4" s="346">
        <f>BC4/'Master P&amp;L'!$AD$7*10000</f>
        <v>-1.5821159644733837E-2</v>
      </c>
    </row>
    <row r="5" spans="1:56" s="59" customFormat="1">
      <c r="A5" s="425" t="s">
        <v>1770</v>
      </c>
      <c r="B5" s="59" t="s">
        <v>2267</v>
      </c>
      <c r="C5" s="59" t="str" cm="1">
        <f t="array" ref="C5">_xll.BDP($B5&amp;" Equity","opt_put_call")</f>
        <v>Call</v>
      </c>
      <c r="D5" s="59" t="str" cm="1">
        <f t="array" ref="D5">_xll.BDP(B5&amp;" Equity","OPT_UNDL_TICKER")</f>
        <v>ASHR US</v>
      </c>
      <c r="E5" s="59" t="str" cm="1">
        <f t="array" ref="E5">_xll.BDP($B5&amp;" Equity","mifid_Maturity_date")</f>
        <v>20/02/2026</v>
      </c>
      <c r="F5" s="59" cm="1">
        <f t="array" ref="F5">_xll.BDP($B5&amp;" Equity","opt_days_expire")</f>
        <v>30</v>
      </c>
      <c r="G5" s="59" t="str" cm="1">
        <f t="array" ref="G5">_xll.BDP(B5&amp;" Equity","QUOTED_CURRENCY_REALTIME")</f>
        <v>USD</v>
      </c>
      <c r="H5" s="404">
        <v>500</v>
      </c>
      <c r="I5" s="411"/>
      <c r="J5" s="14"/>
      <c r="K5" s="14">
        <v>0.3</v>
      </c>
      <c r="L5" s="14" cm="1">
        <f t="array" ref="L5">_xll.BDP($B5&amp;" Equity","mid")</f>
        <v>0.3</v>
      </c>
      <c r="M5" s="128">
        <f t="shared" ref="M5" si="19">L5/Z5</f>
        <v>8.8941595019270681E-3</v>
      </c>
      <c r="N5" s="426"/>
      <c r="O5" s="128">
        <f t="shared" ref="O5" si="20">L5/K5-1</f>
        <v>0</v>
      </c>
      <c r="P5" s="14" cm="1">
        <f t="array" ref="P5">_xll.BDP($B5&amp;" Equity","bid")</f>
        <v>0.2</v>
      </c>
      <c r="Q5" s="14" cm="1">
        <f t="array" ref="Q5">_xll.BDP($B5&amp;" Equity","ask")</f>
        <v>0.4</v>
      </c>
      <c r="R5" s="424">
        <f t="shared" ref="R5" si="21">(Q5/P5-1)</f>
        <v>1</v>
      </c>
      <c r="S5" s="14" cm="1">
        <f t="array" ref="S5">_xll.BDP(G5&amp;" Curncy","PX_LAST")</f>
        <v>1</v>
      </c>
      <c r="T5" s="404" cm="1">
        <f t="array" ref="T5">_xll.BDP(B5&amp;" Equity","OPT_MULTIPLIER")</f>
        <v>100</v>
      </c>
      <c r="U5" s="404">
        <f t="shared" ref="U5" si="22">(L5/S5)*H5*T5</f>
        <v>15000</v>
      </c>
      <c r="V5" s="427">
        <f>U5/'Master P&amp;L'!$AD$7*10000</f>
        <v>6.2600052986521118E-2</v>
      </c>
      <c r="W5" s="427">
        <f>(Y5*H5*T5/S5)/'Master P&amp;L'!$AD$7*10000</f>
        <v>6.2600052986521118E-2</v>
      </c>
      <c r="X5" s="428">
        <f t="shared" ref="X5" si="23">IF(C5="Put",IF(Z5&lt;AA5,AA5-Z5,0),IF(Z5&gt;AA5,Z5-AA5,0))</f>
        <v>0</v>
      </c>
      <c r="Y5" s="429">
        <f t="shared" ref="Y5" si="24">L5-X5</f>
        <v>0.3</v>
      </c>
      <c r="Z5" s="430">
        <f>_xll.BDP(D5&amp;" Equity","LAST_PRICE")</f>
        <v>33.729999999999997</v>
      </c>
      <c r="AA5" s="430" cm="1">
        <f t="array" ref="AA5">_xll.BDP(B5&amp;" Equity","OPT_STRIKE_PX")</f>
        <v>35</v>
      </c>
      <c r="AB5" s="424">
        <f t="shared" ref="AB5" si="25">AA5/Z5-1</f>
        <v>3.7651941891491347E-2</v>
      </c>
      <c r="AC5" s="431" cm="1">
        <f t="array" ref="AC5">_xll.BDP($D5&amp;" Equity","volatility_10d")</f>
        <v>14.966263365466828</v>
      </c>
      <c r="AD5" s="430" cm="1">
        <f t="array" ref="AD5">_xll.BDP(B5&amp;" Equity","ivol_mid")</f>
        <v>18.38618</v>
      </c>
      <c r="AE5" s="430">
        <f t="shared" ref="AE5" si="26">AD5/AC5</f>
        <v>1.2285083825548795</v>
      </c>
      <c r="AF5" s="432" cm="1">
        <f t="array" ref="AF5">_xll.BDP(B5&amp;" Equity","DELTA_MID_RT")</f>
        <v>0.27449968457221985</v>
      </c>
      <c r="AG5" s="128">
        <f>AL5/'Master P&amp;L'!$AE$7</f>
        <v>1.9320200852347163E-4</v>
      </c>
      <c r="AH5" s="128">
        <f>AM5/'Master P&amp;L'!$AE$7</f>
        <v>7.0383326241178572E-4</v>
      </c>
      <c r="AI5" s="441">
        <f>AO5/'Master P&amp;L'!$AD$7*10000</f>
        <v>-2.1021023682832782E-3</v>
      </c>
      <c r="AJ5" s="426">
        <f t="shared" ref="AJ5" si="27">(252*AI5)/$AI$1</f>
        <v>3.3334461804921313E-2</v>
      </c>
      <c r="AK5" s="432">
        <f>AP5/'Master P&amp;L'!$AD$7*10000</f>
        <v>0</v>
      </c>
      <c r="AL5" s="404">
        <f t="shared" ref="AL5" si="28">Z5*AF5*H5*T5/S5</f>
        <v>462943.71803104877</v>
      </c>
      <c r="AM5" s="404">
        <f t="shared" ref="AM5" si="29">IF(C5="Put",-Z5*H5*T5/S5,Z5*H5*T5/S5)</f>
        <v>1686500</v>
      </c>
      <c r="AN5" s="432" cm="1">
        <f t="array" ref="AN5">_xll.BDP($B5&amp;" Equity","theta_mid_rt")</f>
        <v>-1.0073964484035969E-2</v>
      </c>
      <c r="AO5" s="404">
        <f t="shared" ref="AO5" si="30">AN5*H5*T5/S5</f>
        <v>-503.69822420179844</v>
      </c>
      <c r="AP5" s="404">
        <f t="shared" ref="AP5" si="31">(L5-K5)*T5/S5*H5</f>
        <v>0</v>
      </c>
      <c r="AQ5" s="14" t="str" cm="1">
        <f t="array" ref="AQ5">_xll.BDP($D5&amp;" Equity","EXPECTED_REPORT_DT")</f>
        <v>#N/A N/A</v>
      </c>
      <c r="AR5" s="114" cm="1">
        <f t="array" ref="AR5">_xll.BDP($B5&amp;" Equity","GAMMA_LAST")</f>
        <v>6.3420000000000004E-2</v>
      </c>
      <c r="AS5" s="59">
        <f t="shared" si="14"/>
        <v>36076.876058999987</v>
      </c>
      <c r="AT5" s="59">
        <f t="shared" si="15"/>
        <v>180384.38029499995</v>
      </c>
      <c r="AU5" s="59" t="s">
        <v>151</v>
      </c>
      <c r="AV5" s="337" t="e" cm="1">
        <f t="array" ref="AV5">_xll.BDP($D5&amp;" Equity","EST_PE_NXT_YR")*(AA5/Z5)</f>
        <v>#VALUE!</v>
      </c>
      <c r="AX5" s="404"/>
      <c r="AY5" s="404">
        <v>0.3</v>
      </c>
      <c r="AZ5" s="433"/>
      <c r="BA5" s="404">
        <f t="shared" ref="BA5" si="32">+AY5</f>
        <v>0.3</v>
      </c>
      <c r="BB5" s="434">
        <f t="shared" ref="BB5" si="33">+J5</f>
        <v>0</v>
      </c>
      <c r="BC5" s="434">
        <f t="shared" ref="BC5" si="34">(BB5-BA5)*H5*100</f>
        <v>-15000</v>
      </c>
      <c r="BD5" s="434">
        <f>BC5/'Master P&amp;L'!$AD$7*10000</f>
        <v>-6.2600052986521118E-2</v>
      </c>
    </row>
    <row r="6" spans="1:56">
      <c r="A6" s="356"/>
      <c r="B6" t="s">
        <v>2122</v>
      </c>
      <c r="C6" t="str" cm="1">
        <f t="array" ref="C6">_xll.BDP($B6&amp;" Equity","opt_put_call")</f>
        <v>Call</v>
      </c>
      <c r="D6" t="str" cm="1">
        <f t="array" ref="D6">_xll.BDP(B6&amp;" Equity","OPT_UNDL_TICKER")</f>
        <v>AVGO US</v>
      </c>
      <c r="E6" t="str" cm="1">
        <f t="array" ref="E6">_xll.BDP($B6&amp;" Equity","mifid_Maturity_date")</f>
        <v>18/06/2026</v>
      </c>
      <c r="F6" cm="1">
        <f t="array" ref="F6">_xll.BDP($B6&amp;" Equity","opt_days_expire")</f>
        <v>148</v>
      </c>
      <c r="G6" t="str" cm="1">
        <f t="array" ref="G6">_xll.BDP(B6&amp;" Equity","QUOTED_CURRENCY_REALTIME")</f>
        <v>USD</v>
      </c>
      <c r="H6" s="15">
        <v>-40</v>
      </c>
      <c r="I6" s="410">
        <v>23.39</v>
      </c>
      <c r="J6" s="415">
        <f>VLOOKUP(B6,Precificação!$B:$O,14,FALSE)</f>
        <v>19.674999999999997</v>
      </c>
      <c r="K6" s="74">
        <f t="shared" ref="K6:K32" si="35">+J6</f>
        <v>19.674999999999997</v>
      </c>
      <c r="L6" s="74" cm="1">
        <f t="array" ref="L6">_xll.BDP($B6&amp;" Equity","mid")</f>
        <v>17.43</v>
      </c>
      <c r="M6" s="19">
        <f t="shared" si="1"/>
        <v>5.301094890510949E-2</v>
      </c>
      <c r="N6" s="350"/>
      <c r="O6" s="19">
        <f t="shared" si="2"/>
        <v>-0.11410419313850051</v>
      </c>
      <c r="P6" s="36" cm="1">
        <f t="array" ref="P6">_xll.BDP($B6&amp;" Equity","bid")</f>
        <v>17.25</v>
      </c>
      <c r="Q6" s="36" cm="1">
        <f t="array" ref="Q6">_xll.BDP($B6&amp;" Equity","ask")</f>
        <v>17.600000000000001</v>
      </c>
      <c r="R6" s="40">
        <f t="shared" si="3"/>
        <v>2.0289855072463947E-2</v>
      </c>
      <c r="S6" s="36" cm="1">
        <f t="array" ref="S6">_xll.BDP(G6&amp;" Curncy","PX_LAST")</f>
        <v>1</v>
      </c>
      <c r="T6" s="15" cm="1">
        <f t="array" ref="T6">_xll.BDP(B6&amp;" Equity","OPT_MULTIPLIER")</f>
        <v>100</v>
      </c>
      <c r="U6" s="15">
        <f t="shared" si="4"/>
        <v>-69720</v>
      </c>
      <c r="V6" s="124">
        <f>U6/'Master P&amp;L'!$AD$7*10000</f>
        <v>-0.29096504628135017</v>
      </c>
      <c r="W6" s="124">
        <f>(Y6*H6*T6/S6)/'Master P&amp;L'!$AD$7*10000</f>
        <v>-0.29096504628135017</v>
      </c>
      <c r="X6" s="413">
        <f t="shared" si="5"/>
        <v>0</v>
      </c>
      <c r="Y6" s="273">
        <f t="shared" si="6"/>
        <v>17.43</v>
      </c>
      <c r="Z6" s="37">
        <f>_xll.BDP(D6&amp;" Equity","LAST_PRICE")</f>
        <v>328.8</v>
      </c>
      <c r="AA6" s="37" cm="1">
        <f t="array" ref="AA6">_xll.BDP(B6&amp;" Equity","OPT_STRIKE_PX")</f>
        <v>410</v>
      </c>
      <c r="AB6" s="40">
        <f t="shared" si="7"/>
        <v>0.24695863746958624</v>
      </c>
      <c r="AC6" s="324" cm="1">
        <f t="array" ref="AC6">_xll.BDP($D6&amp;" Equity","volatility_10d")</f>
        <v>52.28594574120401</v>
      </c>
      <c r="AD6" s="37" cm="1">
        <f t="array" ref="AD6">_xll.BDP(B6&amp;" Equity","ivol_mid")</f>
        <v>49.131450000000001</v>
      </c>
      <c r="AE6" s="37">
        <f t="shared" si="8"/>
        <v>0.9396683813119191</v>
      </c>
      <c r="AF6" s="38" cm="1">
        <f t="array" ref="AF6">_xll.BDP(B6&amp;" Equity","DELTA_MID_RT")</f>
        <v>0.30779892206192017</v>
      </c>
      <c r="AG6" s="19">
        <f>AL6/'Master P&amp;L'!$AE$7</f>
        <v>-1.6894383038380988E-4</v>
      </c>
      <c r="AH6" s="19">
        <f>AM6/'Master P&amp;L'!$AE$7</f>
        <v>-5.4887726458581715E-4</v>
      </c>
      <c r="AI6" s="435">
        <f>AO6/'Master P&amp;L'!$AD$7*10000</f>
        <v>2.006695472590293E-3</v>
      </c>
      <c r="AJ6" s="350">
        <f t="shared" si="9"/>
        <v>-3.1821530004648803E-2</v>
      </c>
      <c r="AK6" s="38">
        <f>AP6/'Master P&amp;L'!$AD$7*10000</f>
        <v>3.7476565054597261E-2</v>
      </c>
      <c r="AL6" s="15">
        <f t="shared" si="10"/>
        <v>-404817.1422958374</v>
      </c>
      <c r="AM6" s="15">
        <f t="shared" si="11"/>
        <v>-1315200</v>
      </c>
      <c r="AN6" s="38" cm="1">
        <f t="array" ref="AN6">_xll.BDP($B6&amp;" Equity","theta_mid_rt")</f>
        <v>-0.12020929157733917</v>
      </c>
      <c r="AO6" s="15">
        <f t="shared" si="12"/>
        <v>480.83716630935669</v>
      </c>
      <c r="AP6" s="15">
        <f t="shared" si="13"/>
        <v>8979.9999999999891</v>
      </c>
      <c r="AQ6" s="36" t="str" cm="1">
        <f t="array" ref="AQ6">_xll.BDP($D6&amp;" Equity","EXPECTED_REPORT_DT")</f>
        <v>06/03/2026</v>
      </c>
      <c r="AR6" s="66" cm="1">
        <f t="array" ref="AR6">_xll.BDP($B6&amp;" Equity","GAMMA_LAST")</f>
        <v>1.1018999999999999E-2</v>
      </c>
      <c r="AS6">
        <f t="shared" si="14"/>
        <v>-47650.316774400002</v>
      </c>
      <c r="AT6">
        <f t="shared" si="15"/>
        <v>-238251.58387200005</v>
      </c>
      <c r="AU6" t="s">
        <v>151</v>
      </c>
      <c r="AV6" s="277" cm="1">
        <f t="array" ref="AV6">_xll.BDP($D6&amp;" Equity","EST_PE_NXT_YR")*(AA6/Z6)</f>
        <v>29.354120996610789</v>
      </c>
      <c r="AX6" s="15"/>
      <c r="AY6" s="15">
        <v>17.23</v>
      </c>
      <c r="AZ6" s="355"/>
      <c r="BA6" s="15">
        <f t="shared" si="16"/>
        <v>17.23</v>
      </c>
      <c r="BB6" s="414">
        <f t="shared" si="17"/>
        <v>19.674999999999997</v>
      </c>
      <c r="BC6" s="414">
        <f t="shared" si="18"/>
        <v>-9779.9999999999873</v>
      </c>
      <c r="BD6" s="414">
        <f>BC6/'Master P&amp;L'!$AD$7*10000</f>
        <v>-4.0815234547211719E-2</v>
      </c>
    </row>
    <row r="7" spans="1:56" s="59" customFormat="1">
      <c r="A7" s="425" t="s">
        <v>1770</v>
      </c>
      <c r="B7" s="59" t="s">
        <v>2122</v>
      </c>
      <c r="C7" s="59" t="str" cm="1">
        <f t="array" ref="C7">_xll.BDP($B7&amp;" Equity","opt_put_call")</f>
        <v>Call</v>
      </c>
      <c r="D7" s="59" t="str" cm="1">
        <f t="array" ref="D7">_xll.BDP(B7&amp;" Equity","OPT_UNDL_TICKER")</f>
        <v>AVGO US</v>
      </c>
      <c r="E7" s="59" t="str" cm="1">
        <f t="array" ref="E7">_xll.BDP($B7&amp;" Equity","mifid_Maturity_date")</f>
        <v>18/06/2026</v>
      </c>
      <c r="F7" s="59" cm="1">
        <f t="array" ref="F7">_xll.BDP($B7&amp;" Equity","opt_days_expire")</f>
        <v>148</v>
      </c>
      <c r="G7" s="59" t="str" cm="1">
        <f t="array" ref="G7">_xll.BDP(B7&amp;" Equity","QUOTED_CURRENCY_REALTIME")</f>
        <v>USD</v>
      </c>
      <c r="H7" s="404">
        <v>15</v>
      </c>
      <c r="I7" s="411"/>
      <c r="J7" s="14"/>
      <c r="K7" s="14">
        <v>17.3</v>
      </c>
      <c r="L7" s="14" cm="1">
        <f t="array" ref="L7">_xll.BDP($B7&amp;" Equity","mid")</f>
        <v>17.43</v>
      </c>
      <c r="M7" s="128">
        <f t="shared" ref="M7" si="36">L7/Z7</f>
        <v>5.301094890510949E-2</v>
      </c>
      <c r="N7" s="426"/>
      <c r="O7" s="128">
        <f t="shared" ref="O7" si="37">L7/K7-1</f>
        <v>7.5144508670519361E-3</v>
      </c>
      <c r="P7" s="14" cm="1">
        <f t="array" ref="P7">_xll.BDP($B7&amp;" Equity","bid")</f>
        <v>17.25</v>
      </c>
      <c r="Q7" s="14" cm="1">
        <f t="array" ref="Q7">_xll.BDP($B7&amp;" Equity","ask")</f>
        <v>17.600000000000001</v>
      </c>
      <c r="R7" s="424">
        <f t="shared" ref="R7" si="38">(Q7/P7-1)</f>
        <v>2.0289855072463947E-2</v>
      </c>
      <c r="S7" s="14" cm="1">
        <f t="array" ref="S7">_xll.BDP(G7&amp;" Curncy","PX_LAST")</f>
        <v>1</v>
      </c>
      <c r="T7" s="404" cm="1">
        <f t="array" ref="T7">_xll.BDP(B7&amp;" Equity","OPT_MULTIPLIER")</f>
        <v>100</v>
      </c>
      <c r="U7" s="404">
        <f t="shared" ref="U7" si="39">(L7/S7)*H7*T7</f>
        <v>26145</v>
      </c>
      <c r="V7" s="427">
        <f>U7/'Master P&amp;L'!$AD$7*10000</f>
        <v>0.10911189235550629</v>
      </c>
      <c r="W7" s="427">
        <f>(Y7*H7*T7/S7)/'Master P&amp;L'!$AD$7*10000</f>
        <v>0.10911189235550629</v>
      </c>
      <c r="X7" s="428">
        <f t="shared" ref="X7" si="40">IF(C7="Put",IF(Z7&lt;AA7,AA7-Z7,0),IF(Z7&gt;AA7,Z7-AA7,0))</f>
        <v>0</v>
      </c>
      <c r="Y7" s="429">
        <f t="shared" ref="Y7" si="41">L7-X7</f>
        <v>17.43</v>
      </c>
      <c r="Z7" s="430">
        <f>_xll.BDP(D7&amp;" Equity","LAST_PRICE")</f>
        <v>328.8</v>
      </c>
      <c r="AA7" s="430" cm="1">
        <f t="array" ref="AA7">_xll.BDP(B7&amp;" Equity","OPT_STRIKE_PX")</f>
        <v>410</v>
      </c>
      <c r="AB7" s="424">
        <f t="shared" ref="AB7" si="42">AA7/Z7-1</f>
        <v>0.24695863746958624</v>
      </c>
      <c r="AC7" s="431" cm="1">
        <f t="array" ref="AC7">_xll.BDP($D7&amp;" Equity","volatility_10d")</f>
        <v>52.28594574120401</v>
      </c>
      <c r="AD7" s="430" cm="1">
        <f t="array" ref="AD7">_xll.BDP(B7&amp;" Equity","ivol_mid")</f>
        <v>49.131450000000001</v>
      </c>
      <c r="AE7" s="430">
        <f t="shared" ref="AE7" si="43">AD7/AC7</f>
        <v>0.9396683813119191</v>
      </c>
      <c r="AF7" s="432" cm="1">
        <f t="array" ref="AF7">_xll.BDP(B7&amp;" Equity","DELTA_MID_RT")</f>
        <v>0.30779892206192017</v>
      </c>
      <c r="AG7" s="128">
        <f>AL7/'Master P&amp;L'!$AE$7</f>
        <v>6.3353936393928693E-5</v>
      </c>
      <c r="AH7" s="128">
        <f>AM7/'Master P&amp;L'!$AE$7</f>
        <v>2.0582897421968143E-4</v>
      </c>
      <c r="AI7" s="441">
        <f>AO7/'Master P&amp;L'!$AD$7*10000</f>
        <v>-7.5251080222135983E-4</v>
      </c>
      <c r="AJ7" s="426">
        <f t="shared" ref="AJ7" si="44">(252*AI7)/$AI$1</f>
        <v>1.1933073751743302E-2</v>
      </c>
      <c r="AK7" s="432">
        <f>AP7/'Master P&amp;L'!$AD$7*10000</f>
        <v>8.1380068882476832E-4</v>
      </c>
      <c r="AL7" s="404">
        <f t="shared" ref="AL7" si="45">Z7*AF7*H7*T7/S7</f>
        <v>151806.42836093903</v>
      </c>
      <c r="AM7" s="404">
        <f t="shared" ref="AM7" si="46">IF(C7="Put",-Z7*H7*T7/S7,Z7*H7*T7/S7)</f>
        <v>493200</v>
      </c>
      <c r="AN7" s="432" cm="1">
        <f t="array" ref="AN7">_xll.BDP($B7&amp;" Equity","theta_mid_rt")</f>
        <v>-0.12020929157733917</v>
      </c>
      <c r="AO7" s="404">
        <f t="shared" ref="AO7" si="47">AN7*H7*T7/S7</f>
        <v>-180.31393736600876</v>
      </c>
      <c r="AP7" s="404">
        <f t="shared" ref="AP7" si="48">(L7-K7)*T7/S7*H7</f>
        <v>194.99999999999852</v>
      </c>
      <c r="AQ7" s="14" t="str" cm="1">
        <f t="array" ref="AQ7">_xll.BDP($D7&amp;" Equity","EXPECTED_REPORT_DT")</f>
        <v>06/03/2026</v>
      </c>
      <c r="AR7" s="114" cm="1">
        <f t="array" ref="AR7">_xll.BDP($B7&amp;" Equity","GAMMA_LAST")</f>
        <v>1.1018999999999999E-2</v>
      </c>
      <c r="AS7" s="59">
        <f t="shared" si="14"/>
        <v>17868.8687904</v>
      </c>
      <c r="AT7" s="59">
        <f t="shared" si="15"/>
        <v>89344.34395200001</v>
      </c>
      <c r="AU7" s="59" t="s">
        <v>151</v>
      </c>
      <c r="AV7" s="337" cm="1">
        <f t="array" ref="AV7">_xll.BDP($D7&amp;" Equity","EST_PE_NXT_YR")*(AA7/Z7)</f>
        <v>29.354120996610789</v>
      </c>
      <c r="AX7" s="404"/>
      <c r="AY7" s="404">
        <v>17.23</v>
      </c>
      <c r="AZ7" s="433"/>
      <c r="BA7" s="404">
        <f t="shared" ref="BA7" si="49">+AY7</f>
        <v>17.23</v>
      </c>
      <c r="BB7" s="434">
        <f t="shared" ref="BB7" si="50">+J7</f>
        <v>0</v>
      </c>
      <c r="BC7" s="434">
        <f t="shared" ref="BC7" si="51">(BB7-BA7)*H7*100</f>
        <v>-25845</v>
      </c>
      <c r="BD7" s="434">
        <f>BC7/'Master P&amp;L'!$AD$7*10000</f>
        <v>-0.10785989129577589</v>
      </c>
    </row>
    <row r="8" spans="1:56" s="59" customFormat="1">
      <c r="A8" s="335"/>
      <c r="B8" s="73" t="s">
        <v>2120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AVGO US</v>
      </c>
      <c r="E8" s="73" t="str" cm="1">
        <f t="array" ref="E8">_xll.BDP($B8&amp;" Equity","mifid_Maturity_date")</f>
        <v>18/06/2026</v>
      </c>
      <c r="F8" s="73" cm="1">
        <f t="array" ref="F8">_xll.BDP($B8&amp;" Equity","opt_days_expire")</f>
        <v>148</v>
      </c>
      <c r="G8" s="73" t="str" cm="1">
        <f t="array" ref="G8">_xll.BDP(B8&amp;" Equity","QUOTED_CURRENCY_REALTIME")</f>
        <v>USD</v>
      </c>
      <c r="H8" s="42">
        <v>50</v>
      </c>
      <c r="I8" s="409">
        <v>43.25</v>
      </c>
      <c r="J8" s="415">
        <f>VLOOKUP(B8,Precificação!$B:$O,14,FALSE)</f>
        <v>38.625</v>
      </c>
      <c r="K8" s="74">
        <f t="shared" si="35"/>
        <v>38.625</v>
      </c>
      <c r="L8" s="74" cm="1">
        <f t="array" ref="L8">_xll.BDP($B8&amp;" Equity","mid")</f>
        <v>35.020000000000003</v>
      </c>
      <c r="M8" s="75">
        <f t="shared" si="1"/>
        <v>0.10650851581508516</v>
      </c>
      <c r="N8" s="352"/>
      <c r="O8" s="75">
        <f t="shared" si="2"/>
        <v>-9.3333333333333268E-2</v>
      </c>
      <c r="P8" s="74" cm="1">
        <f t="array" ref="P8">_xll.BDP($B8&amp;" Equity","bid")</f>
        <v>34.799999999999997</v>
      </c>
      <c r="Q8" s="74" cm="1">
        <f t="array" ref="Q8">_xll.BDP($B8&amp;" Equity","ask")</f>
        <v>35.25</v>
      </c>
      <c r="R8" s="76">
        <f t="shared" si="3"/>
        <v>1.2931034482758674E-2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 t="shared" si="4"/>
        <v>175100.00000000003</v>
      </c>
      <c r="V8" s="113">
        <f>U8/'Master P&amp;L'!$AD$7*10000</f>
        <v>0.73075128519598986</v>
      </c>
      <c r="W8" s="113">
        <f>(Y8*H8*T8/S8)/'Master P&amp;L'!$AD$7*10000</f>
        <v>0.73075128519598986</v>
      </c>
      <c r="X8" s="118">
        <f t="shared" si="5"/>
        <v>0</v>
      </c>
      <c r="Y8" s="272">
        <f t="shared" si="6"/>
        <v>35.020000000000003</v>
      </c>
      <c r="Z8" s="77">
        <f>_xll.BDP(D8&amp;" Equity","LAST_PRICE")</f>
        <v>328.8</v>
      </c>
      <c r="AA8" s="77" cm="1">
        <f t="array" ref="AA8">_xll.BDP(B8&amp;" Equity","OPT_STRIKE_PX")</f>
        <v>350</v>
      </c>
      <c r="AB8" s="76">
        <f t="shared" si="7"/>
        <v>6.4476885644768833E-2</v>
      </c>
      <c r="AC8" s="323" cm="1">
        <f t="array" ref="AC8">_xll.BDP($D8&amp;" Equity","volatility_10d")</f>
        <v>52.28594574120401</v>
      </c>
      <c r="AD8" s="77" cm="1">
        <f t="array" ref="AD8">_xll.BDP(B8&amp;" Equity","ivol_mid")</f>
        <v>50.024520000000003</v>
      </c>
      <c r="AE8" s="77">
        <f t="shared" si="8"/>
        <v>0.95674887947141241</v>
      </c>
      <c r="AF8" s="78" cm="1">
        <f t="array" ref="AF8">_xll.BDP(B8&amp;" Equity","DELTA_MID_RT")</f>
        <v>0.50302809476852417</v>
      </c>
      <c r="AG8" s="75">
        <f>AL8/'Master P&amp;L'!$AE$7</f>
        <v>3.4512585583295344E-4</v>
      </c>
      <c r="AH8" s="75">
        <f>AM8/'Master P&amp;L'!$AE$7</f>
        <v>6.8609658073227138E-4</v>
      </c>
      <c r="AI8" s="436">
        <f>AO8/'Master P&amp;L'!$AD$7*10000</f>
        <v>-2.8582291209062103E-3</v>
      </c>
      <c r="AJ8" s="350">
        <f t="shared" si="9"/>
        <v>4.5324876132636728E-2</v>
      </c>
      <c r="AK8" s="78">
        <f>AP8/'Master P&amp;L'!$AD$7*10000</f>
        <v>-7.5224397005469471E-2</v>
      </c>
      <c r="AL8" s="42">
        <f t="shared" si="10"/>
        <v>826978.18779945374</v>
      </c>
      <c r="AM8" s="42">
        <f t="shared" si="11"/>
        <v>1644000</v>
      </c>
      <c r="AN8" s="78" cm="1">
        <f t="array" ref="AN8">_xll.BDP($B8&amp;" Equity","theta_mid_rt")</f>
        <v>-0.1369757205247879</v>
      </c>
      <c r="AO8" s="42">
        <f t="shared" si="12"/>
        <v>-684.87860262393951</v>
      </c>
      <c r="AP8" s="42">
        <f t="shared" si="13"/>
        <v>-18024.999999999982</v>
      </c>
      <c r="AQ8" s="74" t="str" cm="1">
        <f t="array" ref="AQ8">_xll.BDP($D8&amp;" Equity","EXPECTED_REPORT_DT")</f>
        <v>06/03/2026</v>
      </c>
      <c r="AR8" s="235" cm="1">
        <f t="array" ref="AR8">_xll.BDP($B8&amp;" Equity","GAMMA_LAST")</f>
        <v>1.2489999999999999E-2</v>
      </c>
      <c r="AS8" s="73">
        <f t="shared" si="14"/>
        <v>67514.345279999994</v>
      </c>
      <c r="AT8" s="73">
        <f t="shared" si="15"/>
        <v>337571.72639999999</v>
      </c>
      <c r="AU8" s="73" t="s">
        <v>151</v>
      </c>
      <c r="AV8" s="322" cm="1">
        <f t="array" ref="AV8">_xll.BDP($D8&amp;" Equity","EST_PE_NXT_YR")*(AA8/Z8)</f>
        <v>25.058395972716529</v>
      </c>
      <c r="AW8" s="73"/>
      <c r="AX8" s="42"/>
      <c r="AY8" s="42">
        <v>34.58</v>
      </c>
      <c r="AZ8" s="354"/>
      <c r="BA8" s="42">
        <f t="shared" si="16"/>
        <v>34.58</v>
      </c>
      <c r="BB8" s="346">
        <f t="shared" si="17"/>
        <v>38.625</v>
      </c>
      <c r="BC8" s="346">
        <f t="shared" si="18"/>
        <v>20225.000000000007</v>
      </c>
      <c r="BD8" s="346">
        <f>BC8/'Master P&amp;L'!$AD$7*10000</f>
        <v>8.4405738110159334E-2</v>
      </c>
    </row>
    <row r="9" spans="1:56" s="59" customFormat="1">
      <c r="A9" s="425" t="s">
        <v>1770</v>
      </c>
      <c r="B9" s="132" t="s">
        <v>2342</v>
      </c>
      <c r="C9" s="59" t="str" cm="1">
        <f t="array" ref="C9">_xll.BDP($B9&amp;" Equity","opt_put_call")</f>
        <v>Call</v>
      </c>
      <c r="D9" s="59" t="str" cm="1">
        <f t="array" ref="D9">_xll.BDP(B9&amp;" Equity","OPT_UNDL_TICKER")</f>
        <v>SNDK US</v>
      </c>
      <c r="E9" s="59" t="str" cm="1">
        <f t="array" ref="E9">_xll.BDP($B9&amp;" Equity","mifid_Maturity_date")</f>
        <v>20/02/2026</v>
      </c>
      <c r="F9" s="59" cm="1">
        <f t="array" ref="F9">_xll.BDP($B9&amp;" Equity","opt_days_expire")</f>
        <v>30</v>
      </c>
      <c r="G9" s="59" t="str" cm="1">
        <f t="array" ref="G9">_xll.BDP(B9&amp;" Equity","QUOTED_CURRENCY_REALTIME")</f>
        <v>USD</v>
      </c>
      <c r="H9" s="404">
        <v>10</v>
      </c>
      <c r="I9" s="411">
        <v>45.26</v>
      </c>
      <c r="J9" s="14"/>
      <c r="K9" s="14">
        <v>45.26</v>
      </c>
      <c r="L9" s="14" cm="1">
        <f t="array" ref="L9">_xll.BDP($B9&amp;" Equity","mid")</f>
        <v>65.75</v>
      </c>
      <c r="M9" s="128">
        <f t="shared" ref="M9" si="52">L9/Z9</f>
        <v>0.13116160306409463</v>
      </c>
      <c r="N9" s="426"/>
      <c r="O9" s="128">
        <f t="shared" ref="O9" si="53">L9/K9-1</f>
        <v>0.4527176314626602</v>
      </c>
      <c r="P9" s="14" cm="1">
        <f t="array" ref="P9">_xll.BDP($B9&amp;" Equity","bid")</f>
        <v>64.5</v>
      </c>
      <c r="Q9" s="14" cm="1">
        <f t="array" ref="Q9">_xll.BDP($B9&amp;" Equity","ask")</f>
        <v>67</v>
      </c>
      <c r="R9" s="424">
        <f t="shared" ref="R9" si="54">(Q9/P9-1)</f>
        <v>3.8759689922480689E-2</v>
      </c>
      <c r="S9" s="14" cm="1">
        <f t="array" ref="S9">_xll.BDP(G9&amp;" Curncy","PX_LAST")</f>
        <v>1</v>
      </c>
      <c r="T9" s="404" cm="1">
        <f t="array" ref="T9">_xll.BDP(B9&amp;" Equity","OPT_MULTIPLIER")</f>
        <v>100</v>
      </c>
      <c r="U9" s="404">
        <f t="shared" ref="U9" si="55">(L9/S9)*H9*T9</f>
        <v>65750</v>
      </c>
      <c r="V9" s="427">
        <f>U9/'Master P&amp;L'!$AD$7*10000</f>
        <v>0.2743968989242509</v>
      </c>
      <c r="W9" s="427">
        <f>(Y9*H9*T9/S9)/'Master P&amp;L'!$AD$7*10000</f>
        <v>0.26901329436741001</v>
      </c>
      <c r="X9" s="428">
        <f t="shared" ref="X9" si="56">IF(C9="Put",IF(Z9&lt;AA9,AA9-Z9,0),IF(Z9&gt;AA9,Z9-AA9,0))</f>
        <v>1.2900000000000205</v>
      </c>
      <c r="Y9" s="429">
        <f t="shared" ref="Y9" si="57">L9-X9</f>
        <v>64.45999999999998</v>
      </c>
      <c r="Z9" s="430">
        <f>_xll.BDP(D9&amp;" Equity","LAST_PRICE")</f>
        <v>501.29</v>
      </c>
      <c r="AA9" s="430" cm="1">
        <f t="array" ref="AA9">_xll.BDP(B9&amp;" Equity","OPT_STRIKE_PX")</f>
        <v>500</v>
      </c>
      <c r="AB9" s="424">
        <f t="shared" ref="AB9" si="58">AA9/Z9-1</f>
        <v>-2.5733607293183525E-3</v>
      </c>
      <c r="AC9" s="431" cm="1">
        <f t="array" ref="AC9">_xll.BDP($D9&amp;" Equity","volatility_10d")</f>
        <v>92.081589101424882</v>
      </c>
      <c r="AD9" s="430" cm="1">
        <f t="array" ref="AD9">_xll.BDP(B9&amp;" Equity","ivol_mid")</f>
        <v>113.5146</v>
      </c>
      <c r="AE9" s="430">
        <f t="shared" ref="AE9" si="59">AD9/AC9</f>
        <v>1.2327610883753033</v>
      </c>
      <c r="AF9" s="432" cm="1">
        <f t="array" ref="AF9">_xll.BDP(B9&amp;" Equity","DELTA_MID_RT")</f>
        <v>0.57013523578643799</v>
      </c>
      <c r="AG9" s="128">
        <f>AL9/'Master P&amp;L'!$AE$7</f>
        <v>1.1927525816438529E-4</v>
      </c>
      <c r="AH9" s="128">
        <f>AM9/'Master P&amp;L'!$AE$7</f>
        <v>2.0920520374408783E-4</v>
      </c>
      <c r="AI9" s="441">
        <f>AO9/'Master P&amp;L'!$AD$7*10000</f>
        <v>-4.3571314689181909E-3</v>
      </c>
      <c r="AJ9" s="426">
        <f t="shared" ref="AJ9" si="60">(252*AI9)/$AI$1</f>
        <v>6.909398644000829E-2</v>
      </c>
      <c r="AK9" s="432">
        <f>AP9/'Master P&amp;L'!$AD$7*10000</f>
        <v>8.551167237958783E-2</v>
      </c>
      <c r="AL9" s="404">
        <f t="shared" ref="AL9" si="61">Z9*AF9*H9*T9/S9</f>
        <v>285803.0923473835</v>
      </c>
      <c r="AM9" s="404">
        <f t="shared" ref="AM9" si="62">IF(C9="Put",-Z9*H9*T9/S9,Z9*H9*T9/S9)</f>
        <v>501290.00000000006</v>
      </c>
      <c r="AN9" s="432" cm="1">
        <f t="array" ref="AN9">_xll.BDP($B9&amp;" Equity","theta_mid_rt")</f>
        <v>-1.0440402030944824</v>
      </c>
      <c r="AO9" s="404">
        <f t="shared" ref="AO9" si="63">AN9*H9*T9/S9</f>
        <v>-1044.0402030944824</v>
      </c>
      <c r="AP9" s="404">
        <f t="shared" ref="AP9" si="64">(L9-K9)*T9/S9*H9</f>
        <v>20490</v>
      </c>
      <c r="AQ9" s="14" t="str" cm="1">
        <f t="array" ref="AQ9">_xll.BDP($D9&amp;" Equity","EXPECTED_REPORT_DT")</f>
        <v>29/01/2026</v>
      </c>
      <c r="AR9" s="114" cm="1">
        <f t="array" ref="AR9">_xll.BDP($B9&amp;" Equity","GAMMA_LAST")</f>
        <v>1.2075000000000001E-2</v>
      </c>
      <c r="AS9" s="59">
        <f t="shared" si="14"/>
        <v>30343.468440075005</v>
      </c>
      <c r="AT9" s="59">
        <f t="shared" si="15"/>
        <v>151717.34220037505</v>
      </c>
      <c r="AU9" s="59" t="s">
        <v>151</v>
      </c>
      <c r="AV9" s="337" cm="1">
        <f t="array" ref="AV9">_xll.BDP($D9&amp;" Equity","EST_PE_NXT_YR")*(AA9/Z9)</f>
        <v>17.884569757358463</v>
      </c>
      <c r="AX9" s="404"/>
      <c r="AY9" s="404">
        <v>65.7</v>
      </c>
      <c r="AZ9" s="433"/>
      <c r="BA9" s="404">
        <f t="shared" ref="BA9" si="65">+AY9</f>
        <v>65.7</v>
      </c>
      <c r="BB9" s="434">
        <f t="shared" ref="BB9" si="66">+J9</f>
        <v>0</v>
      </c>
      <c r="BC9" s="434">
        <f t="shared" ref="BC9" si="67">(BB9-BA9)*H9*100</f>
        <v>-65700</v>
      </c>
      <c r="BD9" s="434">
        <f>BC9/'Master P&amp;L'!$AD$7*10000</f>
        <v>-0.27418823208096249</v>
      </c>
    </row>
    <row r="10" spans="1:56">
      <c r="A10" s="569"/>
      <c r="B10" t="s">
        <v>2084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LITE US</v>
      </c>
      <c r="E10" t="str" cm="1">
        <f t="array" ref="E10">_xll.BDP($B10&amp;" Equity","mifid_Maturity_date")</f>
        <v>20/02/2026</v>
      </c>
      <c r="F10" cm="1">
        <f t="array" ref="F10">_xll.BDP($B10&amp;" Equity","opt_days_expire")</f>
        <v>30</v>
      </c>
      <c r="G10" t="str" cm="1">
        <f t="array" ref="G10">_xll.BDP(B10&amp;" Equity","QUOTED_CURRENCY_REALTIME")</f>
        <v>USD</v>
      </c>
      <c r="H10" s="15">
        <v>90</v>
      </c>
      <c r="I10" s="410">
        <v>38.049999999999997</v>
      </c>
      <c r="J10" s="415">
        <f>VLOOKUP(B10,Precificação!$B:$O,14,FALSE)</f>
        <v>31.1</v>
      </c>
      <c r="K10" s="74">
        <f t="shared" si="35"/>
        <v>31.1</v>
      </c>
      <c r="L10" s="74" cm="1">
        <f t="array" ref="L10">_xll.BDP($B10&amp;" Equity","mid")</f>
        <v>33.700000000000003</v>
      </c>
      <c r="M10" s="19">
        <f t="shared" si="1"/>
        <v>9.298090718463746E-2</v>
      </c>
      <c r="N10" s="350"/>
      <c r="O10" s="19">
        <f t="shared" si="2"/>
        <v>8.3601286173633493E-2</v>
      </c>
      <c r="P10" s="36" cm="1">
        <f t="array" ref="P10">_xll.BDP($B10&amp;" Equity","bid")</f>
        <v>32.1</v>
      </c>
      <c r="Q10" s="36" cm="1">
        <f t="array" ref="Q10">_xll.BDP($B10&amp;" Equity","ask")</f>
        <v>35.299999999999997</v>
      </c>
      <c r="R10" s="40">
        <f t="shared" si="3"/>
        <v>9.968847352024901E-2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303300.00000000006</v>
      </c>
      <c r="V10" s="124">
        <f>U10/'Master P&amp;L'!$AD$7*10000</f>
        <v>1.2657730713874573</v>
      </c>
      <c r="W10" s="124">
        <f>(Y10*H10*T10/S10)/'Master P&amp;L'!$AD$7*10000</f>
        <v>1.2657730713874573</v>
      </c>
      <c r="X10" s="413">
        <f t="shared" si="5"/>
        <v>0</v>
      </c>
      <c r="Y10" s="273">
        <f t="shared" si="6"/>
        <v>33.700000000000003</v>
      </c>
      <c r="Z10" s="37">
        <f>_xll.BDP(D10&amp;" Equity","LAST_PRICE")</f>
        <v>362.44</v>
      </c>
      <c r="AA10" s="37" cm="1">
        <f t="array" ref="AA10">_xll.BDP(B10&amp;" Equity","OPT_STRIKE_PX")</f>
        <v>400</v>
      </c>
      <c r="AB10" s="40">
        <f t="shared" si="7"/>
        <v>0.10363094581172061</v>
      </c>
      <c r="AC10" s="324" cm="1">
        <f t="array" ref="AC10">_xll.BDP($D10&amp;" Equity","volatility_10d")</f>
        <v>115.30186308498745</v>
      </c>
      <c r="AD10" s="37" cm="1">
        <f t="array" ref="AD10">_xll.BDP(B10&amp;" Equity","ivol_mid")</f>
        <v>112.86239999999999</v>
      </c>
      <c r="AE10" s="37">
        <f t="shared" si="8"/>
        <v>0.97884281294579467</v>
      </c>
      <c r="AF10" s="38" cm="1">
        <f t="array" ref="AF10">_xll.BDP(B10&amp;" Equity","DELTA_MID_RT")</f>
        <v>0.45134934782981873</v>
      </c>
      <c r="AG10" s="48">
        <f>AL10/'Master P&amp;L'!$AE$7</f>
        <v>6.1443350852320776E-4</v>
      </c>
      <c r="AH10" s="19">
        <f>AM10/'Master P&amp;L'!$AE$7</f>
        <v>1.3613257922660829E-3</v>
      </c>
      <c r="AI10" s="435">
        <f>AO10/'Master P&amp;L'!$AD$7*10000</f>
        <v>-2.9001863623116596E-2</v>
      </c>
      <c r="AJ10" s="350">
        <f t="shared" si="9"/>
        <v>0.45990220543152771</v>
      </c>
      <c r="AK10" s="38">
        <f>AP10/'Master P&amp;L'!$AD$7*10000</f>
        <v>9.7656082658972979E-2</v>
      </c>
      <c r="AL10" s="15">
        <f t="shared" si="10"/>
        <v>1472283.5186469555</v>
      </c>
      <c r="AM10" s="15">
        <f t="shared" si="11"/>
        <v>3261960</v>
      </c>
      <c r="AN10" s="38" cm="1">
        <f t="array" ref="AN10">_xll.BDP($B10&amp;" Equity","theta_mid_rt")</f>
        <v>-0.77214694023132324</v>
      </c>
      <c r="AO10" s="15">
        <f t="shared" si="12"/>
        <v>-6949.3224620819092</v>
      </c>
      <c r="AP10" s="15">
        <f t="shared" si="13"/>
        <v>23400.000000000011</v>
      </c>
      <c r="AQ10" s="36" t="str" cm="1">
        <f t="array" ref="AQ10">_xll.BDP($D10&amp;" Equity","EXPECTED_REPORT_DT")</f>
        <v>03/02/2026</v>
      </c>
      <c r="AR10" s="66" cm="1">
        <f t="array" ref="AR10">_xll.BDP($B10&amp;" Equity","GAMMA_LAST")</f>
        <v>1.1726E-2</v>
      </c>
      <c r="AS10">
        <f t="shared" si="14"/>
        <v>138632.36838422404</v>
      </c>
      <c r="AT10">
        <f t="shared" si="15"/>
        <v>693161.84192112018</v>
      </c>
      <c r="AU10" t="s">
        <v>151</v>
      </c>
      <c r="AV10" s="277" cm="1">
        <f t="array" ref="AV10">_xll.BDP($D10&amp;" Equity","EST_PE_NXT_YR")*(AA10/Z10)</f>
        <v>45.73418613898837</v>
      </c>
      <c r="AX10" s="15"/>
      <c r="AY10" s="15">
        <v>33.700000000000003</v>
      </c>
      <c r="AZ10" s="355"/>
      <c r="BA10" s="15">
        <f t="shared" si="16"/>
        <v>33.700000000000003</v>
      </c>
      <c r="BB10" s="414">
        <f t="shared" si="17"/>
        <v>31.1</v>
      </c>
      <c r="BC10" s="414">
        <f t="shared" si="18"/>
        <v>-23400.000000000011</v>
      </c>
      <c r="BD10" s="414">
        <f>BC10/'Master P&amp;L'!$AD$7*10000</f>
        <v>-9.7656082658972979E-2</v>
      </c>
    </row>
    <row r="11" spans="1:56" s="59" customFormat="1">
      <c r="A11" s="571" t="s">
        <v>1770</v>
      </c>
      <c r="B11" s="59" t="s">
        <v>2084</v>
      </c>
      <c r="C11" s="59" t="str" cm="1">
        <f t="array" ref="C11">_xll.BDP($B11&amp;" Equity","opt_put_call")</f>
        <v>Call</v>
      </c>
      <c r="D11" s="59" t="str" cm="1">
        <f t="array" ref="D11">_xll.BDP(B11&amp;" Equity","OPT_UNDL_TICKER")</f>
        <v>LITE US</v>
      </c>
      <c r="E11" s="59" t="str" cm="1">
        <f t="array" ref="E11">_xll.BDP($B11&amp;" Equity","mifid_Maturity_date")</f>
        <v>20/02/2026</v>
      </c>
      <c r="F11" s="59" cm="1">
        <f t="array" ref="F11">_xll.BDP($B11&amp;" Equity","opt_days_expire")</f>
        <v>30</v>
      </c>
      <c r="G11" s="59" t="str" cm="1">
        <f t="array" ref="G11">_xll.BDP(B11&amp;" Equity","QUOTED_CURRENCY_REALTIME")</f>
        <v>USD</v>
      </c>
      <c r="H11" s="404">
        <v>-30</v>
      </c>
      <c r="I11" s="411"/>
      <c r="J11" s="14"/>
      <c r="K11" s="14">
        <v>33.08</v>
      </c>
      <c r="L11" s="14" cm="1">
        <f t="array" ref="L11">_xll.BDP($B11&amp;" Equity","mid")</f>
        <v>33.700000000000003</v>
      </c>
      <c r="M11" s="128">
        <f t="shared" ref="M11" si="68">L11/Z11</f>
        <v>9.298090718463746E-2</v>
      </c>
      <c r="N11" s="426"/>
      <c r="O11" s="128">
        <f t="shared" ref="O11" si="69">L11/K11-1</f>
        <v>1.8742442563482564E-2</v>
      </c>
      <c r="P11" s="14" cm="1">
        <f t="array" ref="P11">_xll.BDP($B11&amp;" Equity","bid")</f>
        <v>32.1</v>
      </c>
      <c r="Q11" s="14" cm="1">
        <f t="array" ref="Q11">_xll.BDP($B11&amp;" Equity","ask")</f>
        <v>35.299999999999997</v>
      </c>
      <c r="R11" s="424">
        <f t="shared" ref="R11" si="70">(Q11/P11-1)</f>
        <v>9.968847352024901E-2</v>
      </c>
      <c r="S11" s="14" cm="1">
        <f t="array" ref="S11">_xll.BDP(G11&amp;" Curncy","PX_LAST")</f>
        <v>1</v>
      </c>
      <c r="T11" s="404" cm="1">
        <f t="array" ref="T11">_xll.BDP(B11&amp;" Equity","OPT_MULTIPLIER")</f>
        <v>100</v>
      </c>
      <c r="U11" s="404">
        <f t="shared" ref="U11" si="71">(L11/S11)*H11*T11</f>
        <v>-101100.00000000001</v>
      </c>
      <c r="V11" s="427">
        <f>U11/'Master P&amp;L'!$AD$7*10000</f>
        <v>-0.42192435712915238</v>
      </c>
      <c r="W11" s="427">
        <f>(Y11*H11*T11/S11)/'Master P&amp;L'!$AD$7*10000</f>
        <v>-0.42192435712915238</v>
      </c>
      <c r="X11" s="428">
        <f t="shared" ref="X11" si="72">IF(C11="Put",IF(Z11&lt;AA11,AA11-Z11,0),IF(Z11&gt;AA11,Z11-AA11,0))</f>
        <v>0</v>
      </c>
      <c r="Y11" s="429">
        <f t="shared" ref="Y11" si="73">L11-X11</f>
        <v>33.700000000000003</v>
      </c>
      <c r="Z11" s="430">
        <f>_xll.BDP(D11&amp;" Equity","LAST_PRICE")</f>
        <v>362.44</v>
      </c>
      <c r="AA11" s="430" cm="1">
        <f t="array" ref="AA11">_xll.BDP(B11&amp;" Equity","OPT_STRIKE_PX")</f>
        <v>400</v>
      </c>
      <c r="AB11" s="424">
        <f t="shared" ref="AB11" si="74">AA11/Z11-1</f>
        <v>0.10363094581172061</v>
      </c>
      <c r="AC11" s="431" cm="1">
        <f t="array" ref="AC11">_xll.BDP($D11&amp;" Equity","volatility_10d")</f>
        <v>115.30186308498745</v>
      </c>
      <c r="AD11" s="430" cm="1">
        <f t="array" ref="AD11">_xll.BDP(B11&amp;" Equity","ivol_mid")</f>
        <v>112.86239999999999</v>
      </c>
      <c r="AE11" s="430">
        <f t="shared" ref="AE11" si="75">AD11/AC11</f>
        <v>0.97884281294579467</v>
      </c>
      <c r="AF11" s="432" cm="1">
        <f t="array" ref="AF11">_xll.BDP(B11&amp;" Equity","DELTA_MID_RT")</f>
        <v>0.45134934782981873</v>
      </c>
      <c r="AG11" s="469">
        <f>AL11/'Master P&amp;L'!$AE$7</f>
        <v>-2.0481116950773589E-4</v>
      </c>
      <c r="AH11" s="128">
        <f>AM11/'Master P&amp;L'!$AE$7</f>
        <v>-4.5377526408869428E-4</v>
      </c>
      <c r="AI11" s="441">
        <f>AO11/'Master P&amp;L'!$AD$7*10000</f>
        <v>9.6672878743721963E-3</v>
      </c>
      <c r="AJ11" s="426">
        <f t="shared" ref="AJ11" si="76">(252*AI11)/$AI$1</f>
        <v>-0.15330073514384251</v>
      </c>
      <c r="AK11" s="432">
        <f>AP11/'Master P&amp;L'!$AD$7*10000</f>
        <v>-7.7624065703286753E-3</v>
      </c>
      <c r="AL11" s="404">
        <f t="shared" ref="AL11" si="77">Z11*AF11*H11*T11/S11</f>
        <v>-490761.17288231844</v>
      </c>
      <c r="AM11" s="404">
        <f t="shared" ref="AM11" si="78">IF(C11="Put",-Z11*H11*T11/S11,Z11*H11*T11/S11)</f>
        <v>-1087320</v>
      </c>
      <c r="AN11" s="432" cm="1">
        <f t="array" ref="AN11">_xll.BDP($B11&amp;" Equity","theta_mid_rt")</f>
        <v>-0.77214694023132324</v>
      </c>
      <c r="AO11" s="404">
        <f t="shared" ref="AO11" si="79">AN11*H11*T11/S11</f>
        <v>2316.4408206939697</v>
      </c>
      <c r="AP11" s="404">
        <f t="shared" ref="AP11" si="80">(L11-K11)*T11/S11*H11</f>
        <v>-1860.0000000000136</v>
      </c>
      <c r="AQ11" s="14" t="str" cm="1">
        <f t="array" ref="AQ11">_xll.BDP($D11&amp;" Equity","EXPECTED_REPORT_DT")</f>
        <v>03/02/2026</v>
      </c>
      <c r="AR11" s="114" cm="1">
        <f t="array" ref="AR11">_xll.BDP($B11&amp;" Equity","GAMMA_LAST")</f>
        <v>1.1726E-2</v>
      </c>
      <c r="AS11" s="59">
        <f t="shared" si="14"/>
        <v>-46210.789461408007</v>
      </c>
      <c r="AT11" s="59">
        <f t="shared" si="15"/>
        <v>-231053.94730704001</v>
      </c>
      <c r="AU11" s="59" t="s">
        <v>151</v>
      </c>
      <c r="AV11" s="337" cm="1">
        <f t="array" ref="AV11">_xll.BDP($D11&amp;" Equity","EST_PE_NXT_YR")*(AA11/Z11)</f>
        <v>45.73418613898837</v>
      </c>
      <c r="AX11" s="404"/>
      <c r="AY11" s="404">
        <v>33.700000000000003</v>
      </c>
      <c r="AZ11" s="433"/>
      <c r="BA11" s="404">
        <f t="shared" ref="BA11" si="81">+AY11</f>
        <v>33.700000000000003</v>
      </c>
      <c r="BB11" s="434">
        <f t="shared" ref="BB11" si="82">+J11</f>
        <v>0</v>
      </c>
      <c r="BC11" s="434">
        <f t="shared" ref="BC11" si="83">(BB11-BA11)*H11*100</f>
        <v>101100.00000000001</v>
      </c>
      <c r="BD11" s="434">
        <f>BC11/'Master P&amp;L'!$AD$7*10000</f>
        <v>0.42192435712915238</v>
      </c>
    </row>
    <row r="12" spans="1:56" s="543" customFormat="1">
      <c r="A12" s="542"/>
      <c r="B12" s="543" t="s">
        <v>2078</v>
      </c>
      <c r="C12" s="543" t="str" cm="1">
        <f t="array" ref="C12">_xll.BDP($B12&amp;" Equity","opt_put_call")</f>
        <v>Call</v>
      </c>
      <c r="D12" s="543" t="str" cm="1">
        <f t="array" ref="D12">_xll.BDP(B12&amp;" Equity","OPT_UNDL_TICKER")</f>
        <v>META US</v>
      </c>
      <c r="E12" s="543" t="str" cm="1">
        <f t="array" ref="E12">_xll.BDP($B12&amp;" Equity","mifid_Maturity_date")</f>
        <v>17/04/2026</v>
      </c>
      <c r="F12" s="543" cm="1">
        <f t="array" ref="F12">_xll.BDP($B12&amp;" Equity","opt_days_expire")</f>
        <v>86</v>
      </c>
      <c r="G12" s="543" t="str" cm="1">
        <f t="array" ref="G12">_xll.BDP(B12&amp;" Equity","QUOTED_CURRENCY_REALTIME")</f>
        <v>USD</v>
      </c>
      <c r="H12" s="544">
        <v>60</v>
      </c>
      <c r="I12" s="545">
        <v>43.12</v>
      </c>
      <c r="J12" s="546">
        <f>VLOOKUP(B12,Precificação!$B:$O,14,FALSE)</f>
        <v>14.324999999999999</v>
      </c>
      <c r="K12" s="546">
        <f t="shared" si="35"/>
        <v>14.324999999999999</v>
      </c>
      <c r="L12" s="546" cm="1">
        <f t="array" ref="L12">_xll.BDP($B12&amp;" Equity","mid")</f>
        <v>16.5</v>
      </c>
      <c r="M12" s="547">
        <f t="shared" si="1"/>
        <v>2.6918559122944399E-2</v>
      </c>
      <c r="N12" s="548"/>
      <c r="O12" s="547">
        <f t="shared" si="2"/>
        <v>0.1518324607329844</v>
      </c>
      <c r="P12" s="546" cm="1">
        <f t="array" ref="P12">_xll.BDP($B12&amp;" Equity","bid")</f>
        <v>16.399999999999999</v>
      </c>
      <c r="Q12" s="546" cm="1">
        <f t="array" ref="Q12">_xll.BDP($B12&amp;" Equity","ask")</f>
        <v>16.600000000000001</v>
      </c>
      <c r="R12" s="549">
        <f t="shared" si="3"/>
        <v>1.2195121951219745E-2</v>
      </c>
      <c r="S12" s="546" cm="1">
        <f t="array" ref="S12">_xll.BDP(G12&amp;" Curncy","PX_LAST")</f>
        <v>1</v>
      </c>
      <c r="T12" s="544" cm="1">
        <f t="array" ref="T12">_xll.BDP(B12&amp;" Equity","OPT_MULTIPLIER")</f>
        <v>100</v>
      </c>
      <c r="U12" s="544">
        <f t="shared" si="4"/>
        <v>99000</v>
      </c>
      <c r="V12" s="550">
        <f>U12/'Master P&amp;L'!$AD$7*10000</f>
        <v>0.41316034971103938</v>
      </c>
      <c r="W12" s="550">
        <f>(Y12*H12*T12/S12)/'Master P&amp;L'!$AD$7*10000</f>
        <v>0.41316034971103938</v>
      </c>
      <c r="X12" s="551">
        <f t="shared" si="5"/>
        <v>0</v>
      </c>
      <c r="Y12" s="552">
        <f t="shared" si="6"/>
        <v>16.5</v>
      </c>
      <c r="Z12" s="553">
        <f>_xll.BDP(D12&amp;" Equity","LAST_PRICE")</f>
        <v>612.96</v>
      </c>
      <c r="AA12" s="553" cm="1">
        <f t="array" ref="AA12">_xll.BDP(B12&amp;" Equity","OPT_STRIKE_PX")</f>
        <v>690</v>
      </c>
      <c r="AB12" s="549">
        <f t="shared" si="7"/>
        <v>0.12568519968676584</v>
      </c>
      <c r="AC12" s="554" cm="1">
        <f t="array" ref="AC12">_xll.BDP($D12&amp;" Equity","volatility_10d")</f>
        <v>26.695939271744727</v>
      </c>
      <c r="AD12" s="553" cm="1">
        <f t="array" ref="AD12">_xll.BDP(B12&amp;" Equity","ivol_mid")</f>
        <v>34.209380000000003</v>
      </c>
      <c r="AE12" s="553">
        <f t="shared" si="8"/>
        <v>1.281445078660618</v>
      </c>
      <c r="AF12" s="555" cm="1">
        <f t="array" ref="AF12">_xll.BDP(B12&amp;" Equity","DELTA_MID_RT")</f>
        <v>0.28266367316246033</v>
      </c>
      <c r="AG12" s="547">
        <f>AL12/'Master P&amp;L'!$AE$7</f>
        <v>4.3384722607557922E-4</v>
      </c>
      <c r="AH12" s="547">
        <f>AM12/'Master P&amp;L'!$AE$7</f>
        <v>1.5348531391447195E-3</v>
      </c>
      <c r="AI12" s="556">
        <f>AO12/'Master P&amp;L'!$AD$7*10000</f>
        <v>-4.9331945380540251E-3</v>
      </c>
      <c r="AJ12" s="548">
        <f t="shared" si="9"/>
        <v>7.822900891325564E-2</v>
      </c>
      <c r="AK12" s="555">
        <f>AP12/'Master P&amp;L'!$AD$7*10000</f>
        <v>5.4462046098273383E-2</v>
      </c>
      <c r="AL12" s="544">
        <f t="shared" si="10"/>
        <v>1039569.1506099702</v>
      </c>
      <c r="AM12" s="544">
        <f t="shared" si="11"/>
        <v>3677760.0000000005</v>
      </c>
      <c r="AN12" s="555" cm="1">
        <f t="array" ref="AN12">_xll.BDP($B12&amp;" Equity","theta_mid_rt")</f>
        <v>-0.19701239466667175</v>
      </c>
      <c r="AO12" s="544">
        <f t="shared" si="12"/>
        <v>-1182.0743680000305</v>
      </c>
      <c r="AP12" s="544">
        <f t="shared" si="13"/>
        <v>13050.000000000004</v>
      </c>
      <c r="AQ12" s="546" t="str" cm="1">
        <f t="array" ref="AQ12">_xll.BDP($D12&amp;" Equity","EXPECTED_REPORT_DT")</f>
        <v>28/01/2026</v>
      </c>
      <c r="AR12" s="557" cm="1">
        <f t="array" ref="AR12">_xll.BDP($B12&amp;" Equity","GAMMA_LAST")</f>
        <v>2.0701000000000001E-2</v>
      </c>
      <c r="AS12" s="543">
        <f t="shared" si="14"/>
        <v>466666.73550489603</v>
      </c>
      <c r="AT12" s="543">
        <f t="shared" si="15"/>
        <v>2333333.6775244805</v>
      </c>
      <c r="AU12" s="543" t="s">
        <v>151</v>
      </c>
      <c r="AV12" s="558" cm="1">
        <f t="array" ref="AV12">_xll.BDP($D12&amp;" Equity","EST_PE_NXT_YR")*(AA12/Z12)</f>
        <v>20.502484639941489</v>
      </c>
      <c r="AX12" s="544"/>
      <c r="AY12" s="544">
        <v>16.3</v>
      </c>
      <c r="AZ12" s="559"/>
      <c r="BA12" s="544">
        <f t="shared" si="16"/>
        <v>16.3</v>
      </c>
      <c r="BB12" s="560">
        <f t="shared" si="17"/>
        <v>14.324999999999999</v>
      </c>
      <c r="BC12" s="560">
        <f t="shared" si="18"/>
        <v>-11850.000000000009</v>
      </c>
      <c r="BD12" s="560">
        <f>BC12/'Master P&amp;L'!$AD$7*10000</f>
        <v>-4.9454041859351719E-2</v>
      </c>
    </row>
    <row r="13" spans="1:56">
      <c r="A13" s="356"/>
      <c r="B13" t="s">
        <v>2123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META US</v>
      </c>
      <c r="E13" t="str" cm="1">
        <f t="array" ref="E13">_xll.BDP($B13&amp;" Equity","mifid_Maturity_date")</f>
        <v>17/04/2026</v>
      </c>
      <c r="F13" cm="1">
        <f t="array" ref="F13">_xll.BDP($B13&amp;" Equity","opt_days_expire")</f>
        <v>86</v>
      </c>
      <c r="G13" t="str" cm="1">
        <f t="array" ref="G13">_xll.BDP(B13&amp;" Equity","QUOTED_CURRENCY_REALTIME")</f>
        <v>USD</v>
      </c>
      <c r="H13" s="15">
        <v>-20</v>
      </c>
      <c r="I13" s="410">
        <v>22.96</v>
      </c>
      <c r="J13" s="415">
        <f>VLOOKUP(B13,Precificação!$B:$O,14,FALSE)</f>
        <v>36.475000000000001</v>
      </c>
      <c r="K13" s="74">
        <f t="shared" si="35"/>
        <v>36.475000000000001</v>
      </c>
      <c r="L13" s="74" cm="1">
        <f t="array" ref="L13">_xll.BDP($B13&amp;" Equity","mid")</f>
        <v>32.479999999999997</v>
      </c>
      <c r="M13" s="19">
        <f t="shared" si="1"/>
        <v>5.2988775776559638E-2</v>
      </c>
      <c r="N13" s="350"/>
      <c r="O13" s="19">
        <f t="shared" si="2"/>
        <v>-0.10952707333790279</v>
      </c>
      <c r="P13" s="36" cm="1">
        <f t="array" ref="P13">_xll.BDP($B13&amp;" Equity","bid")</f>
        <v>32.35</v>
      </c>
      <c r="Q13" s="36" cm="1">
        <f t="array" ref="Q13">_xll.BDP($B13&amp;" Equity","ask")</f>
        <v>32.6</v>
      </c>
      <c r="R13" s="40">
        <f t="shared" si="3"/>
        <v>7.7279752704790816E-3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4"/>
        <v>-64959.999999999993</v>
      </c>
      <c r="V13" s="124">
        <f>U13/'Master P&amp;L'!$AD$7*10000</f>
        <v>-0.27109996280029408</v>
      </c>
      <c r="W13" s="124">
        <f>(Y13*H13*T13/S13)/'Master P&amp;L'!$AD$7*10000</f>
        <v>-0.27109996280029408</v>
      </c>
      <c r="X13" s="413">
        <f t="shared" si="5"/>
        <v>0</v>
      </c>
      <c r="Y13" s="273">
        <f t="shared" si="6"/>
        <v>32.479999999999997</v>
      </c>
      <c r="Z13" s="37">
        <f>_xll.BDP(D13&amp;" Equity","LAST_PRICE")</f>
        <v>612.96</v>
      </c>
      <c r="AA13" s="37" cm="1">
        <f t="array" ref="AA13">_xll.BDP(B13&amp;" Equity","OPT_STRIKE_PX")</f>
        <v>600</v>
      </c>
      <c r="AB13" s="40">
        <f t="shared" si="7"/>
        <v>-2.114330462020364E-2</v>
      </c>
      <c r="AC13" s="324" cm="1">
        <f t="array" ref="AC13">_xll.BDP($D13&amp;" Equity","volatility_10d")</f>
        <v>26.695939271744727</v>
      </c>
      <c r="AD13" s="37" cm="1">
        <f t="array" ref="AD13">_xll.BDP(B13&amp;" Equity","ivol_mid")</f>
        <v>34.652389999999997</v>
      </c>
      <c r="AE13" s="37">
        <f t="shared" si="8"/>
        <v>1.2980397373272594</v>
      </c>
      <c r="AF13" s="38" cm="1">
        <f t="array" ref="AF13">_xll.BDP(B13&amp;" Equity","DELTA_MID_RT")</f>
        <v>-0.40124344825744629</v>
      </c>
      <c r="AG13" s="19">
        <f>AL13/'Master P&amp;L'!$AE$7</f>
        <v>2.0528325537306442E-4</v>
      </c>
      <c r="AH13" s="19">
        <f>AM13/'Master P&amp;L'!$AE$7</f>
        <v>5.1161771304823983E-4</v>
      </c>
      <c r="AI13" s="435">
        <f>AO13/'Master P&amp;L'!$AD$7*10000</f>
        <v>1.9360857208863633E-3</v>
      </c>
      <c r="AJ13" s="350">
        <f t="shared" si="9"/>
        <v>-3.0701823321119474E-2</v>
      </c>
      <c r="AK13" s="38">
        <f>AP13/'Master P&amp;L'!$AD$7*10000</f>
        <v>3.3344961557486952E-2</v>
      </c>
      <c r="AL13" s="15">
        <f t="shared" si="10"/>
        <v>491892.36808776861</v>
      </c>
      <c r="AM13" s="15">
        <f t="shared" si="11"/>
        <v>1225920</v>
      </c>
      <c r="AN13" s="38" cm="1">
        <f t="array" ref="AN13">_xll.BDP($B13&amp;" Equity","theta_mid_rt")</f>
        <v>-0.23195895552635193</v>
      </c>
      <c r="AO13" s="15">
        <f t="shared" si="12"/>
        <v>463.91791105270386</v>
      </c>
      <c r="AP13" s="15">
        <f t="shared" si="13"/>
        <v>7990.0000000000091</v>
      </c>
      <c r="AQ13" s="36" t="str" cm="1">
        <f t="array" ref="AQ13">_xll.BDP($D13&amp;" Equity","EXPECTED_REPORT_DT")</f>
        <v>28/01/2026</v>
      </c>
      <c r="AR13" s="66" cm="1">
        <f t="array" ref="AR13">_xll.BDP($B13&amp;" Equity","GAMMA_LAST")</f>
        <v>2.3054999999999999E-2</v>
      </c>
      <c r="AS13">
        <f t="shared" si="14"/>
        <v>-173244.47429376002</v>
      </c>
      <c r="AT13">
        <f t="shared" si="15"/>
        <v>-866222.3714688</v>
      </c>
      <c r="AU13" t="s">
        <v>151</v>
      </c>
      <c r="AV13" s="277" cm="1">
        <f t="array" ref="AV13">_xll.BDP($D13&amp;" Equity","EST_PE_NXT_YR")*(AA13/Z13)</f>
        <v>17.828247512992601</v>
      </c>
      <c r="AX13" s="15"/>
      <c r="AY13" s="15">
        <v>32.799999999999997</v>
      </c>
      <c r="AZ13" s="355"/>
      <c r="BA13" s="15">
        <f t="shared" si="16"/>
        <v>32.799999999999997</v>
      </c>
      <c r="BB13" s="414">
        <f t="shared" si="17"/>
        <v>36.475000000000001</v>
      </c>
      <c r="BC13" s="414">
        <f t="shared" si="18"/>
        <v>-7350.0000000000082</v>
      </c>
      <c r="BD13" s="414">
        <f>BC13/'Master P&amp;L'!$AD$7*10000</f>
        <v>-3.0674025963395381E-2</v>
      </c>
    </row>
    <row r="14" spans="1:56" s="59" customFormat="1">
      <c r="A14" s="335"/>
      <c r="B14" s="73" t="s">
        <v>2124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META US</v>
      </c>
      <c r="E14" s="73" t="str" cm="1">
        <f t="array" ref="E14">_xll.BDP($B14&amp;" Equity","mifid_Maturity_date")</f>
        <v>17/04/2026</v>
      </c>
      <c r="F14" s="73" cm="1">
        <f t="array" ref="F14">_xll.BDP($B14&amp;" Equity","opt_days_expire")</f>
        <v>86</v>
      </c>
      <c r="G14" s="73" t="str" cm="1">
        <f t="array" ref="G14">_xll.BDP(B14&amp;" Equity","QUOTED_CURRENCY_REALTIME")</f>
        <v>USD</v>
      </c>
      <c r="H14" s="42">
        <v>20</v>
      </c>
      <c r="I14" s="409">
        <v>13.9</v>
      </c>
      <c r="J14" s="415">
        <f>VLOOKUP(B14,Precificação!$B:$O,14,FALSE)</f>
        <v>24.074999999999999</v>
      </c>
      <c r="K14" s="74">
        <f t="shared" si="35"/>
        <v>24.074999999999999</v>
      </c>
      <c r="L14" s="74" cm="1">
        <f t="array" ref="L14">_xll.BDP($B14&amp;" Equity","mid")</f>
        <v>21.02</v>
      </c>
      <c r="M14" s="75">
        <f t="shared" si="1"/>
        <v>3.4292612894805528E-2</v>
      </c>
      <c r="N14" s="352"/>
      <c r="O14" s="75">
        <f t="shared" si="2"/>
        <v>-0.12689511941848386</v>
      </c>
      <c r="P14" s="74" cm="1">
        <f t="array" ref="P14">_xll.BDP($B14&amp;" Equity","bid")</f>
        <v>20.9</v>
      </c>
      <c r="Q14" s="74" cm="1">
        <f t="array" ref="Q14">_xll.BDP($B14&amp;" Equity","ask")</f>
        <v>21.15</v>
      </c>
      <c r="R14" s="76">
        <f t="shared" si="3"/>
        <v>1.1961722488038173E-2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4"/>
        <v>42040</v>
      </c>
      <c r="V14" s="113">
        <f>U14/'Master P&amp;L'!$AD$7*10000</f>
        <v>0.17544708183688984</v>
      </c>
      <c r="W14" s="113">
        <f>(Y14*H14*T14/S14)/'Master P&amp;L'!$AD$7*10000</f>
        <v>0.17544708183688984</v>
      </c>
      <c r="X14" s="118">
        <f t="shared" si="5"/>
        <v>0</v>
      </c>
      <c r="Y14" s="272">
        <f t="shared" si="6"/>
        <v>21.02</v>
      </c>
      <c r="Z14" s="77">
        <f>_xll.BDP(D14&amp;" Equity","LAST_PRICE")</f>
        <v>612.96</v>
      </c>
      <c r="AA14" s="77" cm="1">
        <f t="array" ref="AA14">_xll.BDP(B14&amp;" Equity","OPT_STRIKE_PX")</f>
        <v>570</v>
      </c>
      <c r="AB14" s="76">
        <f t="shared" si="7"/>
        <v>-7.0086139389193503E-2</v>
      </c>
      <c r="AC14" s="323" cm="1">
        <f t="array" ref="AC14">_xll.BDP($D14&amp;" Equity","volatility_10d")</f>
        <v>26.695939271744727</v>
      </c>
      <c r="AD14" s="77" cm="1">
        <f t="array" ref="AD14">_xll.BDP(B14&amp;" Equity","ivol_mid")</f>
        <v>35.389119999999998</v>
      </c>
      <c r="AE14" s="77">
        <f t="shared" si="8"/>
        <v>1.3256368183851928</v>
      </c>
      <c r="AF14" s="78" cm="1">
        <f t="array" ref="AF14">_xll.BDP(B14&amp;" Equity","DELTA_MID_RT")</f>
        <v>-0.29032048583030701</v>
      </c>
      <c r="AG14" s="75">
        <f>AL14/'Master P&amp;L'!$AE$7</f>
        <v>-1.4853310301155559E-4</v>
      </c>
      <c r="AH14" s="75">
        <f>AM14/'Master P&amp;L'!$AE$7</f>
        <v>-5.1161771304823983E-4</v>
      </c>
      <c r="AI14" s="436">
        <f>AO14/'Master P&amp;L'!$AD$7*10000</f>
        <v>-1.7472760637159163E-3</v>
      </c>
      <c r="AJ14" s="350">
        <f t="shared" si="9"/>
        <v>2.7707740634990083E-2</v>
      </c>
      <c r="AK14" s="78">
        <f>AP14/'Master P&amp;L'!$AD$7*10000</f>
        <v>-2.5499088249842934E-2</v>
      </c>
      <c r="AL14" s="42">
        <f t="shared" si="10"/>
        <v>-355909.68998909002</v>
      </c>
      <c r="AM14" s="42">
        <f t="shared" si="11"/>
        <v>-1225920</v>
      </c>
      <c r="AN14" s="78" cm="1">
        <f t="array" ref="AN14">_xll.BDP($B14&amp;" Equity","theta_mid_rt")</f>
        <v>-0.20933800935745239</v>
      </c>
      <c r="AO14" s="42">
        <f t="shared" si="12"/>
        <v>-418.67601871490479</v>
      </c>
      <c r="AP14" s="42">
        <f t="shared" si="13"/>
        <v>-6110</v>
      </c>
      <c r="AQ14" s="74" t="str" cm="1">
        <f t="array" ref="AQ14">_xll.BDP($D14&amp;" Equity","EXPECTED_REPORT_DT")</f>
        <v>28/01/2026</v>
      </c>
      <c r="AR14" s="235" cm="1">
        <f t="array" ref="AR14">_xll.BDP($B14&amp;" Equity","GAMMA_LAST")</f>
        <v>1.9692999999999999E-2</v>
      </c>
      <c r="AS14" s="73">
        <f t="shared" si="14"/>
        <v>147981.06407577603</v>
      </c>
      <c r="AT14" s="73">
        <f t="shared" si="15"/>
        <v>739905.32037888002</v>
      </c>
      <c r="AU14" s="73" t="s">
        <v>151</v>
      </c>
      <c r="AV14" s="322" cm="1">
        <f t="array" ref="AV14">_xll.BDP($D14&amp;" Equity","EST_PE_NXT_YR")*(AA14/Z14)</f>
        <v>16.936835137342968</v>
      </c>
      <c r="AW14" s="73"/>
      <c r="AX14" s="42"/>
      <c r="AY14" s="42">
        <v>21.23</v>
      </c>
      <c r="AZ14" s="354"/>
      <c r="BA14" s="42">
        <f t="shared" si="16"/>
        <v>21.23</v>
      </c>
      <c r="BB14" s="346">
        <f t="shared" si="17"/>
        <v>24.074999999999999</v>
      </c>
      <c r="BC14" s="346">
        <f t="shared" si="18"/>
        <v>5689.9999999999982</v>
      </c>
      <c r="BD14" s="346">
        <f>BC14/'Master P&amp;L'!$AD$7*10000</f>
        <v>2.3746286766220336E-2</v>
      </c>
    </row>
    <row r="15" spans="1:56">
      <c r="A15" s="356"/>
      <c r="B15" t="s">
        <v>2107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58</v>
      </c>
      <c r="G15" t="str" cm="1">
        <f t="array" ref="G15">_xll.BDP(B15&amp;" Equity","QUOTED_CURRENCY_REALTIME")</f>
        <v>USD</v>
      </c>
      <c r="H15" s="15">
        <v>200</v>
      </c>
      <c r="I15" s="410">
        <v>9.1999999999999993</v>
      </c>
      <c r="J15" s="415">
        <f>VLOOKUP(B15,Precificação!$B:$O,14,FALSE)</f>
        <v>10.35</v>
      </c>
      <c r="K15" s="74">
        <f t="shared" si="35"/>
        <v>10.35</v>
      </c>
      <c r="L15" s="74" cm="1">
        <f t="array" ref="L15">_xll.BDP($B15&amp;" Equity","mid")</f>
        <v>8.82</v>
      </c>
      <c r="M15" s="19">
        <f t="shared" si="1"/>
        <v>0.10684433676559661</v>
      </c>
      <c r="N15" s="350"/>
      <c r="O15" s="19">
        <f t="shared" si="2"/>
        <v>-0.14782608695652166</v>
      </c>
      <c r="P15" s="36" cm="1">
        <f t="array" ref="P15">_xll.BDP($B15&amp;" Equity","bid")</f>
        <v>8.75</v>
      </c>
      <c r="Q15" s="36" cm="1">
        <f t="array" ref="Q15">_xll.BDP($B15&amp;" Equity","ask")</f>
        <v>8.9</v>
      </c>
      <c r="R15" s="40">
        <f t="shared" si="3"/>
        <v>1.7142857142857126E-2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176400</v>
      </c>
      <c r="V15" s="124">
        <f>U15/'Master P&amp;L'!$AD$7*10000</f>
        <v>0.73617662312148835</v>
      </c>
      <c r="W15" s="124">
        <f>(Y15*H15*T15/S15)/'Master P&amp;L'!$AD$7*10000</f>
        <v>0.53168311669885249</v>
      </c>
      <c r="X15" s="413">
        <f t="shared" si="5"/>
        <v>2.4500000000000028</v>
      </c>
      <c r="Y15" s="273">
        <f t="shared" si="6"/>
        <v>6.3699999999999974</v>
      </c>
      <c r="Z15" s="37">
        <f>_xll.BDP(D15&amp;" Equity","LAST_PRICE")</f>
        <v>82.55</v>
      </c>
      <c r="AA15" s="37" cm="1">
        <f t="array" ref="AA15">_xll.BDP(B15&amp;" Equity","OPT_STRIKE_PX")</f>
        <v>85</v>
      </c>
      <c r="AB15" s="40">
        <f t="shared" si="7"/>
        <v>2.9678982434887979E-2</v>
      </c>
      <c r="AC15" s="324" cm="1">
        <f t="array" ref="AC15">_xll.BDP($D15&amp;" Equity","volatility_10d")</f>
        <v>29.634315945186078</v>
      </c>
      <c r="AD15" s="37" cm="1">
        <f t="array" ref="AD15">_xll.BDP(B15&amp;" Equity","ivol_mid")</f>
        <v>57.396210000000004</v>
      </c>
      <c r="AE15" s="37">
        <f t="shared" si="8"/>
        <v>1.9368157546192215</v>
      </c>
      <c r="AF15" s="38" cm="1">
        <f t="array" ref="AF15">_xll.BDP(B15&amp;" Equity","DELTA_MID_RT")</f>
        <v>-0.49648788571357727</v>
      </c>
      <c r="AG15" s="19">
        <f>AL15/'Master P&amp;L'!$AE$7</f>
        <v>-3.4208904860087914E-4</v>
      </c>
      <c r="AH15" s="19">
        <f>AM15/'Master P&amp;L'!$AE$7</f>
        <v>-6.8901791653830911E-4</v>
      </c>
      <c r="AI15" s="435">
        <f>AO15/'Master P&amp;L'!$AD$7*10000</f>
        <v>-5.4295646153153338E-3</v>
      </c>
      <c r="AJ15" s="350">
        <f t="shared" si="9"/>
        <v>8.6100285608065569E-2</v>
      </c>
      <c r="AK15" s="38">
        <f>AP15/'Master P&amp;L'!$AD$7*10000</f>
        <v>-0.12770410809250304</v>
      </c>
      <c r="AL15" s="15">
        <f t="shared" si="10"/>
        <v>-819701.49931311607</v>
      </c>
      <c r="AM15" s="15">
        <f t="shared" si="11"/>
        <v>-1651000</v>
      </c>
      <c r="AN15" s="38" cm="1">
        <f t="array" ref="AN15">_xll.BDP($B15&amp;" Equity","theta_mid_rt")</f>
        <v>-6.50506392121315E-2</v>
      </c>
      <c r="AO15" s="15">
        <f t="shared" si="12"/>
        <v>-1301.01278424263</v>
      </c>
      <c r="AP15" s="15">
        <f t="shared" si="13"/>
        <v>-30599.999999999989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1.7321E-2</v>
      </c>
      <c r="AS15">
        <f t="shared" si="14"/>
        <v>23606.7995605</v>
      </c>
      <c r="AT15">
        <f t="shared" si="15"/>
        <v>118033.99780249999</v>
      </c>
      <c r="AU15" t="s">
        <v>151</v>
      </c>
      <c r="AV15" s="277" cm="1">
        <f t="array" ref="AV15">_xll.BDP($D15&amp;" Equity","EST_PE_NXT_YR")*(AA15/Z15)</f>
        <v>23.857294280522627</v>
      </c>
      <c r="AX15" s="15"/>
      <c r="AY15" s="15">
        <v>8.8000000000000007</v>
      </c>
      <c r="AZ15" s="355"/>
      <c r="BA15" s="15">
        <f t="shared" si="16"/>
        <v>8.8000000000000007</v>
      </c>
      <c r="BB15" s="414">
        <f t="shared" si="17"/>
        <v>10.35</v>
      </c>
      <c r="BC15" s="414">
        <f t="shared" si="18"/>
        <v>30999.999999999978</v>
      </c>
      <c r="BD15" s="414">
        <f>BC15/'Master P&amp;L'!$AD$7*10000</f>
        <v>0.12937344283881022</v>
      </c>
    </row>
    <row r="16" spans="1:56" s="59" customFormat="1">
      <c r="A16" s="335"/>
      <c r="B16" s="73" t="s">
        <v>2108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58</v>
      </c>
      <c r="G16" s="73" t="str" cm="1">
        <f t="array" ref="G16">_xll.BDP(B16&amp;" Equity","QUOTED_CURRENCY_REALTIME")</f>
        <v>USD</v>
      </c>
      <c r="H16" s="42">
        <v>-200</v>
      </c>
      <c r="I16" s="409">
        <v>4.5999999999999996</v>
      </c>
      <c r="J16" s="415">
        <f>VLOOKUP(B16,Precificação!$B:$O,14,FALSE)</f>
        <v>5.0500000000000007</v>
      </c>
      <c r="K16" s="74">
        <f t="shared" si="35"/>
        <v>5.0500000000000007</v>
      </c>
      <c r="L16" s="74" cm="1">
        <f t="array" ref="L16">_xll.BDP($B16&amp;" Equity","mid")</f>
        <v>4.13</v>
      </c>
      <c r="M16" s="75">
        <f t="shared" si="1"/>
        <v>5.0030284675953968E-2</v>
      </c>
      <c r="N16" s="352"/>
      <c r="O16" s="75">
        <f t="shared" si="2"/>
        <v>-0.18217821782178234</v>
      </c>
      <c r="P16" s="74" cm="1">
        <f t="array" ref="P16">_xll.BDP($B16&amp;" Equity","bid")</f>
        <v>4.05</v>
      </c>
      <c r="Q16" s="74" cm="1">
        <f t="array" ref="Q16">_xll.BDP($B16&amp;" Equity","ask")</f>
        <v>4.2</v>
      </c>
      <c r="R16" s="76">
        <f t="shared" si="3"/>
        <v>3.7037037037037202E-2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4"/>
        <v>-82600</v>
      </c>
      <c r="V16" s="113">
        <f>U16/'Master P&amp;L'!$AD$7*10000</f>
        <v>-0.34471762511244292</v>
      </c>
      <c r="W16" s="113">
        <f>(Y16*H16*T16/S16)/'Master P&amp;L'!$AD$7*10000</f>
        <v>-0.34471762511244292</v>
      </c>
      <c r="X16" s="118">
        <f t="shared" si="5"/>
        <v>0</v>
      </c>
      <c r="Y16" s="272">
        <f t="shared" si="6"/>
        <v>4.13</v>
      </c>
      <c r="Z16" s="77">
        <f>_xll.BDP(D16&amp;" Equity","LAST_PRICE")</f>
        <v>82.55</v>
      </c>
      <c r="AA16" s="77" cm="1">
        <f t="array" ref="AA16">_xll.BDP(B16&amp;" Equity","OPT_STRIKE_PX")</f>
        <v>75</v>
      </c>
      <c r="AB16" s="76">
        <f t="shared" si="7"/>
        <v>-9.145972138098124E-2</v>
      </c>
      <c r="AC16" s="323" cm="1">
        <f t="array" ref="AC16">_xll.BDP($D16&amp;" Equity","volatility_10d")</f>
        <v>29.634315945186078</v>
      </c>
      <c r="AD16" s="77" cm="1">
        <f t="array" ref="AD16">_xll.BDP(B16&amp;" Equity","ivol_mid")</f>
        <v>58.716009999999997</v>
      </c>
      <c r="AE16" s="77">
        <f t="shared" si="8"/>
        <v>1.9813519606325878</v>
      </c>
      <c r="AF16" s="78" cm="1">
        <f t="array" ref="AF16">_xll.BDP(B16&amp;" Equity","DELTA_MID_RT")</f>
        <v>-0.29287967085838318</v>
      </c>
      <c r="AG16" s="75">
        <f>AL16/'Master P&amp;L'!$AE$7</f>
        <v>2.0179934061126891E-4</v>
      </c>
      <c r="AH16" s="75">
        <f>AM16/'Master P&amp;L'!$AE$7</f>
        <v>6.8901791653830911E-4</v>
      </c>
      <c r="AI16" s="436">
        <f>AO16/'Master P&amp;L'!$AD$7*10000</f>
        <v>4.7695978342549216E-3</v>
      </c>
      <c r="AJ16" s="350">
        <f t="shared" si="9"/>
        <v>-7.5634745115029739E-2</v>
      </c>
      <c r="AK16" s="78">
        <f>AP16/'Master P&amp;L'!$AD$7*10000</f>
        <v>7.6789398330132652E-2</v>
      </c>
      <c r="AL16" s="42">
        <f t="shared" si="10"/>
        <v>483544.33658719063</v>
      </c>
      <c r="AM16" s="42">
        <f t="shared" si="11"/>
        <v>1651000</v>
      </c>
      <c r="AN16" s="78" cm="1">
        <f t="array" ref="AN16">_xll.BDP($B16&amp;" Equity","theta_mid_rt")</f>
        <v>-5.7143695652484894E-2</v>
      </c>
      <c r="AO16" s="42">
        <f t="shared" si="12"/>
        <v>1142.8739130496979</v>
      </c>
      <c r="AP16" s="42">
        <f t="shared" si="13"/>
        <v>18400.000000000018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1.4389000000000001E-2</v>
      </c>
      <c r="AS16" s="73">
        <f t="shared" si="14"/>
        <v>-19610.775294499999</v>
      </c>
      <c r="AT16" s="73">
        <f t="shared" si="15"/>
        <v>-98053.876472500007</v>
      </c>
      <c r="AU16" s="73" t="s">
        <v>151</v>
      </c>
      <c r="AV16" s="322" cm="1">
        <f t="array" ref="AV16">_xll.BDP($D16&amp;" Equity","EST_PE_NXT_YR")*(AA16/Z16)</f>
        <v>21.050553776931729</v>
      </c>
      <c r="AW16" s="73"/>
      <c r="AX16" s="42"/>
      <c r="AY16" s="42">
        <v>4.0999999999999996</v>
      </c>
      <c r="AZ16" s="354"/>
      <c r="BA16" s="42">
        <f t="shared" si="16"/>
        <v>4.0999999999999996</v>
      </c>
      <c r="BB16" s="346">
        <f t="shared" si="17"/>
        <v>5.0500000000000007</v>
      </c>
      <c r="BC16" s="346">
        <f t="shared" si="18"/>
        <v>-19000.000000000022</v>
      </c>
      <c r="BD16" s="346">
        <f>BC16/'Master P&amp;L'!$AD$7*10000</f>
        <v>-7.9293400449593501E-2</v>
      </c>
    </row>
    <row r="17" spans="1:56" s="59" customFormat="1">
      <c r="A17" s="425" t="s">
        <v>1770</v>
      </c>
      <c r="B17" s="59" t="s">
        <v>2067</v>
      </c>
      <c r="C17" s="59" t="str" cm="1">
        <f t="array" ref="C17">_xll.BDP($B17&amp;" Equity","opt_put_call")</f>
        <v>Put</v>
      </c>
      <c r="D17" s="59" t="str" cm="1">
        <f t="array" ref="D17">_xll.BDP(B17&amp;" Equity","OPT_UNDL_TICKER")</f>
        <v>MRVL US</v>
      </c>
      <c r="E17" s="59" t="str" cm="1">
        <f t="array" ref="E17">_xll.BDP($B17&amp;" Equity","mifid_Maturity_date")</f>
        <v>20/03/2026</v>
      </c>
      <c r="F17" s="59" cm="1">
        <f t="array" ref="F17">_xll.BDP($B17&amp;" Equity","opt_days_expire")</f>
        <v>58</v>
      </c>
      <c r="G17" s="59" t="str" cm="1">
        <f t="array" ref="G17">_xll.BDP(B17&amp;" Equity","QUOTED_CURRENCY_REALTIME")</f>
        <v>USD</v>
      </c>
      <c r="H17" s="404">
        <v>150</v>
      </c>
      <c r="I17" s="411">
        <v>6.13</v>
      </c>
      <c r="J17" s="411"/>
      <c r="K17" s="411">
        <v>6.13</v>
      </c>
      <c r="L17" s="14" cm="1">
        <f t="array" ref="L17">_xll.BDP($B17&amp;" Equity","mid")</f>
        <v>6.2</v>
      </c>
      <c r="M17" s="128">
        <f t="shared" ref="M17:M18" si="84">L17/Z17</f>
        <v>7.5105996365838895E-2</v>
      </c>
      <c r="N17" s="426"/>
      <c r="O17" s="128">
        <f t="shared" ref="O17:O18" si="85">L17/K17-1</f>
        <v>1.1419249592169667E-2</v>
      </c>
      <c r="P17" s="14" cm="1">
        <f t="array" ref="P17">_xll.BDP($B17&amp;" Equity","bid")</f>
        <v>6.1</v>
      </c>
      <c r="Q17" s="14" cm="1">
        <f t="array" ref="Q17">_xll.BDP($B17&amp;" Equity","ask")</f>
        <v>6.3</v>
      </c>
      <c r="R17" s="424">
        <f t="shared" ref="R17:R18" si="86">(Q17/P17-1)</f>
        <v>3.2786885245901676E-2</v>
      </c>
      <c r="S17" s="14" cm="1">
        <f t="array" ref="S17">_xll.BDP(G17&amp;" Curncy","PX_LAST")</f>
        <v>1</v>
      </c>
      <c r="T17" s="404" cm="1">
        <f t="array" ref="T17">_xll.BDP(B17&amp;" Equity","OPT_MULTIPLIER")</f>
        <v>100</v>
      </c>
      <c r="U17" s="404">
        <f t="shared" ref="U17:U18" si="87">(L17/S17)*H17*T17</f>
        <v>93000</v>
      </c>
      <c r="V17" s="427">
        <f>U17/'Master P&amp;L'!$AD$7*10000</f>
        <v>0.38812032851643091</v>
      </c>
      <c r="W17" s="427">
        <f>(Y17*H17*T17/S17)/'Master P&amp;L'!$AD$7*10000</f>
        <v>0.38812032851643091</v>
      </c>
      <c r="X17" s="428">
        <f t="shared" ref="X17:X18" si="88">IF(C17="Put",IF(Z17&lt;AA17,AA17-Z17,0),IF(Z17&gt;AA17,Z17-AA17,0))</f>
        <v>0</v>
      </c>
      <c r="Y17" s="429">
        <f t="shared" ref="Y17:Y18" si="89">L17-X17</f>
        <v>6.2</v>
      </c>
      <c r="Z17" s="430">
        <f>_xll.BDP(D17&amp;" Equity","LAST_PRICE")</f>
        <v>82.55</v>
      </c>
      <c r="AA17" s="430" cm="1">
        <f t="array" ref="AA17">_xll.BDP(B17&amp;" Equity","OPT_STRIKE_PX")</f>
        <v>80</v>
      </c>
      <c r="AB17" s="424">
        <f t="shared" ref="AB17:AB18" si="90">AA17/Z17-1</f>
        <v>-3.0890369473046575E-2</v>
      </c>
      <c r="AC17" s="431" cm="1">
        <f t="array" ref="AC17">_xll.BDP($D17&amp;" Equity","volatility_10d")</f>
        <v>29.634315945186078</v>
      </c>
      <c r="AD17" s="430" cm="1">
        <f t="array" ref="AD17">_xll.BDP(B17&amp;" Equity","ivol_mid")</f>
        <v>57.599919999999997</v>
      </c>
      <c r="AE17" s="430">
        <f t="shared" ref="AE17:AE18" si="91">AD17/AC17</f>
        <v>1.9436898798859155</v>
      </c>
      <c r="AF17" s="432" cm="1">
        <f t="array" ref="AF17">_xll.BDP(B17&amp;" Equity","DELTA_MID_RT")</f>
        <v>-0.39339128136634827</v>
      </c>
      <c r="AG17" s="128">
        <f>AL17/'Master P&amp;L'!$AE$7</f>
        <v>-2.0329023080353277E-4</v>
      </c>
      <c r="AH17" s="128">
        <f>AM17/'Master P&amp;L'!$AE$7</f>
        <v>-5.1676343740373178E-4</v>
      </c>
      <c r="AI17" s="441">
        <f>AO17/'Master P&amp;L'!$AD$7*10000</f>
        <v>-3.9491642806534057E-3</v>
      </c>
      <c r="AJ17" s="426">
        <f t="shared" ref="AJ17:AJ18" si="92">(252*AI17)/$AI$1</f>
        <v>6.2624574264815422E-2</v>
      </c>
      <c r="AK17" s="432">
        <f>AP17/'Master P&amp;L'!$AD$7*10000</f>
        <v>4.3820037090564956E-3</v>
      </c>
      <c r="AL17" s="404">
        <f t="shared" ref="AL17:AL18" si="93">Z17*AF17*H17*T17/S17</f>
        <v>-487116.75415188074</v>
      </c>
      <c r="AM17" s="404">
        <f t="shared" ref="AM17:AM18" si="94">IF(C17="Put",-Z17*H17*T17/S17,Z17*H17*T17/S17)</f>
        <v>-1238250</v>
      </c>
      <c r="AN17" s="432" cm="1">
        <f t="array" ref="AN17">_xll.BDP($B17&amp;" Equity","theta_mid_rt")</f>
        <v>-6.3085637986660004E-2</v>
      </c>
      <c r="AO17" s="404">
        <f t="shared" ref="AO17:AO18" si="95">AN17*H17*T17/S17</f>
        <v>-946.28456979990005</v>
      </c>
      <c r="AP17" s="404">
        <f t="shared" ref="AP17:AP18" si="96">(L17-K17)*T17/S17*H17</f>
        <v>1050.0000000000043</v>
      </c>
      <c r="AQ17" s="14" t="str" cm="1">
        <f t="array" ref="AQ17">_xll.BDP($D17&amp;" Equity","EXPECTED_REPORT_DT")</f>
        <v>05/03/2026</v>
      </c>
      <c r="AR17" s="114" cm="1">
        <f t="array" ref="AR17">_xll.BDP($B17&amp;" Equity","GAMMA_LAST")</f>
        <v>1.6480999999999999E-2</v>
      </c>
      <c r="AS17" s="59">
        <f t="shared" si="14"/>
        <v>16846.472355374997</v>
      </c>
      <c r="AT17" s="59">
        <f t="shared" si="15"/>
        <v>84232.361776874983</v>
      </c>
      <c r="AU17" s="59" t="s">
        <v>151</v>
      </c>
      <c r="AV17" s="337" cm="1">
        <f t="array" ref="AV17">_xll.BDP($D17&amp;" Equity","EST_PE_NXT_YR")*(AA17/Z17)</f>
        <v>22.45392402872718</v>
      </c>
      <c r="AX17" s="404"/>
      <c r="AY17" s="404">
        <v>8.8000000000000007</v>
      </c>
      <c r="AZ17" s="433"/>
      <c r="BA17" s="404">
        <f t="shared" ref="BA17:BA18" si="97">+AY17</f>
        <v>8.8000000000000007</v>
      </c>
      <c r="BB17" s="434">
        <f t="shared" ref="BB17:BB18" si="98">+J17</f>
        <v>0</v>
      </c>
      <c r="BC17" s="434">
        <f t="shared" ref="BC17:BC18" si="99">(BB17-BA17)*H17*100</f>
        <v>-132000</v>
      </c>
      <c r="BD17" s="434">
        <f>BC17/'Master P&amp;L'!$AD$7*10000</f>
        <v>-0.55088046628138587</v>
      </c>
    </row>
    <row r="18" spans="1:56" s="59" customFormat="1">
      <c r="A18" s="425" t="s">
        <v>1770</v>
      </c>
      <c r="B18" s="59" t="s">
        <v>2346</v>
      </c>
      <c r="C18" s="59" t="str" cm="1">
        <f t="array" ref="C18">_xll.BDP($B18&amp;" Equity","opt_put_call")</f>
        <v>Put</v>
      </c>
      <c r="D18" s="59" t="str" cm="1">
        <f t="array" ref="D18">_xll.BDP(B18&amp;" Equity","OPT_UNDL_TICKER")</f>
        <v>MRVL US</v>
      </c>
      <c r="E18" s="59" t="str" cm="1">
        <f t="array" ref="E18">_xll.BDP($B18&amp;" Equity","mifid_Maturity_date")</f>
        <v>20/03/2026</v>
      </c>
      <c r="F18" s="59" cm="1">
        <f t="array" ref="F18">_xll.BDP($B18&amp;" Equity","opt_days_expire")</f>
        <v>58</v>
      </c>
      <c r="G18" s="59" t="str" cm="1">
        <f t="array" ref="G18">_xll.BDP(B18&amp;" Equity","QUOTED_CURRENCY_REALTIME")</f>
        <v>USD</v>
      </c>
      <c r="H18" s="404">
        <v>-150</v>
      </c>
      <c r="I18" s="411">
        <v>2.52</v>
      </c>
      <c r="J18" s="411"/>
      <c r="K18" s="411">
        <v>2.52</v>
      </c>
      <c r="L18" s="14" cm="1">
        <f t="array" ref="L18">_xll.BDP($B18&amp;" Equity","mid")</f>
        <v>2.57</v>
      </c>
      <c r="M18" s="128">
        <f t="shared" si="84"/>
        <v>3.1132646880678377E-2</v>
      </c>
      <c r="N18" s="426"/>
      <c r="O18" s="128">
        <f t="shared" si="85"/>
        <v>1.9841269841269771E-2</v>
      </c>
      <c r="P18" s="14" cm="1">
        <f t="array" ref="P18">_xll.BDP($B18&amp;" Equity","bid")</f>
        <v>2.54</v>
      </c>
      <c r="Q18" s="14" cm="1">
        <f t="array" ref="Q18">_xll.BDP($B18&amp;" Equity","ask")</f>
        <v>2.61</v>
      </c>
      <c r="R18" s="424">
        <f t="shared" si="86"/>
        <v>2.7559055118110187E-2</v>
      </c>
      <c r="S18" s="14" cm="1">
        <f t="array" ref="S18">_xll.BDP(G18&amp;" Curncy","PX_LAST")</f>
        <v>1</v>
      </c>
      <c r="T18" s="404" cm="1">
        <f t="array" ref="T18">_xll.BDP(B18&amp;" Equity","OPT_MULTIPLIER")</f>
        <v>100</v>
      </c>
      <c r="U18" s="404">
        <f t="shared" si="87"/>
        <v>-38550</v>
      </c>
      <c r="V18" s="427">
        <f>U18/'Master P&amp;L'!$AD$7*10000</f>
        <v>-0.16088213617535929</v>
      </c>
      <c r="W18" s="427">
        <f>(Y18*H18*T18/S18)/'Master P&amp;L'!$AD$7*10000</f>
        <v>-0.16088213617535929</v>
      </c>
      <c r="X18" s="428">
        <f t="shared" si="88"/>
        <v>0</v>
      </c>
      <c r="Y18" s="429">
        <f t="shared" si="89"/>
        <v>2.57</v>
      </c>
      <c r="Z18" s="430">
        <f>_xll.BDP(D18&amp;" Equity","LAST_PRICE")</f>
        <v>82.55</v>
      </c>
      <c r="AA18" s="430" cm="1">
        <f t="array" ref="AA18">_xll.BDP(B18&amp;" Equity","OPT_STRIKE_PX")</f>
        <v>70</v>
      </c>
      <c r="AB18" s="424">
        <f t="shared" si="90"/>
        <v>-0.15202907328891579</v>
      </c>
      <c r="AC18" s="431" cm="1">
        <f t="array" ref="AC18">_xll.BDP($D18&amp;" Equity","volatility_10d")</f>
        <v>29.634315945186078</v>
      </c>
      <c r="AD18" s="430" cm="1">
        <f t="array" ref="AD18">_xll.BDP(B18&amp;" Equity","ivol_mid")</f>
        <v>59.361440000000002</v>
      </c>
      <c r="AE18" s="430">
        <f t="shared" si="91"/>
        <v>2.003131778368008</v>
      </c>
      <c r="AF18" s="432" cm="1">
        <f t="array" ref="AF18">_xll.BDP(B18&amp;" Equity","DELTA_MID_RT")</f>
        <v>-0.20389683544635773</v>
      </c>
      <c r="AG18" s="128">
        <f>AL18/'Master P&amp;L'!$AE$7</f>
        <v>1.0536642956100289E-4</v>
      </c>
      <c r="AH18" s="128">
        <f>AM18/'Master P&amp;L'!$AE$7</f>
        <v>5.1676343740373178E-4</v>
      </c>
      <c r="AI18" s="441">
        <f>AO18/'Master P&amp;L'!$AD$7*10000</f>
        <v>2.9612411127554689E-3</v>
      </c>
      <c r="AJ18" s="426">
        <f t="shared" si="92"/>
        <v>-4.6958407096474752E-2</v>
      </c>
      <c r="AK18" s="432">
        <f>AP18/'Master P&amp;L'!$AD$7*10000</f>
        <v>-3.1300026493260445E-3</v>
      </c>
      <c r="AL18" s="404">
        <f t="shared" si="93"/>
        <v>252475.25649145246</v>
      </c>
      <c r="AM18" s="404">
        <f t="shared" si="94"/>
        <v>1238250</v>
      </c>
      <c r="AN18" s="432" cm="1">
        <f t="array" ref="AN18">_xll.BDP($B18&amp;" Equity","theta_mid_rt")</f>
        <v>-4.7304131090641022E-2</v>
      </c>
      <c r="AO18" s="404">
        <f t="shared" si="95"/>
        <v>709.56196635961533</v>
      </c>
      <c r="AP18" s="404">
        <f t="shared" si="96"/>
        <v>-749.99999999999739</v>
      </c>
      <c r="AQ18" s="14" t="str" cm="1">
        <f t="array" ref="AQ18">_xll.BDP($D18&amp;" Equity","EXPECTED_REPORT_DT")</f>
        <v>05/03/2026</v>
      </c>
      <c r="AR18" s="114" cm="1">
        <f t="array" ref="AR18">_xll.BDP($B18&amp;" Equity","GAMMA_LAST")</f>
        <v>1.1684999999999999E-2</v>
      </c>
      <c r="AS18" s="59">
        <f t="shared" si="14"/>
        <v>-11944.119256874998</v>
      </c>
      <c r="AT18" s="59">
        <f t="shared" si="15"/>
        <v>-59720.596284374995</v>
      </c>
      <c r="AU18" s="59" t="s">
        <v>151</v>
      </c>
      <c r="AV18" s="337" cm="1">
        <f t="array" ref="AV18">_xll.BDP($D18&amp;" Equity","EST_PE_NXT_YR")*(AA18/Z18)</f>
        <v>19.647183525136281</v>
      </c>
      <c r="AX18" s="404"/>
      <c r="AY18" s="404">
        <v>4.0999999999999996</v>
      </c>
      <c r="AZ18" s="433"/>
      <c r="BA18" s="404">
        <f t="shared" si="97"/>
        <v>4.0999999999999996</v>
      </c>
      <c r="BB18" s="434">
        <f t="shared" si="98"/>
        <v>0</v>
      </c>
      <c r="BC18" s="434">
        <f t="shared" si="99"/>
        <v>61500</v>
      </c>
      <c r="BD18" s="434">
        <f>BC18/'Master P&amp;L'!$AD$7*10000</f>
        <v>0.25666021724473659</v>
      </c>
    </row>
    <row r="19" spans="1:56" s="543" customFormat="1">
      <c r="A19" s="542"/>
      <c r="B19" s="543" t="s">
        <v>2057</v>
      </c>
      <c r="C19" s="543" t="str" cm="1">
        <f t="array" ref="C19">_xll.BDP($B19&amp;" Equity","opt_put_call")</f>
        <v>Call</v>
      </c>
      <c r="D19" s="543" t="str" cm="1">
        <f t="array" ref="D19">_xll.BDP(B19&amp;" Equity","OPT_UNDL_TICKER")</f>
        <v>MSFT US</v>
      </c>
      <c r="E19" s="543" t="str" cm="1">
        <f t="array" ref="E19">_xll.BDP($B19&amp;" Equity","mifid_Maturity_date")</f>
        <v>20/03/2026</v>
      </c>
      <c r="F19" s="543" cm="1">
        <f t="array" ref="F19">_xll.BDP($B19&amp;" Equity","opt_days_expire")</f>
        <v>58</v>
      </c>
      <c r="G19" s="543" t="str" cm="1">
        <f t="array" ref="G19">_xll.BDP(B19&amp;" Equity","QUOTED_CURRENCY_REALTIME")</f>
        <v>USD</v>
      </c>
      <c r="H19" s="544">
        <v>125</v>
      </c>
      <c r="I19" s="545">
        <v>26.07</v>
      </c>
      <c r="J19" s="546">
        <f>VLOOKUP(B19,Precificação!$B:$O,14,FALSE)</f>
        <v>8.125</v>
      </c>
      <c r="K19" s="546">
        <f t="shared" si="35"/>
        <v>8.125</v>
      </c>
      <c r="L19" s="546" cm="1">
        <f t="array" ref="L19">_xll.BDP($B19&amp;" Equity","mid")</f>
        <v>5.8</v>
      </c>
      <c r="M19" s="547">
        <f t="shared" si="1"/>
        <v>1.3059827520208957E-2</v>
      </c>
      <c r="N19" s="548"/>
      <c r="O19" s="547">
        <f t="shared" si="2"/>
        <v>-0.2861538461538462</v>
      </c>
      <c r="P19" s="546" cm="1">
        <f t="array" ref="P19">_xll.BDP($B19&amp;" Equity","bid")</f>
        <v>5.75</v>
      </c>
      <c r="Q19" s="546" cm="1">
        <f t="array" ref="Q19">_xll.BDP($B19&amp;" Equity","ask")</f>
        <v>5.85</v>
      </c>
      <c r="R19" s="549">
        <f t="shared" si="3"/>
        <v>1.7391304347825987E-2</v>
      </c>
      <c r="S19" s="546" cm="1">
        <f t="array" ref="S19">_xll.BDP(G19&amp;" Curncy","PX_LAST")</f>
        <v>1</v>
      </c>
      <c r="T19" s="544" cm="1">
        <f t="array" ref="T19">_xll.BDP(B19&amp;" Equity","OPT_MULTIPLIER")</f>
        <v>100</v>
      </c>
      <c r="U19" s="544">
        <f t="shared" si="4"/>
        <v>72500</v>
      </c>
      <c r="V19" s="550">
        <f>U19/'Master P&amp;L'!$AD$7*10000</f>
        <v>0.30256692276818536</v>
      </c>
      <c r="W19" s="550">
        <f>(Y19*H19*T19/S19)/'Master P&amp;L'!$AD$7*10000</f>
        <v>0.30256692276818536</v>
      </c>
      <c r="X19" s="551">
        <f t="shared" si="5"/>
        <v>0</v>
      </c>
      <c r="Y19" s="552">
        <f t="shared" si="6"/>
        <v>5.8</v>
      </c>
      <c r="Z19" s="553">
        <f>_xll.BDP(D19&amp;" Equity","LAST_PRICE")</f>
        <v>444.11</v>
      </c>
      <c r="AA19" s="553" cm="1">
        <f t="array" ref="AA19">_xll.BDP(B19&amp;" Equity","OPT_STRIKE_PX")</f>
        <v>490</v>
      </c>
      <c r="AB19" s="549">
        <f t="shared" si="7"/>
        <v>0.10333025601765322</v>
      </c>
      <c r="AC19" s="554" cm="1">
        <f t="array" ref="AC19">_xll.BDP($D19&amp;" Equity","volatility_10d")</f>
        <v>16.342853470282499</v>
      </c>
      <c r="AD19" s="553" cm="1">
        <f t="array" ref="AD19">_xll.BDP(B19&amp;" Equity","ivol_mid")</f>
        <v>27.81427</v>
      </c>
      <c r="AE19" s="553">
        <f t="shared" si="8"/>
        <v>1.70192249784145</v>
      </c>
      <c r="AF19" s="555" cm="1">
        <f t="array" ref="AF19">_xll.BDP(B19&amp;" Equity","DELTA_MID_RT")</f>
        <v>0.21591834723949432</v>
      </c>
      <c r="AG19" s="547">
        <f>AL19/'Master P&amp;L'!$AE$7</f>
        <v>5.0023440043411112E-4</v>
      </c>
      <c r="AH19" s="547">
        <f>AM19/'Master P&amp;L'!$AE$7</f>
        <v>2.3167757943203244E-3</v>
      </c>
      <c r="AI19" s="556">
        <f>AO19/'Master P&amp;L'!$AD$7*10000</f>
        <v>-6.3843425882246681E-3</v>
      </c>
      <c r="AJ19" s="548">
        <f t="shared" si="9"/>
        <v>0.10124084695766271</v>
      </c>
      <c r="AK19" s="555">
        <f>AP19/'Master P&amp;L'!$AD$7*10000</f>
        <v>-0.12128760266138468</v>
      </c>
      <c r="AL19" s="544">
        <f t="shared" si="10"/>
        <v>1198643.7149066478</v>
      </c>
      <c r="AM19" s="544">
        <f t="shared" si="11"/>
        <v>5551375</v>
      </c>
      <c r="AN19" s="555" cm="1">
        <f t="array" ref="AN19">_xll.BDP($B19&amp;" Equity","theta_mid_rt")</f>
        <v>-0.12238346040248871</v>
      </c>
      <c r="AO19" s="544">
        <f t="shared" si="12"/>
        <v>-1529.7932550311089</v>
      </c>
      <c r="AP19" s="544">
        <f t="shared" si="13"/>
        <v>-29062.500000000004</v>
      </c>
      <c r="AQ19" s="546" t="str" cm="1">
        <f t="array" ref="AQ19">_xll.BDP($D19&amp;" Equity","EXPECTED_REPORT_DT")</f>
        <v>28/01/2026</v>
      </c>
      <c r="AR19" s="557" cm="1">
        <f t="array" ref="AR19">_xll.BDP($B19&amp;" Equity","GAMMA_LAST")</f>
        <v>2.7189999999999999E-2</v>
      </c>
      <c r="AS19" s="543">
        <f t="shared" si="14"/>
        <v>670348.0110248751</v>
      </c>
      <c r="AT19" s="543">
        <f t="shared" si="15"/>
        <v>3351740.055124375</v>
      </c>
      <c r="AU19" s="543" t="s">
        <v>151</v>
      </c>
      <c r="AV19" s="558" cm="1">
        <f t="array" ref="AV19">_xll.BDP($D19&amp;" Equity","EST_PE_NXT_YR")*(AA19/Z19)</f>
        <v>26.182701167538241</v>
      </c>
      <c r="AX19" s="544"/>
      <c r="AY19" s="544">
        <v>5.75</v>
      </c>
      <c r="AZ19" s="559"/>
      <c r="BA19" s="544">
        <f t="shared" si="16"/>
        <v>5.75</v>
      </c>
      <c r="BB19" s="560">
        <f t="shared" si="17"/>
        <v>8.125</v>
      </c>
      <c r="BC19" s="560">
        <f t="shared" si="18"/>
        <v>29687.5</v>
      </c>
      <c r="BD19" s="560">
        <f>BC19/'Master P&amp;L'!$AD$7*10000</f>
        <v>0.1238959382024897</v>
      </c>
    </row>
    <row r="20" spans="1:56" s="59" customFormat="1">
      <c r="A20" s="425" t="s">
        <v>1770</v>
      </c>
      <c r="B20" s="59" t="s">
        <v>2057</v>
      </c>
      <c r="C20" s="59" t="str" cm="1">
        <f t="array" ref="C20">_xll.BDP($B20&amp;" Equity","opt_put_call")</f>
        <v>Call</v>
      </c>
      <c r="D20" s="59" t="str" cm="1">
        <f t="array" ref="D20">_xll.BDP(B20&amp;" Equity","OPT_UNDL_TICKER")</f>
        <v>MSFT US</v>
      </c>
      <c r="E20" s="59" t="str" cm="1">
        <f t="array" ref="E20">_xll.BDP($B20&amp;" Equity","mifid_Maturity_date")</f>
        <v>20/03/2026</v>
      </c>
      <c r="F20" s="59" cm="1">
        <f t="array" ref="F20">_xll.BDP($B20&amp;" Equity","opt_days_expire")</f>
        <v>58</v>
      </c>
      <c r="G20" s="59" t="str" cm="1">
        <f t="array" ref="G20">_xll.BDP(B20&amp;" Equity","QUOTED_CURRENCY_REALTIME")</f>
        <v>USD</v>
      </c>
      <c r="H20" s="404">
        <v>-125</v>
      </c>
      <c r="I20" s="411"/>
      <c r="J20" s="14"/>
      <c r="K20" s="14">
        <v>5.88</v>
      </c>
      <c r="L20" s="14" cm="1">
        <f t="array" ref="L20">_xll.BDP($B20&amp;" Equity","mid")</f>
        <v>5.8</v>
      </c>
      <c r="M20" s="128">
        <f t="shared" ref="M20" si="100">L20/Z20</f>
        <v>1.3059827520208957E-2</v>
      </c>
      <c r="N20" s="426"/>
      <c r="O20" s="128">
        <f t="shared" ref="O20" si="101">L20/K20-1</f>
        <v>-1.3605442176870763E-2</v>
      </c>
      <c r="P20" s="14" cm="1">
        <f t="array" ref="P20">_xll.BDP($B20&amp;" Equity","bid")</f>
        <v>5.75</v>
      </c>
      <c r="Q20" s="14" cm="1">
        <f t="array" ref="Q20">_xll.BDP($B20&amp;" Equity","ask")</f>
        <v>5.85</v>
      </c>
      <c r="R20" s="424">
        <f t="shared" ref="R20" si="102">(Q20/P20-1)</f>
        <v>1.7391304347825987E-2</v>
      </c>
      <c r="S20" s="14" cm="1">
        <f t="array" ref="S20">_xll.BDP(G20&amp;" Curncy","PX_LAST")</f>
        <v>1</v>
      </c>
      <c r="T20" s="404" cm="1">
        <f t="array" ref="T20">_xll.BDP(B20&amp;" Equity","OPT_MULTIPLIER")</f>
        <v>100</v>
      </c>
      <c r="U20" s="404">
        <f t="shared" ref="U20" si="103">(L20/S20)*H20*T20</f>
        <v>-72500</v>
      </c>
      <c r="V20" s="427">
        <f>U20/'Master P&amp;L'!$AD$7*10000</f>
        <v>-0.30256692276818536</v>
      </c>
      <c r="W20" s="427">
        <f>(Y20*H20*T20/S20)/'Master P&amp;L'!$AD$7*10000</f>
        <v>-0.30256692276818536</v>
      </c>
      <c r="X20" s="428">
        <f t="shared" ref="X20" si="104">IF(C20="Put",IF(Z20&lt;AA20,AA20-Z20,0),IF(Z20&gt;AA20,Z20-AA20,0))</f>
        <v>0</v>
      </c>
      <c r="Y20" s="429">
        <f t="shared" ref="Y20" si="105">L20-X20</f>
        <v>5.8</v>
      </c>
      <c r="Z20" s="430">
        <f>_xll.BDP(D20&amp;" Equity","LAST_PRICE")</f>
        <v>444.11</v>
      </c>
      <c r="AA20" s="430" cm="1">
        <f t="array" ref="AA20">_xll.BDP(B20&amp;" Equity","OPT_STRIKE_PX")</f>
        <v>490</v>
      </c>
      <c r="AB20" s="424">
        <f t="shared" ref="AB20" si="106">AA20/Z20-1</f>
        <v>0.10333025601765322</v>
      </c>
      <c r="AC20" s="431" cm="1">
        <f t="array" ref="AC20">_xll.BDP($D20&amp;" Equity","volatility_10d")</f>
        <v>16.342853470282499</v>
      </c>
      <c r="AD20" s="430" cm="1">
        <f t="array" ref="AD20">_xll.BDP(B20&amp;" Equity","ivol_mid")</f>
        <v>27.81427</v>
      </c>
      <c r="AE20" s="430">
        <f t="shared" ref="AE20" si="107">AD20/AC20</f>
        <v>1.70192249784145</v>
      </c>
      <c r="AF20" s="432" cm="1">
        <f t="array" ref="AF20">_xll.BDP(B20&amp;" Equity","DELTA_MID_RT")</f>
        <v>0.21591834723949432</v>
      </c>
      <c r="AG20" s="128">
        <f>AL20/'Master P&amp;L'!$AE$7</f>
        <v>-5.0023440043411112E-4</v>
      </c>
      <c r="AH20" s="128">
        <f>AM20/'Master P&amp;L'!$AE$7</f>
        <v>-2.3167757943203244E-3</v>
      </c>
      <c r="AI20" s="441">
        <f>AO20/'Master P&amp;L'!$AD$7*10000</f>
        <v>6.3843425882246681E-3</v>
      </c>
      <c r="AJ20" s="426">
        <f t="shared" ref="AJ20" si="108">(252*AI20)/$AI$1</f>
        <v>-0.10124084695766271</v>
      </c>
      <c r="AK20" s="432">
        <f>AP20/'Master P&amp;L'!$AD$7*10000</f>
        <v>4.1733368657680785E-3</v>
      </c>
      <c r="AL20" s="404">
        <f t="shared" ref="AL20" si="109">Z20*AF20*H20*T20/S20</f>
        <v>-1198643.7149066478</v>
      </c>
      <c r="AM20" s="404">
        <f t="shared" ref="AM20" si="110">IF(C20="Put",-Z20*H20*T20/S20,Z20*H20*T20/S20)</f>
        <v>-5551375</v>
      </c>
      <c r="AN20" s="432" cm="1">
        <f t="array" ref="AN20">_xll.BDP($B20&amp;" Equity","theta_mid_rt")</f>
        <v>-0.12238346040248871</v>
      </c>
      <c r="AO20" s="404">
        <f t="shared" ref="AO20" si="111">AN20*H20*T20/S20</f>
        <v>1529.7932550311089</v>
      </c>
      <c r="AP20" s="404">
        <f t="shared" ref="AP20" si="112">(L20-K20)*T20/S20*H20</f>
        <v>1000.0000000000009</v>
      </c>
      <c r="AQ20" s="14" t="str" cm="1">
        <f t="array" ref="AQ20">_xll.BDP($D20&amp;" Equity","EXPECTED_REPORT_DT")</f>
        <v>28/01/2026</v>
      </c>
      <c r="AR20" s="114" cm="1">
        <f t="array" ref="AR20">_xll.BDP($B20&amp;" Equity","GAMMA_LAST")</f>
        <v>2.7189999999999999E-2</v>
      </c>
      <c r="AS20" s="59">
        <f t="shared" si="14"/>
        <v>-670348.0110248751</v>
      </c>
      <c r="AT20" s="59">
        <f t="shared" si="15"/>
        <v>-3351740.055124375</v>
      </c>
      <c r="AU20" s="59" t="s">
        <v>151</v>
      </c>
      <c r="AV20" s="337" cm="1">
        <f t="array" ref="AV20">_xll.BDP($D20&amp;" Equity","EST_PE_NXT_YR")*(AA20/Z20)</f>
        <v>26.182701167538241</v>
      </c>
      <c r="AX20" s="404"/>
      <c r="AY20" s="404">
        <v>5.75</v>
      </c>
      <c r="AZ20" s="433"/>
      <c r="BA20" s="404">
        <f t="shared" ref="BA20" si="113">+AY20</f>
        <v>5.75</v>
      </c>
      <c r="BB20" s="434">
        <f t="shared" ref="BB20" si="114">+J20</f>
        <v>0</v>
      </c>
      <c r="BC20" s="434">
        <f t="shared" ref="BC20" si="115">(BB20-BA20)*H20*100</f>
        <v>71875</v>
      </c>
      <c r="BD20" s="434">
        <f>BC20/'Master P&amp;L'!$AD$7*10000</f>
        <v>0.29995858722708035</v>
      </c>
    </row>
    <row r="21" spans="1:56" s="59" customFormat="1">
      <c r="A21" s="335"/>
      <c r="B21" s="73" t="s">
        <v>2058</v>
      </c>
      <c r="C21" s="73" t="str" cm="1">
        <f t="array" ref="C21">_xll.BDP($B21&amp;" Equity","opt_put_call")</f>
        <v>Put</v>
      </c>
      <c r="D21" s="73" t="str" cm="1">
        <f t="array" ref="D21">_xll.BDP(B21&amp;" Equity","OPT_UNDL_TICKER")</f>
        <v>MSFT US</v>
      </c>
      <c r="E21" s="73" t="str" cm="1">
        <f t="array" ref="E21">_xll.BDP($B21&amp;" Equity","mifid_Maturity_date")</f>
        <v>20/03/2026</v>
      </c>
      <c r="F21" s="73" cm="1">
        <f t="array" ref="F21">_xll.BDP($B21&amp;" Equity","opt_days_expire")</f>
        <v>58</v>
      </c>
      <c r="G21" s="73" t="str" cm="1">
        <f t="array" ref="G21">_xll.BDP(B21&amp;" Equity","QUOTED_CURRENCY_REALTIME")</f>
        <v>USD</v>
      </c>
      <c r="H21" s="42">
        <v>-50</v>
      </c>
      <c r="I21" s="409">
        <v>17.829999999999998</v>
      </c>
      <c r="J21" s="415">
        <f>VLOOKUP(B21,Precificação!$B:$O,14,FALSE)</f>
        <v>25.274999999999999</v>
      </c>
      <c r="K21" s="74">
        <f t="shared" si="35"/>
        <v>25.274999999999999</v>
      </c>
      <c r="L21" s="74" cm="1">
        <f t="array" ref="L21">_xll.BDP($B21&amp;" Equity","mid")</f>
        <v>31.52</v>
      </c>
      <c r="M21" s="75">
        <f t="shared" si="1"/>
        <v>7.0973407489135568E-2</v>
      </c>
      <c r="N21" s="352"/>
      <c r="O21" s="75">
        <f t="shared" si="2"/>
        <v>0.24708209693372907</v>
      </c>
      <c r="P21" s="74" cm="1">
        <f t="array" ref="P21">_xll.BDP($B21&amp;" Equity","bid")</f>
        <v>31.45</v>
      </c>
      <c r="Q21" s="74" cm="1">
        <f t="array" ref="Q21">_xll.BDP($B21&amp;" Equity","ask")</f>
        <v>31.6</v>
      </c>
      <c r="R21" s="76">
        <f t="shared" si="3"/>
        <v>4.7694753577107729E-3</v>
      </c>
      <c r="S21" s="36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4"/>
        <v>-157600</v>
      </c>
      <c r="V21" s="113">
        <f>U21/'Master P&amp;L'!$AD$7*10000</f>
        <v>-0.65771789004504855</v>
      </c>
      <c r="W21" s="113">
        <f>(Y21*H21*T21/S21)/'Master P&amp;L'!$AD$7*10000</f>
        <v>-0.22181285441557344</v>
      </c>
      <c r="X21" s="118">
        <f t="shared" si="5"/>
        <v>20.889999999999986</v>
      </c>
      <c r="Y21" s="272">
        <f t="shared" si="6"/>
        <v>10.630000000000013</v>
      </c>
      <c r="Z21" s="77">
        <f>_xll.BDP(D21&amp;" Equity","LAST_PRICE")</f>
        <v>444.11</v>
      </c>
      <c r="AA21" s="77" cm="1">
        <f t="array" ref="AA21">_xll.BDP(B21&amp;" Equity","OPT_STRIKE_PX")</f>
        <v>465</v>
      </c>
      <c r="AB21" s="76">
        <f t="shared" si="7"/>
        <v>4.7037896016752567E-2</v>
      </c>
      <c r="AC21" s="323" cm="1">
        <f t="array" ref="AC21">_xll.BDP($D21&amp;" Equity","volatility_10d")</f>
        <v>16.342853470282499</v>
      </c>
      <c r="AD21" s="77" cm="1">
        <f t="array" ref="AD21">_xll.BDP(B21&amp;" Equity","ivol_mid")</f>
        <v>28.46969</v>
      </c>
      <c r="AE21" s="77">
        <f t="shared" si="8"/>
        <v>1.7420268774830958</v>
      </c>
      <c r="AF21" s="78" cm="1">
        <f t="array" ref="AF21">_xll.BDP(B21&amp;" Equity","DELTA_MID_RT")</f>
        <v>-0.63041204214096069</v>
      </c>
      <c r="AG21" s="75">
        <f>AL21/'Master P&amp;L'!$AE$7</f>
        <v>5.8420934387208882E-4</v>
      </c>
      <c r="AH21" s="75">
        <f>AM21/'Master P&amp;L'!$AE$7</f>
        <v>9.267103177281298E-4</v>
      </c>
      <c r="AI21" s="436">
        <f>AO21/'Master P&amp;L'!$AD$7*10000</f>
        <v>3.410633490491569E-3</v>
      </c>
      <c r="AJ21" s="350">
        <f t="shared" si="9"/>
        <v>-5.4084726574103577E-2</v>
      </c>
      <c r="AK21" s="78">
        <f>AP21/'Master P&amp;L'!$AD$7*10000</f>
        <v>-0.13031244363360817</v>
      </c>
      <c r="AL21" s="42">
        <f t="shared" si="10"/>
        <v>1399861.4601761103</v>
      </c>
      <c r="AM21" s="42">
        <f t="shared" si="11"/>
        <v>2220550</v>
      </c>
      <c r="AN21" s="78" cm="1">
        <f t="array" ref="AN21">_xll.BDP($B21&amp;" Equity","theta_mid_rt")</f>
        <v>-0.1634487509727478</v>
      </c>
      <c r="AO21" s="42">
        <f t="shared" si="12"/>
        <v>817.24375486373901</v>
      </c>
      <c r="AP21" s="42">
        <f t="shared" si="13"/>
        <v>-31225.000000000007</v>
      </c>
      <c r="AQ21" s="74" t="str" cm="1">
        <f t="array" ref="AQ21">_xll.BDP($D21&amp;" Equity","EXPECTED_REPORT_DT")</f>
        <v>28/01/2026</v>
      </c>
      <c r="AR21" s="235" cm="1">
        <f t="array" ref="AR21">_xll.BDP($B21&amp;" Equity","GAMMA_LAST")</f>
        <v>3.4598999999999998E-2</v>
      </c>
      <c r="AS21" s="73">
        <f t="shared" si="14"/>
        <v>-341204.42564839509</v>
      </c>
      <c r="AT21" s="73">
        <f t="shared" si="15"/>
        <v>-1706022.1282419753</v>
      </c>
      <c r="AU21" s="73" t="s">
        <v>151</v>
      </c>
      <c r="AV21" s="322" cm="1">
        <f t="array" ref="AV21">_xll.BDP($D21&amp;" Equity","EST_PE_NXT_YR")*(AA21/Z21)</f>
        <v>24.846849067153638</v>
      </c>
      <c r="AW21" s="73"/>
      <c r="AX21" s="42"/>
      <c r="AY21" s="42">
        <v>31.8</v>
      </c>
      <c r="AZ21" s="354"/>
      <c r="BA21" s="42">
        <f t="shared" si="16"/>
        <v>31.8</v>
      </c>
      <c r="BB21" s="346">
        <f t="shared" si="17"/>
        <v>25.274999999999999</v>
      </c>
      <c r="BC21" s="346">
        <f t="shared" si="18"/>
        <v>32625.000000000011</v>
      </c>
      <c r="BD21" s="346">
        <f>BC21/'Master P&amp;L'!$AD$7*10000</f>
        <v>0.13615511524568347</v>
      </c>
    </row>
    <row r="22" spans="1:56">
      <c r="A22" s="356"/>
      <c r="B22" t="s">
        <v>2295</v>
      </c>
      <c r="C22" t="str" cm="1">
        <f t="array" ref="C22">_xll.BDP($B22&amp;" Equity","opt_put_call")</f>
        <v>Put</v>
      </c>
      <c r="D22" t="str" cm="1">
        <f t="array" ref="D22">_xll.BDP(B22&amp;" Equity","OPT_UNDL_TICKER")</f>
        <v>AMAT US</v>
      </c>
      <c r="E22" t="str" cm="1">
        <f t="array" ref="E22">_xll.BDP($B22&amp;" Equity","mifid_Maturity_date")</f>
        <v>23/01/2026</v>
      </c>
      <c r="F22" cm="1">
        <f t="array" ref="F22">_xll.BDP($B22&amp;" Equity","opt_days_expire")</f>
        <v>2</v>
      </c>
      <c r="G22" t="str" cm="1">
        <f t="array" ref="G22">_xll.BDP(B22&amp;" Equity","QUOTED_CURRENCY_REALTIME")</f>
        <v>USD</v>
      </c>
      <c r="H22" s="15">
        <v>125</v>
      </c>
      <c r="I22" s="410">
        <v>3.75</v>
      </c>
      <c r="J22" s="415">
        <f>VLOOKUP(B22,Precificação!$B:$O,14,FALSE)</f>
        <v>0.59717152999301149</v>
      </c>
      <c r="K22" s="74">
        <f t="shared" si="35"/>
        <v>0.59717152999301149</v>
      </c>
      <c r="L22" s="74" cm="1">
        <f t="array" ref="L22">_xll.BDP($B22&amp;" Equity","mid")</f>
        <v>0.19</v>
      </c>
      <c r="M22" s="19">
        <f t="shared" si="1"/>
        <v>5.8430974567149491E-4</v>
      </c>
      <c r="N22" s="350"/>
      <c r="O22" s="19">
        <f t="shared" si="2"/>
        <v>-0.68183345913656757</v>
      </c>
      <c r="P22" s="36" cm="1">
        <f t="array" ref="P22">_xll.BDP($B22&amp;" Equity","bid")</f>
        <v>0.06</v>
      </c>
      <c r="Q22" s="36" cm="1">
        <f t="array" ref="Q22">_xll.BDP($B22&amp;" Equity","ask")</f>
        <v>0.31</v>
      </c>
      <c r="R22" s="40">
        <f t="shared" si="3"/>
        <v>4.166666666666667</v>
      </c>
      <c r="S22" s="36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si="4"/>
        <v>2375</v>
      </c>
      <c r="V22" s="124">
        <f>U22/'Master P&amp;L'!$AD$7*10000</f>
        <v>9.9116750561991773E-3</v>
      </c>
      <c r="W22" s="124">
        <f>(Y22*H22*T22/S22)/'Master P&amp;L'!$AD$7*10000</f>
        <v>9.9116750561991773E-3</v>
      </c>
      <c r="X22" s="413">
        <f t="shared" si="5"/>
        <v>0</v>
      </c>
      <c r="Y22" s="273">
        <f t="shared" si="6"/>
        <v>0.19</v>
      </c>
      <c r="Z22" s="37">
        <f>_xll.BDP(D22&amp;" Equity","LAST_PRICE")</f>
        <v>325.17</v>
      </c>
      <c r="AA22" s="37" cm="1">
        <f t="array" ref="AA22">_xll.BDP(B22&amp;" Equity","OPT_STRIKE_PX")</f>
        <v>290</v>
      </c>
      <c r="AB22" s="40">
        <f t="shared" si="7"/>
        <v>-0.10815880923824461</v>
      </c>
      <c r="AC22" s="324" cm="1">
        <f t="array" ref="AC22">_xll.BDP($D22&amp;" Equity","volatility_10d")</f>
        <v>57.767838122227865</v>
      </c>
      <c r="AD22" s="37" cm="1">
        <f t="array" ref="AD22">_xll.BDP(B22&amp;" Equity","ivol_mid")</f>
        <v>70.386399999999995</v>
      </c>
      <c r="AE22" s="37">
        <f t="shared" si="8"/>
        <v>1.2184357643966734</v>
      </c>
      <c r="AF22" s="38" cm="1">
        <f t="array" ref="AF22">_xll.BDP(B22&amp;" Equity","DELTA_MID_RT")</f>
        <v>-2.4811664596199989E-2</v>
      </c>
      <c r="AG22" s="19">
        <f>AL22/'Master P&amp;L'!$AE$7</f>
        <v>-4.2088149120004126E-5</v>
      </c>
      <c r="AH22" s="19">
        <f>AM22/'Master P&amp;L'!$AE$7</f>
        <v>-1.696304935802256E-3</v>
      </c>
      <c r="AI22" s="435">
        <f>AO22/'Master P&amp;L'!$AD$7*10000</f>
        <v>-7.4298718080671707E-3</v>
      </c>
      <c r="AJ22" s="350">
        <f t="shared" si="9"/>
        <v>0.11782051233011161</v>
      </c>
      <c r="AK22" s="38">
        <f>AP22/'Master P&amp;L'!$AD$7*10000</f>
        <v>-2.1240799460137825E-2</v>
      </c>
      <c r="AL22" s="15">
        <f t="shared" si="10"/>
        <v>-100850.11220932938</v>
      </c>
      <c r="AM22" s="15">
        <f t="shared" si="11"/>
        <v>-4064625</v>
      </c>
      <c r="AN22" s="38" cm="1">
        <f t="array" ref="AN22">_xll.BDP($B22&amp;" Equity","theta_mid_rt")</f>
        <v>-0.142425537109375</v>
      </c>
      <c r="AO22" s="15">
        <f t="shared" si="12"/>
        <v>-1780.3192138671875</v>
      </c>
      <c r="AP22" s="15">
        <f t="shared" si="13"/>
        <v>-5089.6441249126437</v>
      </c>
      <c r="AQ22" s="36" t="str" cm="1">
        <f t="array" ref="AQ22">_xll.BDP($D22&amp;" Equity","EXPECTED_REPORT_DT")</f>
        <v>12/02/2026</v>
      </c>
      <c r="AR22" s="66" cm="1">
        <f t="array" ref="AR22">_xll.BDP($B22&amp;" Equity","GAMMA_LAST")</f>
        <v>8.5629999999999994E-3</v>
      </c>
      <c r="AS22">
        <f t="shared" si="14"/>
        <v>113176.66674633752</v>
      </c>
      <c r="AT22">
        <f t="shared" si="15"/>
        <v>565883.33373168763</v>
      </c>
      <c r="AU22" t="s">
        <v>151</v>
      </c>
      <c r="AV22" s="277" cm="1">
        <f t="array" ref="AV22">_xll.BDP($D22&amp;" Equity","EST_PE_NXT_YR")*(AA22/Z22)</f>
        <v>25.103110075047635</v>
      </c>
      <c r="AX22" s="15"/>
      <c r="AY22" s="15">
        <v>0.19</v>
      </c>
      <c r="AZ22" s="355"/>
      <c r="BA22" s="15">
        <f t="shared" si="16"/>
        <v>0.19</v>
      </c>
      <c r="BB22" s="414">
        <f t="shared" si="17"/>
        <v>0.59717152999301149</v>
      </c>
      <c r="BC22" s="414">
        <f t="shared" si="18"/>
        <v>5089.6441249126428</v>
      </c>
      <c r="BD22" s="414">
        <f>BC22/'Master P&amp;L'!$AD$7*10000</f>
        <v>2.1240799460137821E-2</v>
      </c>
    </row>
    <row r="23" spans="1:56" s="59" customFormat="1">
      <c r="A23" s="335"/>
      <c r="B23" s="73" t="s">
        <v>2294</v>
      </c>
      <c r="C23" s="73" t="str" cm="1">
        <f t="array" ref="C23">_xll.BDP($B23&amp;" Equity","opt_put_call")</f>
        <v>Put</v>
      </c>
      <c r="D23" s="73" t="str" cm="1">
        <f t="array" ref="D23">_xll.BDP(B23&amp;" Equity","OPT_UNDL_TICKER")</f>
        <v>AMAT US</v>
      </c>
      <c r="E23" s="73" t="str" cm="1">
        <f t="array" ref="E23">_xll.BDP($B23&amp;" Equity","mifid_Maturity_date")</f>
        <v>23/01/2026</v>
      </c>
      <c r="F23" s="73" cm="1">
        <f t="array" ref="F23">_xll.BDP($B23&amp;" Equity","opt_days_expire")</f>
        <v>2</v>
      </c>
      <c r="G23" s="73" t="str" cm="1">
        <f t="array" ref="G23">_xll.BDP(B23&amp;" Equity","QUOTED_CURRENCY_REALTIME")</f>
        <v>USD</v>
      </c>
      <c r="H23" s="42">
        <v>-25</v>
      </c>
      <c r="I23" s="409">
        <v>1.66</v>
      </c>
      <c r="J23" s="415">
        <f>VLOOKUP(B23,Precificação!$B:$O,14,FALSE)</f>
        <v>0.26497442829221096</v>
      </c>
      <c r="K23" s="74">
        <f t="shared" si="35"/>
        <v>0.26497442829221096</v>
      </c>
      <c r="L23" s="74" cm="1">
        <f t="array" ref="L23">_xll.BDP($B23&amp;" Equity","mid")</f>
        <v>0.09</v>
      </c>
      <c r="M23" s="75">
        <f t="shared" si="1"/>
        <v>2.7677830058123442E-4</v>
      </c>
      <c r="N23" s="352"/>
      <c r="O23" s="75">
        <f t="shared" si="2"/>
        <v>-0.66034458275819374</v>
      </c>
      <c r="P23" s="74" cm="1">
        <f t="array" ref="P23">_xll.BDP($B23&amp;" Equity","bid")</f>
        <v>0.03</v>
      </c>
      <c r="Q23" s="74" cm="1">
        <f t="array" ref="Q23">_xll.BDP($B23&amp;" Equity","ask")</f>
        <v>0.14000000000000001</v>
      </c>
      <c r="R23" s="76">
        <f t="shared" si="3"/>
        <v>3.666666666666667</v>
      </c>
      <c r="S23" s="36" cm="1">
        <f t="array" ref="S23">_xll.BDP(G23&amp;" Curncy","PX_LAST")</f>
        <v>1</v>
      </c>
      <c r="T23" s="42" cm="1">
        <f t="array" ref="T23">_xll.BDP(B23&amp;" Equity","OPT_MULTIPLIER")</f>
        <v>100</v>
      </c>
      <c r="U23" s="42">
        <f t="shared" si="4"/>
        <v>-225</v>
      </c>
      <c r="V23" s="113">
        <f>U23/'Master P&amp;L'!$AD$7*10000</f>
        <v>-9.3900079479781681E-4</v>
      </c>
      <c r="W23" s="113">
        <f>(Y23*H23*T23/S23)/'Master P&amp;L'!$AD$7*10000</f>
        <v>-9.3900079479781681E-4</v>
      </c>
      <c r="X23" s="118">
        <f t="shared" si="5"/>
        <v>0</v>
      </c>
      <c r="Y23" s="272">
        <f t="shared" si="6"/>
        <v>0.09</v>
      </c>
      <c r="Z23" s="77">
        <f>_xll.BDP(D23&amp;" Equity","LAST_PRICE")</f>
        <v>325.17</v>
      </c>
      <c r="AA23" s="77" cm="1">
        <f t="array" ref="AA23">_xll.BDP(B23&amp;" Equity","OPT_STRIKE_PX")</f>
        <v>280</v>
      </c>
      <c r="AB23" s="76">
        <f t="shared" si="7"/>
        <v>-0.13891195374727072</v>
      </c>
      <c r="AC23" s="323" cm="1">
        <f t="array" ref="AC23">_xll.BDP($D23&amp;" Equity","volatility_10d")</f>
        <v>57.767838122227865</v>
      </c>
      <c r="AD23" s="77" cm="1">
        <f t="array" ref="AD23">_xll.BDP(B23&amp;" Equity","ivol_mid")</f>
        <v>75.659030000000001</v>
      </c>
      <c r="AE23" s="77">
        <f t="shared" si="8"/>
        <v>1.3097085239699835</v>
      </c>
      <c r="AF23" s="78" cm="1">
        <f t="array" ref="AF23">_xll.BDP(B23&amp;" Equity","DELTA_MID_RT")</f>
        <v>-1.0987383313477039E-2</v>
      </c>
      <c r="AG23" s="75">
        <f>AL23/'Master P&amp;L'!$AE$7</f>
        <v>3.7275905092404895E-6</v>
      </c>
      <c r="AH23" s="75">
        <f>AM23/'Master P&amp;L'!$AE$7</f>
        <v>3.3926098716045118E-4</v>
      </c>
      <c r="AI23" s="436">
        <f>AO23/'Master P&amp;L'!$AD$7*10000</f>
        <v>7.4171731072220797E-4</v>
      </c>
      <c r="AJ23" s="350">
        <f t="shared" si="9"/>
        <v>-1.1761914042516555E-2</v>
      </c>
      <c r="AK23" s="78">
        <f>AP23/'Master P&amp;L'!$AD$7*10000</f>
        <v>1.8255680803964411E-3</v>
      </c>
      <c r="AL23" s="42">
        <f t="shared" si="10"/>
        <v>8931.9185801083222</v>
      </c>
      <c r="AM23" s="42">
        <f t="shared" si="11"/>
        <v>812925</v>
      </c>
      <c r="AN23" s="78" cm="1">
        <f t="array" ref="AN23">_xll.BDP($B23&amp;" Equity","theta_mid_rt")</f>
        <v>-7.1091055870056152E-2</v>
      </c>
      <c r="AO23" s="42">
        <f t="shared" si="12"/>
        <v>177.72763967514038</v>
      </c>
      <c r="AP23" s="42">
        <f t="shared" si="13"/>
        <v>437.43607073052743</v>
      </c>
      <c r="AQ23" s="74" t="str" cm="1">
        <f t="array" ref="AQ23">_xll.BDP($D23&amp;" Equity","EXPECTED_REPORT_DT")</f>
        <v>12/02/2026</v>
      </c>
      <c r="AR23" s="235" cm="1">
        <f t="array" ref="AR23">_xll.BDP($B23&amp;" Equity","GAMMA_LAST")</f>
        <v>4.0540000000000003E-3</v>
      </c>
      <c r="AS23" s="73">
        <f t="shared" si="14"/>
        <v>-10716.295854015001</v>
      </c>
      <c r="AT23" s="73">
        <f t="shared" si="15"/>
        <v>-53581.479270075011</v>
      </c>
      <c r="AU23" s="73" t="s">
        <v>151</v>
      </c>
      <c r="AV23" s="322" cm="1">
        <f t="array" ref="AV23">_xll.BDP($D23&amp;" Equity","EST_PE_NXT_YR")*(AA23/Z23)</f>
        <v>24.237485589701162</v>
      </c>
      <c r="AW23" s="73"/>
      <c r="AX23" s="42"/>
      <c r="AY23" s="42">
        <v>0.09</v>
      </c>
      <c r="AZ23" s="354"/>
      <c r="BA23" s="42">
        <f t="shared" si="16"/>
        <v>0.09</v>
      </c>
      <c r="BB23" s="346">
        <f t="shared" si="17"/>
        <v>0.26497442829221096</v>
      </c>
      <c r="BC23" s="346">
        <f t="shared" si="18"/>
        <v>-437.43607073052743</v>
      </c>
      <c r="BD23" s="346">
        <f>BC23/'Master P&amp;L'!$AD$7*10000</f>
        <v>-1.8255680803964411E-3</v>
      </c>
    </row>
    <row r="24" spans="1:56" s="498" customFormat="1">
      <c r="A24" s="499"/>
      <c r="B24" s="498" t="s">
        <v>2322</v>
      </c>
      <c r="C24" s="498" t="s">
        <v>1934</v>
      </c>
      <c r="D24" s="498" t="str" cm="1">
        <f t="array" ref="D24">_xll.BDP(B24&amp;" Index","OPT_UNDL_TICKER")</f>
        <v>1OH6</v>
      </c>
      <c r="E24" s="498" t="str" cm="1">
        <f t="array" ref="E24">_xll.BDP($B24&amp;" Index","mifid_Maturity_date")</f>
        <v>06/02/2026</v>
      </c>
      <c r="F24" s="498" cm="1">
        <f t="array" ref="F24">_xll.BDP($B24&amp;" Index","opt_days_expire")</f>
        <v>16</v>
      </c>
      <c r="G24" s="498" t="str" cm="1">
        <f t="array" ref="G24">_xll.BDP(B24&amp;" Index","QUOTED_CURRENCY_REALTIME")</f>
        <v>USD</v>
      </c>
      <c r="H24" s="497">
        <v>30</v>
      </c>
      <c r="I24" s="496">
        <v>340.1</v>
      </c>
      <c r="J24" s="495" t="e">
        <f>VLOOKUP(B24,Precificação!$B:$O,14,FALSE)</f>
        <v>#N/A</v>
      </c>
      <c r="K24" s="495">
        <f>_xll.BDP(B24&amp;" index","PX_YEST_CLOSE")</f>
        <v>447.5</v>
      </c>
      <c r="L24" s="495" cm="1">
        <f t="array" ref="L24">_xll.BDP($B24&amp;" Index","mid")</f>
        <v>255.63</v>
      </c>
      <c r="M24" s="494">
        <f t="shared" ref="M24:M29" si="116">L24/Z24</f>
        <v>1.0027065191809837E-2</v>
      </c>
      <c r="N24" s="493"/>
      <c r="O24" s="494">
        <f t="shared" ref="O24:O29" si="117">L24/K24-1</f>
        <v>-0.42875977653631281</v>
      </c>
      <c r="P24" s="495" cm="1">
        <f t="array" ref="P24">_xll.BDP($B24&amp;" Index","bid")</f>
        <v>254</v>
      </c>
      <c r="Q24" s="495" cm="1">
        <f t="array" ref="Q24">_xll.BDP($B24&amp;" Index","ask")</f>
        <v>257.25</v>
      </c>
      <c r="R24" s="492">
        <f t="shared" ref="R24:R29" si="118">(Q24/P24-1)</f>
        <v>1.2795275590551158E-2</v>
      </c>
      <c r="S24" s="495" cm="1">
        <f t="array" ref="S24">_xll.BDP(G24&amp;" Curncy","PX_LAST")</f>
        <v>1</v>
      </c>
      <c r="T24" s="497">
        <v>20</v>
      </c>
      <c r="U24" s="497">
        <f t="shared" ref="U24:U29" si="119">(L24/S24)*H24*T24</f>
        <v>153378</v>
      </c>
      <c r="V24" s="491">
        <f>U24/'Master P&amp;L'!$AD$7*10000</f>
        <v>0.64009806179777573</v>
      </c>
      <c r="W24" s="491">
        <f>(Y24*H24*T24/S24)/'Master P&amp;L'!$AD$7*10000</f>
        <v>0.64009806179777573</v>
      </c>
      <c r="X24" s="490">
        <f t="shared" ref="X24:X29" si="120">IF(C24="Put",IF(Z24&lt;AA24,AA24-Z24,0),IF(Z24&gt;AA24,Z24-AA24,0))</f>
        <v>0</v>
      </c>
      <c r="Y24" s="489">
        <f t="shared" ref="Y24:Y29" si="121">L24-X24</f>
        <v>255.63</v>
      </c>
      <c r="Z24" s="488">
        <f>_xll.BDP(D24&amp;" Index","LAST_PRICE")</f>
        <v>25494</v>
      </c>
      <c r="AA24" s="488" cm="1">
        <f t="array" ref="AA24">_xll.BDP(B24&amp;" Index","OPT_STRIKE_PX")</f>
        <v>25000</v>
      </c>
      <c r="AB24" s="492">
        <f t="shared" ref="AB24:AB29" si="122">AA24/Z24-1</f>
        <v>-1.937710833921702E-2</v>
      </c>
      <c r="AC24" s="487" cm="1">
        <f t="array" ref="AC24">_xll.BDP($D24&amp;" Index","volatility_10d")</f>
        <v>18.738388061523438</v>
      </c>
      <c r="AD24" s="488" cm="1">
        <f t="array" ref="AD24">_xll.BDP(B24&amp;" Index","ivol_mid")</f>
        <v>22.705507999999998</v>
      </c>
      <c r="AE24" s="488">
        <f t="shared" ref="AE24:AE29" si="123">AD24/AC24</f>
        <v>1.2117108432940646</v>
      </c>
      <c r="AF24" s="486" cm="1">
        <f t="array" ref="AF24">_xll.BDP(B24&amp;" Index","DELTA_MID_RT")</f>
        <v>-0.32586556673049927</v>
      </c>
      <c r="AG24" s="494">
        <f>AL24/'Master P&amp;L'!$AE$7</f>
        <v>-2.0802289970269713E-3</v>
      </c>
      <c r="AH24" s="494">
        <f>AM24/'Master P&amp;L'!$AE$7</f>
        <v>-6.3837030033534773E-3</v>
      </c>
      <c r="AI24" s="501">
        <f>AO24/'Master P&amp;L'!$AD$7*10000</f>
        <v>-3.4836784774046926E-2</v>
      </c>
      <c r="AJ24" s="493">
        <f t="shared" ref="AJ24:AJ29" si="124">(252*AI24)/$AI$1</f>
        <v>0.5524305043265334</v>
      </c>
      <c r="AK24" s="486">
        <f>AP24/'Master P&amp;L'!$AD$7*10000</f>
        <v>-0.48044288666095231</v>
      </c>
      <c r="AL24" s="497">
        <f t="shared" ref="AL24:AL29" si="125">Z24*AF24*H24*T24/S24</f>
        <v>-4984570.054936409</v>
      </c>
      <c r="AM24" s="497">
        <f t="shared" ref="AM24:AM29" si="126">IF(C24="Put",-Z24*H24*T24/S24,Z24*H24*T24/S24)</f>
        <v>-15296400</v>
      </c>
      <c r="AN24" s="486" cm="1">
        <f t="array" ref="AN24">_xll.BDP($B24&amp;" Index","theta_mid_rt")</f>
        <v>-13.912442207336426</v>
      </c>
      <c r="AO24" s="497">
        <f t="shared" ref="AO24:AO29" si="127">AN24*H24*T24/S24</f>
        <v>-8347.4653244018555</v>
      </c>
      <c r="AP24" s="497">
        <f t="shared" ref="AP24:AP29" si="128">(L24-K24)*T24/S24*H24</f>
        <v>-115122</v>
      </c>
      <c r="AQ24" s="495" t="str" cm="1">
        <f t="array" ref="AQ24">_xll.BDP($D24&amp;" Index","EXPECTED_REPORT_DT")</f>
        <v>#N/A Field Not Applicable</v>
      </c>
      <c r="AR24" s="500" cm="1">
        <f t="array" ref="AR24">_xll.BDP($B24&amp;" Index","GAMMA_LAST")</f>
        <v>8.1763000000000002E-2</v>
      </c>
      <c r="AS24" s="498">
        <f t="shared" si="14"/>
        <v>318848245.29280794</v>
      </c>
      <c r="AT24" s="498">
        <f t="shared" si="15"/>
        <v>1594241226.46404</v>
      </c>
      <c r="AU24" s="498" t="s">
        <v>151</v>
      </c>
      <c r="AV24" s="485" t="e" cm="1">
        <f t="array" ref="AV24">_xll.BDP($D24&amp;" Index","EST_PE_NXT_YR")*(AA24/Z24)</f>
        <v>#VALUE!</v>
      </c>
      <c r="AX24" s="497"/>
      <c r="AY24" s="497">
        <v>265.88</v>
      </c>
      <c r="AZ24" s="484"/>
      <c r="BA24" s="497">
        <f t="shared" ref="BA24:BA29" si="129">+AY24</f>
        <v>265.88</v>
      </c>
      <c r="BB24" s="515" t="e">
        <f t="shared" ref="BB24:BB29" si="130">+J24</f>
        <v>#N/A</v>
      </c>
      <c r="BC24" s="515" t="e">
        <f t="shared" ref="BC24:BC29" si="131">(BB24-BA24)*H24*100</f>
        <v>#N/A</v>
      </c>
      <c r="BD24" s="515" t="e">
        <f>BC24/'Master P&amp;L'!$AD$7*10000</f>
        <v>#N/A</v>
      </c>
    </row>
    <row r="25" spans="1:56" s="498" customFormat="1">
      <c r="A25" s="499" t="s">
        <v>1770</v>
      </c>
      <c r="B25" s="498" t="s">
        <v>2322</v>
      </c>
      <c r="C25" s="498" t="s">
        <v>1934</v>
      </c>
      <c r="D25" s="498" t="str" cm="1">
        <f t="array" ref="D25">_xll.BDP(B25&amp;" Index","OPT_UNDL_TICKER")</f>
        <v>1OH6</v>
      </c>
      <c r="E25" s="498" t="str" cm="1">
        <f t="array" ref="E25">_xll.BDP($B25&amp;" Index","mifid_Maturity_date")</f>
        <v>06/02/2026</v>
      </c>
      <c r="F25" s="498" cm="1">
        <f t="array" ref="F25">_xll.BDP($B25&amp;" Index","opt_days_expire")</f>
        <v>16</v>
      </c>
      <c r="G25" s="498" t="str" cm="1">
        <f t="array" ref="G25">_xll.BDP(B25&amp;" Index","QUOTED_CURRENCY_REALTIME")</f>
        <v>USD</v>
      </c>
      <c r="H25" s="497">
        <v>-20</v>
      </c>
      <c r="I25" s="496"/>
      <c r="J25" s="495"/>
      <c r="K25" s="495">
        <v>458.43</v>
      </c>
      <c r="L25" s="495" cm="1">
        <f t="array" ref="L25">_xll.BDP($B25&amp;" Index","mid")</f>
        <v>255.63</v>
      </c>
      <c r="M25" s="494">
        <f t="shared" ref="M25" si="132">L25/Z25</f>
        <v>1.0027065191809837E-2</v>
      </c>
      <c r="N25" s="493"/>
      <c r="O25" s="494">
        <f t="shared" ref="O25" si="133">L25/K25-1</f>
        <v>-0.44237942543027287</v>
      </c>
      <c r="P25" s="495" cm="1">
        <f t="array" ref="P25">_xll.BDP($B25&amp;" Index","bid")</f>
        <v>254</v>
      </c>
      <c r="Q25" s="495" cm="1">
        <f t="array" ref="Q25">_xll.BDP($B25&amp;" Index","ask")</f>
        <v>257.25</v>
      </c>
      <c r="R25" s="492">
        <f t="shared" ref="R25" si="134">(Q25/P25-1)</f>
        <v>1.2795275590551158E-2</v>
      </c>
      <c r="S25" s="495" cm="1">
        <f t="array" ref="S25">_xll.BDP(G25&amp;" Curncy","PX_LAST")</f>
        <v>1</v>
      </c>
      <c r="T25" s="497">
        <v>20</v>
      </c>
      <c r="U25" s="497">
        <f t="shared" ref="U25" si="135">(L25/S25)*H25*T25</f>
        <v>-102252</v>
      </c>
      <c r="V25" s="491">
        <f>U25/'Master P&amp;L'!$AD$7*10000</f>
        <v>-0.42673204119851715</v>
      </c>
      <c r="W25" s="491">
        <f>(Y25*H25*T25/S25)/'Master P&amp;L'!$AD$7*10000</f>
        <v>-0.42673204119851715</v>
      </c>
      <c r="X25" s="490">
        <f t="shared" ref="X25" si="136">IF(C25="Put",IF(Z25&lt;AA25,AA25-Z25,0),IF(Z25&gt;AA25,Z25-AA25,0))</f>
        <v>0</v>
      </c>
      <c r="Y25" s="489">
        <f t="shared" ref="Y25" si="137">L25-X25</f>
        <v>255.63</v>
      </c>
      <c r="Z25" s="488">
        <f>_xll.BDP(D25&amp;" Index","LAST_PRICE")</f>
        <v>25494</v>
      </c>
      <c r="AA25" s="488" cm="1">
        <f t="array" ref="AA25">_xll.BDP(B25&amp;" Index","OPT_STRIKE_PX")</f>
        <v>25000</v>
      </c>
      <c r="AB25" s="492">
        <f t="shared" ref="AB25" si="138">AA25/Z25-1</f>
        <v>-1.937710833921702E-2</v>
      </c>
      <c r="AC25" s="487" cm="1">
        <f t="array" ref="AC25">_xll.BDP($D25&amp;" Index","volatility_10d")</f>
        <v>18.738388061523438</v>
      </c>
      <c r="AD25" s="488" cm="1">
        <f t="array" ref="AD25">_xll.BDP(B25&amp;" Index","ivol_mid")</f>
        <v>22.705507999999998</v>
      </c>
      <c r="AE25" s="488">
        <f t="shared" ref="AE25" si="139">AD25/AC25</f>
        <v>1.2117108432940646</v>
      </c>
      <c r="AF25" s="486" cm="1">
        <f t="array" ref="AF25">_xll.BDP(B25&amp;" Index","DELTA_MID_RT")</f>
        <v>-0.32586556673049927</v>
      </c>
      <c r="AG25" s="494">
        <f>AL25/'Master P&amp;L'!$AE$7</f>
        <v>1.3868193313513141E-3</v>
      </c>
      <c r="AH25" s="494">
        <f>AM25/'Master P&amp;L'!$AE$7</f>
        <v>4.2558020022356513E-3</v>
      </c>
      <c r="AI25" s="501">
        <f>AO25/'Master P&amp;L'!$AD$7*10000</f>
        <v>2.3224523182697947E-2</v>
      </c>
      <c r="AJ25" s="493">
        <f t="shared" ref="AJ25" si="140">(252*AI25)/$AI$1</f>
        <v>-0.36828700288435556</v>
      </c>
      <c r="AK25" s="486">
        <f>AP25/'Master P&amp;L'!$AD$7*10000</f>
        <v>0.33854108655110615</v>
      </c>
      <c r="AL25" s="497">
        <f t="shared" ref="AL25" si="141">Z25*AF25*H25*T25/S25</f>
        <v>3323046.7032909393</v>
      </c>
      <c r="AM25" s="497">
        <f t="shared" ref="AM25" si="142">IF(C25="Put",-Z25*H25*T25/S25,Z25*H25*T25/S25)</f>
        <v>10197600</v>
      </c>
      <c r="AN25" s="486" cm="1">
        <f t="array" ref="AN25">_xll.BDP($B25&amp;" Index","theta_mid_rt")</f>
        <v>-13.912442207336426</v>
      </c>
      <c r="AO25" s="497">
        <f t="shared" ref="AO25" si="143">AN25*H25*T25/S25</f>
        <v>5564.9768829345703</v>
      </c>
      <c r="AP25" s="497">
        <f t="shared" ref="AP25" si="144">(L25-K25)*T25/S25*H25</f>
        <v>81120</v>
      </c>
      <c r="AQ25" s="495" t="str" cm="1">
        <f t="array" ref="AQ25">_xll.BDP($D25&amp;" Index","EXPECTED_REPORT_DT")</f>
        <v>#N/A Field Not Applicable</v>
      </c>
      <c r="AR25" s="500" cm="1">
        <f t="array" ref="AR25">_xll.BDP($B25&amp;" Index","GAMMA_LAST")</f>
        <v>8.1763000000000002E-2</v>
      </c>
      <c r="AS25" s="498">
        <f t="shared" si="14"/>
        <v>-212565496.86187202</v>
      </c>
      <c r="AT25" s="498">
        <f t="shared" si="15"/>
        <v>-1062827484.30936</v>
      </c>
      <c r="AU25" s="498" t="s">
        <v>151</v>
      </c>
      <c r="AV25" s="485" t="e" cm="1">
        <f t="array" ref="AV25">_xll.BDP($D25&amp;" Index","EST_PE_NXT_YR")*(AA25/Z25)</f>
        <v>#VALUE!</v>
      </c>
      <c r="AX25" s="497"/>
      <c r="AY25" s="497">
        <v>265.88</v>
      </c>
      <c r="AZ25" s="484"/>
      <c r="BA25" s="497">
        <f t="shared" ref="BA25" si="145">+AY25</f>
        <v>265.88</v>
      </c>
      <c r="BB25" s="515">
        <f t="shared" ref="BB25" si="146">+J25</f>
        <v>0</v>
      </c>
      <c r="BC25" s="515">
        <f t="shared" ref="BC25" si="147">(BB25-BA25)*H25*100</f>
        <v>531760</v>
      </c>
      <c r="BD25" s="515">
        <f>BC25/'Master P&amp;L'!$AD$7*10000</f>
        <v>2.2192136117408312</v>
      </c>
    </row>
    <row r="26" spans="1:56" s="59" customFormat="1">
      <c r="A26" s="335"/>
      <c r="B26" s="73" t="s">
        <v>2327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GDX US</v>
      </c>
      <c r="E26" s="73" t="str" cm="1">
        <f t="array" ref="E26">_xll.BDP($B26&amp;" Equity","mifid_Maturity_date")</f>
        <v>18/09/2026</v>
      </c>
      <c r="F26" s="73" cm="1">
        <f t="array" ref="F26">_xll.BDP($B26&amp;" Equity","opt_days_expire")</f>
        <v>240</v>
      </c>
      <c r="G26" s="73" t="str" cm="1">
        <f t="array" ref="G26">_xll.BDP(B26&amp;" Equity","QUOTED_CURRENCY_REALTIME")</f>
        <v>USD</v>
      </c>
      <c r="H26" s="42">
        <v>1100</v>
      </c>
      <c r="I26" s="409">
        <v>14.73</v>
      </c>
      <c r="J26" s="415">
        <f>VLOOKUP(B26,Precificação!$B:$O,14,FALSE)</f>
        <v>14.75</v>
      </c>
      <c r="K26" s="74">
        <f t="shared" si="35"/>
        <v>14.75</v>
      </c>
      <c r="L26" s="74" cm="1">
        <f t="array" ref="L26">_xll.BDP($B26&amp;" Equity","mid")</f>
        <v>13.57</v>
      </c>
      <c r="M26" s="75">
        <f t="shared" si="116"/>
        <v>0.1339717642412874</v>
      </c>
      <c r="N26" s="352"/>
      <c r="O26" s="75">
        <f t="shared" si="117"/>
        <v>-7.999999999999996E-2</v>
      </c>
      <c r="P26" s="74" cm="1">
        <f t="array" ref="P26">_xll.BDP($B26&amp;" Equity","bid")</f>
        <v>12.8</v>
      </c>
      <c r="Q26" s="74" cm="1">
        <f t="array" ref="Q26">_xll.BDP($B26&amp;" Equity","ask")</f>
        <v>14.35</v>
      </c>
      <c r="R26" s="76">
        <f t="shared" si="118"/>
        <v>0.12109375</v>
      </c>
      <c r="S26" s="36" cm="1">
        <f t="array" ref="S26">_xll.BDP(G26&amp;" Curncy","PX_LAST")</f>
        <v>1</v>
      </c>
      <c r="T26" s="42" cm="1">
        <f t="array" ref="T26">_xll.BDP(B26&amp;" Equity","OPT_MULTIPLIER")</f>
        <v>100</v>
      </c>
      <c r="U26" s="42">
        <f t="shared" si="119"/>
        <v>1492700</v>
      </c>
      <c r="V26" s="113">
        <f>U26/'Master P&amp;L'!$AD$7*10000</f>
        <v>6.2295399395320041</v>
      </c>
      <c r="W26" s="113">
        <f>(Y26*H26*T26/S26)/'Master P&amp;L'!$AD$7*10000</f>
        <v>6.2295399395320041</v>
      </c>
      <c r="X26" s="118">
        <f t="shared" si="120"/>
        <v>0</v>
      </c>
      <c r="Y26" s="272">
        <f t="shared" si="121"/>
        <v>13.57</v>
      </c>
      <c r="Z26" s="77">
        <f>_xll.BDP(D26&amp;" Equity","LAST_PRICE")</f>
        <v>101.29</v>
      </c>
      <c r="AA26" s="77" cm="1">
        <f t="array" ref="AA26">_xll.BDP(B26&amp;" Equity","OPT_STRIKE_PX")</f>
        <v>105</v>
      </c>
      <c r="AB26" s="76">
        <f t="shared" si="122"/>
        <v>3.662750518313751E-2</v>
      </c>
      <c r="AC26" s="323" cm="1">
        <f t="array" ref="AC26">_xll.BDP($D26&amp;" Equity","volatility_10d")</f>
        <v>34.252569436167256</v>
      </c>
      <c r="AD26" s="77" cm="1">
        <f t="array" ref="AD26">_xll.BDP(B26&amp;" Equity","ivol_mid")</f>
        <v>43.097360000000002</v>
      </c>
      <c r="AE26" s="77">
        <f t="shared" si="123"/>
        <v>1.2582226883830074</v>
      </c>
      <c r="AF26" s="78" cm="1">
        <f t="array" ref="AF26">_xll.BDP(B26&amp;" Equity","DELTA_MID_RT")</f>
        <v>0.55588227510452271</v>
      </c>
      <c r="AG26" s="75">
        <f>AL26/'Master P&amp;L'!$AE$7</f>
        <v>2.5847915447353266E-3</v>
      </c>
      <c r="AH26" s="75">
        <f>AM26/'Master P&amp;L'!$AE$7</f>
        <v>4.6498902024701312E-3</v>
      </c>
      <c r="AI26" s="436">
        <f>AO26/'Master P&amp;L'!$AD$7*10000</f>
        <v>-1.2379148330365535E-2</v>
      </c>
      <c r="AJ26" s="350">
        <f t="shared" si="124"/>
        <v>0.19630454416595594</v>
      </c>
      <c r="AK26" s="78">
        <f>AP26/'Master P&amp;L'!$AD$7*10000</f>
        <v>-0.54169912517669594</v>
      </c>
      <c r="AL26" s="42">
        <f t="shared" si="125"/>
        <v>6193584.7209870825</v>
      </c>
      <c r="AM26" s="42">
        <f t="shared" si="126"/>
        <v>11141900</v>
      </c>
      <c r="AN26" s="78" cm="1">
        <f t="array" ref="AN26">_xll.BDP($B26&amp;" Equity","theta_mid_rt")</f>
        <v>-2.6965882629156113E-2</v>
      </c>
      <c r="AO26" s="42">
        <f t="shared" si="127"/>
        <v>-2966.2470892071724</v>
      </c>
      <c r="AP26" s="42">
        <f t="shared" si="128"/>
        <v>-129799.99999999997</v>
      </c>
      <c r="AQ26" s="74" t="str" cm="1">
        <f t="array" ref="AQ26">_xll.BDP($D26&amp;" Equity","EXPECTED_REPORT_DT")</f>
        <v>#N/A N/A</v>
      </c>
      <c r="AR26" s="235" cm="1">
        <f t="array" ref="AR26">_xll.BDP($B26&amp;" Equity","GAMMA_LAST")</f>
        <v>1.1354E-2</v>
      </c>
      <c r="AS26" s="73">
        <f>$Z26*($AR26*$Z26*$AS$3)*$H26*$T26/$S26</f>
        <v>128137.04881054003</v>
      </c>
      <c r="AT26" s="73">
        <f>$Z26*($AR26*$Z26*$AT$3)*$H26*$T26/$S26</f>
        <v>640685.24405270012</v>
      </c>
      <c r="AU26" s="73" t="s">
        <v>151</v>
      </c>
      <c r="AV26" s="322" t="e" cm="1">
        <f t="array" ref="AV26">_xll.BDP($D26&amp;" Equity","EST_PE_NXT_YR")*(AA26/Z26)</f>
        <v>#VALUE!</v>
      </c>
      <c r="AW26" s="73"/>
      <c r="AX26" s="42"/>
      <c r="AY26" s="42">
        <v>13.57</v>
      </c>
      <c r="AZ26" s="354"/>
      <c r="BA26" s="42">
        <f t="shared" si="129"/>
        <v>13.57</v>
      </c>
      <c r="BB26" s="346">
        <f t="shared" si="130"/>
        <v>14.75</v>
      </c>
      <c r="BC26" s="346">
        <f t="shared" si="131"/>
        <v>129799.99999999997</v>
      </c>
      <c r="BD26" s="346">
        <f>BC26/'Master P&amp;L'!$AD$7*10000</f>
        <v>0.54169912517669594</v>
      </c>
    </row>
    <row r="27" spans="1:56">
      <c r="A27" s="356"/>
      <c r="B27" t="s">
        <v>2328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GDX US</v>
      </c>
      <c r="E27" t="str" cm="1">
        <f t="array" ref="E27">_xll.BDP($B27&amp;" Equity","mifid_Maturity_date")</f>
        <v>18/09/2026</v>
      </c>
      <c r="F27" cm="1">
        <f t="array" ref="F27">_xll.BDP($B27&amp;" Equity","opt_days_expire")</f>
        <v>240</v>
      </c>
      <c r="G27" t="str" cm="1">
        <f t="array" ref="G27">_xll.BDP(B27&amp;" Equity","QUOTED_CURRENCY_REALTIME")</f>
        <v>USD</v>
      </c>
      <c r="H27" s="15">
        <v>-1100</v>
      </c>
      <c r="I27" s="410">
        <v>11.13</v>
      </c>
      <c r="J27" s="415">
        <f>VLOOKUP(B27,Precificação!$B:$O,14,FALSE)</f>
        <v>11.175000000000001</v>
      </c>
      <c r="K27" s="74">
        <f t="shared" si="35"/>
        <v>11.175000000000001</v>
      </c>
      <c r="L27" s="74" cm="1">
        <f t="array" ref="L27">_xll.BDP($B27&amp;" Equity","mid")</f>
        <v>10.43</v>
      </c>
      <c r="M27" s="19">
        <f t="shared" si="116"/>
        <v>0.10297166551485831</v>
      </c>
      <c r="N27" s="350"/>
      <c r="O27" s="19">
        <f t="shared" si="117"/>
        <v>-6.6666666666666763E-2</v>
      </c>
      <c r="P27" s="36" cm="1">
        <f t="array" ref="P27">_xll.BDP($B27&amp;" Equity","bid")</f>
        <v>9.65</v>
      </c>
      <c r="Q27" s="36" cm="1">
        <f t="array" ref="Q27">_xll.BDP($B27&amp;" Equity","ask")</f>
        <v>11.2</v>
      </c>
      <c r="R27" s="40">
        <f t="shared" si="118"/>
        <v>0.16062176165803099</v>
      </c>
      <c r="S27" s="36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 t="shared" si="119"/>
        <v>-1147300</v>
      </c>
      <c r="V27" s="124">
        <f>U27/'Master P&amp;L'!$AD$7*10000</f>
        <v>-4.788069386095712</v>
      </c>
      <c r="W27" s="124">
        <f>(Y27*H27*T27/S27)/'Master P&amp;L'!$AD$7*10000</f>
        <v>-4.788069386095712</v>
      </c>
      <c r="X27" s="413">
        <f t="shared" si="120"/>
        <v>0</v>
      </c>
      <c r="Y27" s="273">
        <f t="shared" si="121"/>
        <v>10.43</v>
      </c>
      <c r="Z27" s="37">
        <f>_xll.BDP(D27&amp;" Equity","LAST_PRICE")</f>
        <v>101.29</v>
      </c>
      <c r="AA27" s="37" cm="1">
        <f t="array" ref="AA27">_xll.BDP(B27&amp;" Equity","OPT_STRIKE_PX")</f>
        <v>115</v>
      </c>
      <c r="AB27" s="40">
        <f t="shared" si="122"/>
        <v>0.13535393424819819</v>
      </c>
      <c r="AC27" s="324" cm="1">
        <f t="array" ref="AC27">_xll.BDP($D27&amp;" Equity","volatility_10d")</f>
        <v>34.252569436167256</v>
      </c>
      <c r="AD27" s="37" cm="1">
        <f t="array" ref="AD27">_xll.BDP(B27&amp;" Equity","ivol_mid")</f>
        <v>44.543790000000001</v>
      </c>
      <c r="AE27" s="37">
        <f t="shared" si="123"/>
        <v>1.3004510532563509</v>
      </c>
      <c r="AF27" s="38" cm="1">
        <f t="array" ref="AF27">_xll.BDP(B27&amp;" Equity","DELTA_MID_RT")</f>
        <v>0.45829343795776367</v>
      </c>
      <c r="AG27" s="19">
        <f>AL27/'Master P&amp;L'!$AE$7</f>
        <v>-2.1310141670161584E-3</v>
      </c>
      <c r="AH27" s="19">
        <f>AM27/'Master P&amp;L'!$AE$7</f>
        <v>-4.6498902024701312E-3</v>
      </c>
      <c r="AI27" s="435">
        <f>AO27/'Master P&amp;L'!$AD$7*10000</f>
        <v>1.2972100314046837E-2</v>
      </c>
      <c r="AJ27" s="350">
        <f t="shared" si="124"/>
        <v>-0.20570738560241691</v>
      </c>
      <c r="AK27" s="38">
        <f>AP27/'Master P&amp;L'!$AD$7*10000</f>
        <v>0.34200495614969417</v>
      </c>
      <c r="AL27" s="15">
        <f t="shared" si="125"/>
        <v>-5106259.656381608</v>
      </c>
      <c r="AM27" s="15">
        <f t="shared" si="126"/>
        <v>-11141900</v>
      </c>
      <c r="AN27" s="38" cm="1">
        <f t="array" ref="AN27">_xll.BDP($B27&amp;" Equity","theta_mid_rt")</f>
        <v>-2.8257528319954872E-2</v>
      </c>
      <c r="AO27" s="15">
        <f t="shared" si="127"/>
        <v>3108.3281151950359</v>
      </c>
      <c r="AP27" s="15">
        <f t="shared" si="128"/>
        <v>81950.000000000116</v>
      </c>
      <c r="AQ27" s="36" t="str" cm="1">
        <f t="array" ref="AQ27">_xll.BDP($D27&amp;" Equity","EXPECTED_REPORT_DT")</f>
        <v>#N/A N/A</v>
      </c>
      <c r="AR27" s="66" cm="1">
        <f t="array" ref="AR27">_xll.BDP($B27&amp;" Equity","GAMMA_LAST")</f>
        <v>1.1115E-2</v>
      </c>
      <c r="AS27">
        <f>$Z27*($AR27*$Z27*$AS$3)*$H27*$T27/$S27</f>
        <v>-125439.78311865001</v>
      </c>
      <c r="AT27">
        <f>$Z27*($AR27*$Z27*$AT$3)*$H27*$T27/$S27</f>
        <v>-627198.91559325007</v>
      </c>
      <c r="AU27" t="s">
        <v>151</v>
      </c>
      <c r="AV27" s="277" t="e" cm="1">
        <f t="array" ref="AV27">_xll.BDP($D27&amp;" Equity","EST_PE_NXT_YR")*(AA27/Z27)</f>
        <v>#VALUE!</v>
      </c>
      <c r="AX27" s="15"/>
      <c r="AY27" s="15">
        <v>10.43</v>
      </c>
      <c r="AZ27" s="355"/>
      <c r="BA27" s="15">
        <f t="shared" si="129"/>
        <v>10.43</v>
      </c>
      <c r="BB27" s="414">
        <f t="shared" si="130"/>
        <v>11.175000000000001</v>
      </c>
      <c r="BC27" s="414">
        <f t="shared" si="131"/>
        <v>-81950.000000000116</v>
      </c>
      <c r="BD27" s="414">
        <f>BC27/'Master P&amp;L'!$AD$7*10000</f>
        <v>-0.34200495614969417</v>
      </c>
    </row>
    <row r="28" spans="1:56" s="59" customFormat="1">
      <c r="A28" s="425" t="s">
        <v>1770</v>
      </c>
      <c r="B28" s="59" t="s">
        <v>2268</v>
      </c>
      <c r="C28" s="59" t="str" cm="1">
        <f t="array" ref="C28">_xll.BDP($B28&amp;" Equity","opt_put_call")</f>
        <v>Call</v>
      </c>
      <c r="D28" s="59" t="str" cm="1">
        <f t="array" ref="D28">_xll.BDP(B28&amp;" Equity","OPT_UNDL_TICKER")</f>
        <v>TSM US</v>
      </c>
      <c r="E28" s="59" t="str" cm="1">
        <f t="array" ref="E28">_xll.BDP($B28&amp;" Equity","mifid_Maturity_date")</f>
        <v>18/06/2026</v>
      </c>
      <c r="F28" s="59" cm="1">
        <f t="array" ref="F28">_xll.BDP($B28&amp;" Equity","opt_days_expire")</f>
        <v>148</v>
      </c>
      <c r="G28" s="59" t="str" cm="1">
        <f t="array" ref="G28">_xll.BDP(B28&amp;" Equity","QUOTED_CURRENCY_REALTIME")</f>
        <v>USD</v>
      </c>
      <c r="H28" s="404">
        <v>300</v>
      </c>
      <c r="I28" s="411">
        <v>30.39</v>
      </c>
      <c r="J28" s="411"/>
      <c r="K28" s="411">
        <v>30.39</v>
      </c>
      <c r="L28" s="14" cm="1">
        <f t="array" ref="L28">_xll.BDP($B28&amp;" Equity","mid")</f>
        <v>28.32</v>
      </c>
      <c r="M28" s="128">
        <f t="shared" si="116"/>
        <v>8.6839200294370172E-2</v>
      </c>
      <c r="N28" s="426"/>
      <c r="O28" s="128">
        <f t="shared" si="117"/>
        <v>-6.8114511352418528E-2</v>
      </c>
      <c r="P28" s="14" cm="1">
        <f t="array" ref="P28">_xll.BDP($B28&amp;" Equity","bid")</f>
        <v>27.95</v>
      </c>
      <c r="Q28" s="14" cm="1">
        <f t="array" ref="Q28">_xll.BDP($B28&amp;" Equity","ask")</f>
        <v>28.7</v>
      </c>
      <c r="R28" s="424">
        <f t="shared" si="118"/>
        <v>2.683363148479434E-2</v>
      </c>
      <c r="S28" s="14" cm="1">
        <f t="array" ref="S28">_xll.BDP(G28&amp;" Curncy","PX_LAST")</f>
        <v>1</v>
      </c>
      <c r="T28" s="404" cm="1">
        <f t="array" ref="T28">_xll.BDP(B28&amp;" Equity","OPT_MULTIPLIER")</f>
        <v>100</v>
      </c>
      <c r="U28" s="404">
        <f t="shared" si="119"/>
        <v>849600</v>
      </c>
      <c r="V28" s="427">
        <f>U28/'Master P&amp;L'!$AD$7*10000</f>
        <v>3.5456670011565561</v>
      </c>
      <c r="W28" s="427">
        <f>(Y28*H28*T28/S28)/'Master P&amp;L'!$AD$7*10000</f>
        <v>3.5456670011565561</v>
      </c>
      <c r="X28" s="428">
        <f t="shared" si="120"/>
        <v>0</v>
      </c>
      <c r="Y28" s="429">
        <f t="shared" si="121"/>
        <v>28.32</v>
      </c>
      <c r="Z28" s="430">
        <f>_xll.BDP(D28&amp;" Equity","LAST_PRICE")</f>
        <v>326.12</v>
      </c>
      <c r="AA28" s="430" cm="1">
        <f t="array" ref="AA28">_xll.BDP(B28&amp;" Equity","OPT_STRIKE_PX")</f>
        <v>340</v>
      </c>
      <c r="AB28" s="424">
        <f t="shared" si="122"/>
        <v>4.2561020483257606E-2</v>
      </c>
      <c r="AC28" s="431" cm="1">
        <f t="array" ref="AC28">_xll.BDP($D28&amp;" Equity","volatility_10d")</f>
        <v>40.389304979159625</v>
      </c>
      <c r="AD28" s="430" cm="1">
        <f t="array" ref="AD28">_xll.BDP(B28&amp;" Equity","ivol_mid")</f>
        <v>39.108159999999998</v>
      </c>
      <c r="AE28" s="430">
        <f t="shared" si="123"/>
        <v>0.96828009345987309</v>
      </c>
      <c r="AF28" s="432" cm="1">
        <f t="array" ref="AF28">_xll.BDP(B28&amp;" Equity","DELTA_MID_RT")</f>
        <v>0.50634253025054932</v>
      </c>
      <c r="AG28" s="128">
        <f>AL28/'Master P&amp;L'!$AE$7</f>
        <v>2.0674096430018363E-3</v>
      </c>
      <c r="AH28" s="128">
        <f>AM28/'Master P&amp;L'!$AE$7</f>
        <v>4.0830258559928535E-3</v>
      </c>
      <c r="AI28" s="441">
        <f>AO28/'Master P&amp;L'!$AD$7*10000</f>
        <v>-1.3223244874459533E-2</v>
      </c>
      <c r="AJ28" s="426">
        <f t="shared" si="124"/>
        <v>0.20968995509232605</v>
      </c>
      <c r="AK28" s="432">
        <f>AP28/'Master P&amp;L'!$AD$7*10000</f>
        <v>-0.25916421936419742</v>
      </c>
      <c r="AL28" s="404">
        <f t="shared" si="125"/>
        <v>4953852.7789592743</v>
      </c>
      <c r="AM28" s="404">
        <f t="shared" si="126"/>
        <v>9783600</v>
      </c>
      <c r="AN28" s="432" cm="1">
        <f t="array" ref="AN28">_xll.BDP($B28&amp;" Equity","theta_mid_rt")</f>
        <v>-0.10561688244342804</v>
      </c>
      <c r="AO28" s="404">
        <f t="shared" si="127"/>
        <v>-3168.5064733028412</v>
      </c>
      <c r="AP28" s="404">
        <f t="shared" si="128"/>
        <v>-62100.000000000007</v>
      </c>
      <c r="AQ28" s="14" t="str" cm="1">
        <f t="array" ref="AQ28">_xll.BDP($D28&amp;" Equity","EXPECTED_REPORT_DT")</f>
        <v>17/04/2026</v>
      </c>
      <c r="AR28" s="114" cm="1">
        <f t="array" ref="AR28">_xll.BDP($B28&amp;" Equity","GAMMA_LAST")</f>
        <v>1.5720999999999999E-2</v>
      </c>
      <c r="AS28" s="59">
        <f t="shared" si="14"/>
        <v>501598.57002671988</v>
      </c>
      <c r="AT28" s="59">
        <f t="shared" si="15"/>
        <v>2507992.8501335997</v>
      </c>
      <c r="AU28" s="59" t="s">
        <v>151</v>
      </c>
      <c r="AV28" s="337" cm="1">
        <f t="array" ref="AV28">_xll.BDP($D28&amp;" Equity","EST_PE_NXT_YR")*(AA28/Z28)</f>
        <v>20.412607489649481</v>
      </c>
      <c r="AX28" s="404"/>
      <c r="AY28" s="404">
        <v>28.4</v>
      </c>
      <c r="AZ28" s="433"/>
      <c r="BA28" s="404">
        <f t="shared" si="129"/>
        <v>28.4</v>
      </c>
      <c r="BB28" s="434">
        <f t="shared" si="130"/>
        <v>0</v>
      </c>
      <c r="BC28" s="434">
        <f t="shared" si="131"/>
        <v>-852000</v>
      </c>
      <c r="BD28" s="434">
        <f>BC28/'Master P&amp;L'!$AD$7*10000</f>
        <v>-3.5556830096343992</v>
      </c>
    </row>
    <row r="29" spans="1:56" s="59" customFormat="1">
      <c r="A29" s="425" t="s">
        <v>1770</v>
      </c>
      <c r="B29" s="59" t="s">
        <v>2269</v>
      </c>
      <c r="C29" s="59" t="str" cm="1">
        <f t="array" ref="C29">_xll.BDP($B29&amp;" Equity","opt_put_call")</f>
        <v>Call</v>
      </c>
      <c r="D29" s="59" t="str" cm="1">
        <f t="array" ref="D29">_xll.BDP(B29&amp;" Equity","OPT_UNDL_TICKER")</f>
        <v>TSM US</v>
      </c>
      <c r="E29" s="59" t="str" cm="1">
        <f t="array" ref="E29">_xll.BDP($B29&amp;" Equity","mifid_Maturity_date")</f>
        <v>18/06/2026</v>
      </c>
      <c r="F29" s="59" cm="1">
        <f t="array" ref="F29">_xll.BDP($B29&amp;" Equity","opt_days_expire")</f>
        <v>148</v>
      </c>
      <c r="G29" s="59" t="str" cm="1">
        <f t="array" ref="G29">_xll.BDP(B29&amp;" Equity","QUOTED_CURRENCY_REALTIME")</f>
        <v>USD</v>
      </c>
      <c r="H29" s="404">
        <v>-300</v>
      </c>
      <c r="I29" s="411">
        <v>16.899999999999999</v>
      </c>
      <c r="J29" s="411"/>
      <c r="K29" s="411">
        <v>16.899999999999999</v>
      </c>
      <c r="L29" s="14" cm="1">
        <f t="array" ref="L29">_xll.BDP($B29&amp;" Equity","mid")</f>
        <v>15.83</v>
      </c>
      <c r="M29" s="128">
        <f t="shared" si="116"/>
        <v>4.8540414571323437E-2</v>
      </c>
      <c r="N29" s="426"/>
      <c r="O29" s="128">
        <f t="shared" si="117"/>
        <v>-6.3313609467455567E-2</v>
      </c>
      <c r="P29" s="14" cm="1">
        <f t="array" ref="P29">_xll.BDP($B29&amp;" Equity","bid")</f>
        <v>15.3</v>
      </c>
      <c r="Q29" s="14" cm="1">
        <f t="array" ref="Q29">_xll.BDP($B29&amp;" Equity","ask")</f>
        <v>16.350000000000001</v>
      </c>
      <c r="R29" s="424">
        <f t="shared" si="118"/>
        <v>6.8627450980392135E-2</v>
      </c>
      <c r="S29" s="14" cm="1">
        <f t="array" ref="S29">_xll.BDP(G29&amp;" Curncy","PX_LAST")</f>
        <v>1</v>
      </c>
      <c r="T29" s="404" cm="1">
        <f t="array" ref="T29">_xll.BDP(B29&amp;" Equity","OPT_MULTIPLIER")</f>
        <v>100</v>
      </c>
      <c r="U29" s="404">
        <f t="shared" si="119"/>
        <v>-474900</v>
      </c>
      <c r="V29" s="427">
        <f>U29/'Master P&amp;L'!$AD$7*10000</f>
        <v>-1.9819176775532585</v>
      </c>
      <c r="W29" s="427">
        <f>(Y29*H29*T29/S29)/'Master P&amp;L'!$AD$7*10000</f>
        <v>-1.9819176775532585</v>
      </c>
      <c r="X29" s="428">
        <f t="shared" si="120"/>
        <v>0</v>
      </c>
      <c r="Y29" s="429">
        <f t="shared" si="121"/>
        <v>15.83</v>
      </c>
      <c r="Z29" s="430">
        <f>_xll.BDP(D29&amp;" Equity","LAST_PRICE")</f>
        <v>326.12</v>
      </c>
      <c r="AA29" s="430" cm="1">
        <f t="array" ref="AA29">_xll.BDP(B29&amp;" Equity","OPT_STRIKE_PX")</f>
        <v>380</v>
      </c>
      <c r="AB29" s="424">
        <f t="shared" si="122"/>
        <v>0.16521525818717042</v>
      </c>
      <c r="AC29" s="431" cm="1">
        <f t="array" ref="AC29">_xll.BDP($D29&amp;" Equity","volatility_10d")</f>
        <v>40.389304979159625</v>
      </c>
      <c r="AD29" s="430" cm="1">
        <f t="array" ref="AD29">_xll.BDP(B29&amp;" Equity","ivol_mid")</f>
        <v>38.648420000000002</v>
      </c>
      <c r="AE29" s="430">
        <f t="shared" si="123"/>
        <v>0.95689737716314016</v>
      </c>
      <c r="AF29" s="432" cm="1">
        <f t="array" ref="AF29">_xll.BDP(B29&amp;" Equity","DELTA_MID_RT")</f>
        <v>0.33336749672889709</v>
      </c>
      <c r="AG29" s="128">
        <f>AL29/'Master P&amp;L'!$AE$7</f>
        <v>-1.3611481086916997E-3</v>
      </c>
      <c r="AH29" s="128">
        <f>AM29/'Master P&amp;L'!$AE$7</f>
        <v>-4.0830258559928535E-3</v>
      </c>
      <c r="AI29" s="441">
        <f>AO29/'Master P&amp;L'!$AD$7*10000</f>
        <v>1.229595551559429E-2</v>
      </c>
      <c r="AJ29" s="426">
        <f t="shared" si="124"/>
        <v>-0.19498529932408809</v>
      </c>
      <c r="AK29" s="432">
        <f>AP29/'Master P&amp;L'!$AD$7*10000</f>
        <v>0.13396411339115502</v>
      </c>
      <c r="AL29" s="404">
        <f t="shared" si="125"/>
        <v>-3261534.2409968376</v>
      </c>
      <c r="AM29" s="404">
        <f t="shared" si="126"/>
        <v>-9783600</v>
      </c>
      <c r="AN29" s="432" cm="1">
        <f t="array" ref="AN29">_xll.BDP($B29&amp;" Equity","theta_mid_rt")</f>
        <v>-9.8210424184799194E-2</v>
      </c>
      <c r="AO29" s="404">
        <f t="shared" si="127"/>
        <v>2946.3127255439758</v>
      </c>
      <c r="AP29" s="404">
        <f t="shared" si="128"/>
        <v>32099.999999999956</v>
      </c>
      <c r="AQ29" s="14" t="str" cm="1">
        <f t="array" ref="AQ29">_xll.BDP($D29&amp;" Equity","EXPECTED_REPORT_DT")</f>
        <v>17/04/2026</v>
      </c>
      <c r="AR29" s="114" cm="1">
        <f t="array" ref="AR29">_xll.BDP($B29&amp;" Equity","GAMMA_LAST")</f>
        <v>1.4892000000000001E-2</v>
      </c>
      <c r="AS29" s="59">
        <f t="shared" si="14"/>
        <v>-475148.26695744012</v>
      </c>
      <c r="AT29" s="59">
        <f t="shared" si="15"/>
        <v>-2375741.3347872002</v>
      </c>
      <c r="AU29" s="59" t="s">
        <v>151</v>
      </c>
      <c r="AV29" s="337" cm="1">
        <f t="array" ref="AV29">_xll.BDP($D29&amp;" Equity","EST_PE_NXT_YR")*(AA29/Z29)</f>
        <v>22.814090723725894</v>
      </c>
      <c r="AX29" s="404"/>
      <c r="AY29" s="404">
        <v>15.88</v>
      </c>
      <c r="AZ29" s="433"/>
      <c r="BA29" s="404">
        <f t="shared" si="129"/>
        <v>15.88</v>
      </c>
      <c r="BB29" s="434">
        <f t="shared" si="130"/>
        <v>0</v>
      </c>
      <c r="BC29" s="434">
        <f t="shared" si="131"/>
        <v>476400</v>
      </c>
      <c r="BD29" s="434">
        <f>BC29/'Master P&amp;L'!$AD$7*10000</f>
        <v>1.9881776828519107</v>
      </c>
    </row>
    <row r="30" spans="1:56" s="59" customFormat="1">
      <c r="A30" s="335"/>
      <c r="B30" s="73" t="s">
        <v>2268</v>
      </c>
      <c r="C30" s="73" t="str" cm="1">
        <f t="array" ref="C30">_xll.BDP($B30&amp;" Equity","opt_put_call")</f>
        <v>Call</v>
      </c>
      <c r="D30" s="73" t="str" cm="1">
        <f t="array" ref="D30">_xll.BDP(B30&amp;" Equity","OPT_UNDL_TICKER")</f>
        <v>TSM US</v>
      </c>
      <c r="E30" s="73" t="str" cm="1">
        <f t="array" ref="E30">_xll.BDP($B30&amp;" Equity","mifid_Maturity_date")</f>
        <v>18/06/2026</v>
      </c>
      <c r="F30" s="73" cm="1">
        <f t="array" ref="F30">_xll.BDP($B30&amp;" Equity","opt_days_expire")</f>
        <v>148</v>
      </c>
      <c r="G30" s="73" t="str" cm="1">
        <f t="array" ref="G30">_xll.BDP(B30&amp;" Equity","QUOTED_CURRENCY_REALTIME")</f>
        <v>USD</v>
      </c>
      <c r="H30" s="42">
        <v>950</v>
      </c>
      <c r="I30" s="409">
        <v>36.18</v>
      </c>
      <c r="J30" s="415">
        <f>VLOOKUP(B30,Precificação!$B:$O,14,FALSE)</f>
        <v>29.475000000000001</v>
      </c>
      <c r="K30" s="74">
        <f t="shared" si="35"/>
        <v>29.475000000000001</v>
      </c>
      <c r="L30" s="74" cm="1">
        <f t="array" ref="L30">_xll.BDP($B30&amp;" Equity","mid")</f>
        <v>28.32</v>
      </c>
      <c r="M30" s="75">
        <f t="shared" si="1"/>
        <v>8.6839200294370172E-2</v>
      </c>
      <c r="N30" s="352"/>
      <c r="O30" s="75">
        <f t="shared" si="2"/>
        <v>-3.9185750636132388E-2</v>
      </c>
      <c r="P30" s="74" cm="1">
        <f t="array" ref="P30">_xll.BDP($B30&amp;" Equity","bid")</f>
        <v>27.95</v>
      </c>
      <c r="Q30" s="74" cm="1">
        <f t="array" ref="Q30">_xll.BDP($B30&amp;" Equity","ask")</f>
        <v>28.7</v>
      </c>
      <c r="R30" s="76">
        <f t="shared" si="3"/>
        <v>2.683363148479434E-2</v>
      </c>
      <c r="S30" s="36" cm="1">
        <f t="array" ref="S30">_xll.BDP(G30&amp;" Curncy","PX_LAST")</f>
        <v>1</v>
      </c>
      <c r="T30" s="42" cm="1">
        <f t="array" ref="T30">_xll.BDP(B30&amp;" Equity","OPT_MULTIPLIER")</f>
        <v>100</v>
      </c>
      <c r="U30" s="42">
        <f t="shared" si="4"/>
        <v>2690400</v>
      </c>
      <c r="V30" s="113">
        <f>U30/'Master P&amp;L'!$AD$7*10000</f>
        <v>11.227945503662427</v>
      </c>
      <c r="W30" s="113">
        <f>(Y30*H30*T30/S30)/'Master P&amp;L'!$AD$7*10000</f>
        <v>11.227945503662427</v>
      </c>
      <c r="X30" s="118">
        <f t="shared" si="5"/>
        <v>0</v>
      </c>
      <c r="Y30" s="272">
        <f t="shared" si="6"/>
        <v>28.32</v>
      </c>
      <c r="Z30" s="77">
        <f>_xll.BDP(D30&amp;" Equity","LAST_PRICE")</f>
        <v>326.12</v>
      </c>
      <c r="AA30" s="77" cm="1">
        <f t="array" ref="AA30">_xll.BDP(B30&amp;" Equity","OPT_STRIKE_PX")</f>
        <v>340</v>
      </c>
      <c r="AB30" s="76">
        <f t="shared" si="7"/>
        <v>4.2561020483257606E-2</v>
      </c>
      <c r="AC30" s="323" cm="1">
        <f t="array" ref="AC30">_xll.BDP($D30&amp;" Equity","volatility_10d")</f>
        <v>40.389304979159625</v>
      </c>
      <c r="AD30" s="77" cm="1">
        <f t="array" ref="AD30">_xll.BDP(B30&amp;" Equity","ivol_mid")</f>
        <v>39.108159999999998</v>
      </c>
      <c r="AE30" s="77">
        <f t="shared" si="8"/>
        <v>0.96828009345987309</v>
      </c>
      <c r="AF30" s="78" cm="1">
        <f t="array" ref="AF30">_xll.BDP(B30&amp;" Equity","DELTA_MID_RT")</f>
        <v>0.50634253025054932</v>
      </c>
      <c r="AG30" s="75">
        <f>AL30/'Master P&amp;L'!$AE$7</f>
        <v>6.5467972028391483E-3</v>
      </c>
      <c r="AH30" s="75">
        <f>AM30/'Master P&amp;L'!$AE$7</f>
        <v>1.2929581877310702E-2</v>
      </c>
      <c r="AI30" s="436">
        <f>AO30/'Master P&amp;L'!$AD$7*10000</f>
        <v>-4.1873608769121856E-2</v>
      </c>
      <c r="AJ30" s="350">
        <f t="shared" si="9"/>
        <v>0.66401819112569915</v>
      </c>
      <c r="AK30" s="78">
        <f>AP30/'Master P&amp;L'!$AD$7*10000</f>
        <v>-0.45791938759640238</v>
      </c>
      <c r="AL30" s="42">
        <f t="shared" si="10"/>
        <v>15687200.466704369</v>
      </c>
      <c r="AM30" s="42">
        <f t="shared" si="11"/>
        <v>30981400</v>
      </c>
      <c r="AN30" s="78" cm="1">
        <f t="array" ref="AN30">_xll.BDP($B30&amp;" Equity","theta_mid_rt")</f>
        <v>-0.10561688244342804</v>
      </c>
      <c r="AO30" s="42">
        <f t="shared" si="12"/>
        <v>-10033.603832125664</v>
      </c>
      <c r="AP30" s="42">
        <f t="shared" si="13"/>
        <v>-109725.0000000001</v>
      </c>
      <c r="AQ30" s="74" t="str" cm="1">
        <f t="array" ref="AQ30">_xll.BDP($D30&amp;" Equity","EXPECTED_REPORT_DT")</f>
        <v>17/04/2026</v>
      </c>
      <c r="AR30" s="235" cm="1">
        <f t="array" ref="AR30">_xll.BDP($B30&amp;" Equity","GAMMA_LAST")</f>
        <v>1.5720999999999999E-2</v>
      </c>
      <c r="AS30" s="73">
        <f t="shared" si="14"/>
        <v>1588395.4717512797</v>
      </c>
      <c r="AT30" s="73">
        <f t="shared" si="15"/>
        <v>7941977.3587563988</v>
      </c>
      <c r="AU30" s="73" t="s">
        <v>151</v>
      </c>
      <c r="AV30" s="322" cm="1">
        <f t="array" ref="AV30">_xll.BDP($D30&amp;" Equity","EST_PE_NXT_YR")*(AA30/Z30)</f>
        <v>20.412607489649481</v>
      </c>
      <c r="AW30" s="73"/>
      <c r="AX30" s="42"/>
      <c r="AY30" s="42">
        <v>28.4</v>
      </c>
      <c r="AZ30" s="354"/>
      <c r="BA30" s="42">
        <f t="shared" si="16"/>
        <v>28.4</v>
      </c>
      <c r="BB30" s="346">
        <f t="shared" si="17"/>
        <v>29.475000000000001</v>
      </c>
      <c r="BC30" s="346">
        <f t="shared" si="18"/>
        <v>102125.00000000028</v>
      </c>
      <c r="BD30" s="346">
        <f>BC30/'Master P&amp;L'!$AD$7*10000</f>
        <v>0.42620202741656577</v>
      </c>
    </row>
    <row r="31" spans="1:56">
      <c r="A31" s="356"/>
      <c r="B31" t="s">
        <v>2269</v>
      </c>
      <c r="C31" t="str" cm="1">
        <f t="array" ref="C31">_xll.BDP($B31&amp;" Equity","opt_put_call")</f>
        <v>Call</v>
      </c>
      <c r="D31" t="str" cm="1">
        <f t="array" ref="D31">_xll.BDP(B31&amp;" Equity","OPT_UNDL_TICKER")</f>
        <v>TSM US</v>
      </c>
      <c r="E31" t="str" cm="1">
        <f t="array" ref="E31">_xll.BDP($B31&amp;" Equity","mifid_Maturity_date")</f>
        <v>18/06/2026</v>
      </c>
      <c r="F31" cm="1">
        <f t="array" ref="F31">_xll.BDP($B31&amp;" Equity","opt_days_expire")</f>
        <v>148</v>
      </c>
      <c r="G31" t="str" cm="1">
        <f t="array" ref="G31">_xll.BDP(B31&amp;" Equity","QUOTED_CURRENCY_REALTIME")</f>
        <v>USD</v>
      </c>
      <c r="H31" s="15">
        <v>-900</v>
      </c>
      <c r="I31" s="410">
        <v>21.12</v>
      </c>
      <c r="J31" s="415">
        <f>VLOOKUP(B31,Precificação!$B:$O,14,FALSE)</f>
        <v>16.399999999999999</v>
      </c>
      <c r="K31" s="74">
        <f t="shared" si="35"/>
        <v>16.399999999999999</v>
      </c>
      <c r="L31" s="74" cm="1">
        <f t="array" ref="L31">_xll.BDP($B31&amp;" Equity","mid")</f>
        <v>15.83</v>
      </c>
      <c r="M31" s="19">
        <f t="shared" si="1"/>
        <v>4.8540414571323437E-2</v>
      </c>
      <c r="N31" s="350"/>
      <c r="O31" s="19">
        <f t="shared" si="2"/>
        <v>-3.475609756097553E-2</v>
      </c>
      <c r="P31" s="36" cm="1">
        <f t="array" ref="P31">_xll.BDP($B31&amp;" Equity","bid")</f>
        <v>15.3</v>
      </c>
      <c r="Q31" s="36" cm="1">
        <f t="array" ref="Q31">_xll.BDP($B31&amp;" Equity","ask")</f>
        <v>16.350000000000001</v>
      </c>
      <c r="R31" s="40">
        <f t="shared" si="3"/>
        <v>6.8627450980392135E-2</v>
      </c>
      <c r="S31" s="36" cm="1">
        <f t="array" ref="S31">_xll.BDP(G31&amp;" Curncy","PX_LAST")</f>
        <v>1</v>
      </c>
      <c r="T31" s="15" cm="1">
        <f t="array" ref="T31">_xll.BDP(B31&amp;" Equity","OPT_MULTIPLIER")</f>
        <v>100</v>
      </c>
      <c r="U31" s="15">
        <f t="shared" si="4"/>
        <v>-1424700</v>
      </c>
      <c r="V31" s="124">
        <f>U31/'Master P&amp;L'!$AD$7*10000</f>
        <v>-5.9457530326597752</v>
      </c>
      <c r="W31" s="124">
        <f>(Y31*H31*T31/S31)/'Master P&amp;L'!$AD$7*10000</f>
        <v>-5.9457530326597752</v>
      </c>
      <c r="X31" s="413">
        <f t="shared" si="5"/>
        <v>0</v>
      </c>
      <c r="Y31" s="273">
        <f t="shared" si="6"/>
        <v>15.83</v>
      </c>
      <c r="Z31" s="37">
        <f>_xll.BDP(D31&amp;" Equity","LAST_PRICE")</f>
        <v>326.12</v>
      </c>
      <c r="AA31" s="37" cm="1">
        <f t="array" ref="AA31">_xll.BDP(B31&amp;" Equity","OPT_STRIKE_PX")</f>
        <v>380</v>
      </c>
      <c r="AB31" s="40">
        <f t="shared" si="7"/>
        <v>0.16521525818717042</v>
      </c>
      <c r="AC31" s="324" cm="1">
        <f t="array" ref="AC31">_xll.BDP($D31&amp;" Equity","volatility_10d")</f>
        <v>40.389304979159625</v>
      </c>
      <c r="AD31" s="37" cm="1">
        <f t="array" ref="AD31">_xll.BDP(B31&amp;" Equity","ivol_mid")</f>
        <v>38.648420000000002</v>
      </c>
      <c r="AE31" s="37">
        <f t="shared" si="8"/>
        <v>0.95689737716314016</v>
      </c>
      <c r="AF31" s="38" cm="1">
        <f t="array" ref="AF31">_xll.BDP(B31&amp;" Equity","DELTA_MID_RT")</f>
        <v>0.33336749672889709</v>
      </c>
      <c r="AG31" s="19">
        <f>AL31/'Master P&amp;L'!$AE$7</f>
        <v>-4.0834443260750995E-3</v>
      </c>
      <c r="AH31" s="19">
        <f>AM31/'Master P&amp;L'!$AE$7</f>
        <v>-1.2249077567978561E-2</v>
      </c>
      <c r="AI31" s="435">
        <f>AO31/'Master P&amp;L'!$AD$7*10000</f>
        <v>3.6887866546782867E-2</v>
      </c>
      <c r="AJ31" s="350">
        <f t="shared" si="9"/>
        <v>-0.58495589797226422</v>
      </c>
      <c r="AK31" s="38">
        <f>AP31/'Master P&amp;L'!$AD$7*10000</f>
        <v>0.21409218121390167</v>
      </c>
      <c r="AL31" s="15">
        <f t="shared" si="10"/>
        <v>-9784602.7229905128</v>
      </c>
      <c r="AM31" s="15">
        <f t="shared" si="11"/>
        <v>-29350800</v>
      </c>
      <c r="AN31" s="38" cm="1">
        <f t="array" ref="AN31">_xll.BDP($B31&amp;" Equity","theta_mid_rt")</f>
        <v>-9.8210424184799194E-2</v>
      </c>
      <c r="AO31" s="15">
        <f t="shared" si="12"/>
        <v>8838.9381766319275</v>
      </c>
      <c r="AP31" s="15">
        <f t="shared" si="13"/>
        <v>51299.999999999869</v>
      </c>
      <c r="AQ31" s="36" t="str" cm="1">
        <f t="array" ref="AQ31">_xll.BDP($D31&amp;" Equity","EXPECTED_REPORT_DT")</f>
        <v>17/04/2026</v>
      </c>
      <c r="AR31" s="66" cm="1">
        <f t="array" ref="AR31">_xll.BDP($B31&amp;" Equity","GAMMA_LAST")</f>
        <v>1.4892000000000001E-2</v>
      </c>
      <c r="AS31">
        <f t="shared" si="14"/>
        <v>-1425444.8008723203</v>
      </c>
      <c r="AT31">
        <f t="shared" si="15"/>
        <v>-7127224.0043616006</v>
      </c>
      <c r="AU31" t="s">
        <v>151</v>
      </c>
      <c r="AV31" s="277" cm="1">
        <f t="array" ref="AV31">_xll.BDP($D31&amp;" Equity","EST_PE_NXT_YR")*(AA31/Z31)</f>
        <v>22.814090723725894</v>
      </c>
      <c r="AX31" s="15"/>
      <c r="AY31" s="15">
        <v>15.88</v>
      </c>
      <c r="AZ31" s="355"/>
      <c r="BA31" s="15">
        <f t="shared" si="16"/>
        <v>15.88</v>
      </c>
      <c r="BB31" s="414">
        <f t="shared" si="17"/>
        <v>16.399999999999999</v>
      </c>
      <c r="BC31" s="414">
        <f t="shared" si="18"/>
        <v>-46799.999999999804</v>
      </c>
      <c r="BD31" s="414">
        <f>BC31/'Master P&amp;L'!$AD$7*10000</f>
        <v>-0.19531216531794504</v>
      </c>
    </row>
    <row r="32" spans="1:56" s="59" customFormat="1">
      <c r="A32" s="335"/>
      <c r="B32" s="73" t="s">
        <v>2109</v>
      </c>
      <c r="C32" s="73" t="str" cm="1">
        <f t="array" ref="C32">_xll.BDP($B32&amp;" Equity","opt_put_call")</f>
        <v>Call</v>
      </c>
      <c r="D32" s="73" t="str" cm="1">
        <f t="array" ref="D32">_xll.BDP(B32&amp;" Equity","OPT_UNDL_TICKER")</f>
        <v>TSM US</v>
      </c>
      <c r="E32" s="73" t="str" cm="1">
        <f t="array" ref="E32">_xll.BDP($B32&amp;" Equity","mifid_Maturity_date")</f>
        <v>20/03/2026</v>
      </c>
      <c r="F32" s="73" cm="1">
        <f t="array" ref="F32">_xll.BDP($B32&amp;" Equity","opt_days_expire")</f>
        <v>58</v>
      </c>
      <c r="G32" s="73" t="str" cm="1">
        <f t="array" ref="G32">_xll.BDP(B32&amp;" Equity","QUOTED_CURRENCY_REALTIME")</f>
        <v>USD</v>
      </c>
      <c r="H32" s="42">
        <v>50</v>
      </c>
      <c r="I32" s="409">
        <v>18</v>
      </c>
      <c r="J32" s="415">
        <f>VLOOKUP(B32,Precificação!$B:$O,14,FALSE)</f>
        <v>37.299999999999997</v>
      </c>
      <c r="K32" s="74">
        <f t="shared" si="35"/>
        <v>37.299999999999997</v>
      </c>
      <c r="L32" s="74" cm="1">
        <f t="array" ref="L32">_xll.BDP($B32&amp;" Equity","mid")</f>
        <v>36.049999999999997</v>
      </c>
      <c r="M32" s="75">
        <f t="shared" ref="M32" si="148">L32/Z32</f>
        <v>0.11054213173065128</v>
      </c>
      <c r="N32" s="352"/>
      <c r="O32" s="75">
        <f t="shared" ref="O32" si="149">L32/K32-1</f>
        <v>-3.3512064343163561E-2</v>
      </c>
      <c r="P32" s="74" cm="1">
        <f t="array" ref="P32">_xll.BDP($B32&amp;" Equity","bid")</f>
        <v>35.6</v>
      </c>
      <c r="Q32" s="74" cm="1">
        <f t="array" ref="Q32">_xll.BDP($B32&amp;" Equity","ask")</f>
        <v>36.5</v>
      </c>
      <c r="R32" s="76">
        <f t="shared" ref="R32" si="150">(Q32/P32-1)</f>
        <v>2.528089887640439E-2</v>
      </c>
      <c r="S32" s="36" cm="1">
        <f t="array" ref="S32">_xll.BDP(G32&amp;" Curncy","PX_LAST")</f>
        <v>1</v>
      </c>
      <c r="T32" s="42" cm="1">
        <f t="array" ref="T32">_xll.BDP(B32&amp;" Equity","OPT_MULTIPLIER")</f>
        <v>100</v>
      </c>
      <c r="U32" s="42">
        <f t="shared" ref="U32" si="151">(L32/S32)*H32*T32</f>
        <v>180249.99999999997</v>
      </c>
      <c r="V32" s="113">
        <f>U32/'Master P&amp;L'!$AD$7*10000</f>
        <v>0.75224397005469523</v>
      </c>
      <c r="W32" s="113">
        <f>(Y32*H32*T32/S32)/'Master P&amp;L'!$AD$7*10000</f>
        <v>0.20720617538538474</v>
      </c>
      <c r="X32" s="118">
        <f t="shared" ref="X32" si="152">IF(C32="Put",IF(Z32&lt;AA32,AA32-Z32,0),IF(Z32&gt;AA32,Z32-AA32,0))</f>
        <v>26.120000000000005</v>
      </c>
      <c r="Y32" s="272">
        <f t="shared" ref="Y32" si="153">L32-X32</f>
        <v>9.9299999999999926</v>
      </c>
      <c r="Z32" s="77">
        <f>_xll.BDP(D32&amp;" Equity","LAST_PRICE")</f>
        <v>326.12</v>
      </c>
      <c r="AA32" s="77" cm="1">
        <f t="array" ref="AA32">_xll.BDP(B32&amp;" Equity","OPT_STRIKE_PX")</f>
        <v>300</v>
      </c>
      <c r="AB32" s="76">
        <f t="shared" ref="AB32" si="154">AA32/Z32-1</f>
        <v>-8.0093217220654989E-2</v>
      </c>
      <c r="AC32" s="323" cm="1">
        <f t="array" ref="AC32">_xll.BDP($D32&amp;" Equity","volatility_10d")</f>
        <v>40.389304979159625</v>
      </c>
      <c r="AD32" s="77" cm="1">
        <f t="array" ref="AD32">_xll.BDP(B32&amp;" Equity","ivol_mid")</f>
        <v>38.559719999999999</v>
      </c>
      <c r="AE32" s="77">
        <f t="shared" ref="AE32" si="155">AD32/AC32</f>
        <v>0.95470125123213512</v>
      </c>
      <c r="AF32" s="78" cm="1">
        <f t="array" ref="AF32">_xll.BDP(B32&amp;" Equity","DELTA_MID_RT")</f>
        <v>0.74611926078796387</v>
      </c>
      <c r="AG32" s="75">
        <f>AL32/'Master P&amp;L'!$AE$7</f>
        <v>5.0773737224192182E-4</v>
      </c>
      <c r="AH32" s="75">
        <f>AM32/'Master P&amp;L'!$AE$7</f>
        <v>6.8050430933214222E-4</v>
      </c>
      <c r="AI32" s="436">
        <f>AO32/'Master P&amp;L'!$AD$7*10000</f>
        <v>-2.7546380073546015E-3</v>
      </c>
      <c r="AJ32" s="350">
        <f t="shared" ref="AJ32" si="156">(252*AI32)/$AI$1</f>
        <v>4.3682161643505808E-2</v>
      </c>
      <c r="AK32" s="78">
        <f>AP32/'Master P&amp;L'!$AD$7*10000</f>
        <v>-2.6083355411050467E-2</v>
      </c>
      <c r="AL32" s="42">
        <f t="shared" ref="AL32" si="157">Z32*AF32*H32*T32/S32</f>
        <v>1216622.0666408539</v>
      </c>
      <c r="AM32" s="42">
        <f t="shared" ref="AM32" si="158">IF(C32="Put",-Z32*H32*T32/S32,Z32*H32*T32/S32)</f>
        <v>1630600</v>
      </c>
      <c r="AN32" s="78" cm="1">
        <f t="array" ref="AN32">_xll.BDP($B32&amp;" Equity","theta_mid_rt")</f>
        <v>-0.1320112943649292</v>
      </c>
      <c r="AO32" s="42">
        <f t="shared" ref="AO32" si="159">AN32*H32*T32/S32</f>
        <v>-660.056471824646</v>
      </c>
      <c r="AP32" s="42">
        <f t="shared" ref="AP32" si="160">(L32-K32)*T32/S32*H32</f>
        <v>-6250</v>
      </c>
      <c r="AQ32" s="74" t="str" cm="1">
        <f t="array" ref="AQ32">_xll.BDP($D32&amp;" Equity","EXPECTED_REPORT_DT")</f>
        <v>17/04/2026</v>
      </c>
      <c r="AR32" s="235" cm="1">
        <f t="array" ref="AR32">_xll.BDP($B32&amp;" Equity","GAMMA_LAST")</f>
        <v>1.9373000000000001E-2</v>
      </c>
      <c r="AS32" s="73">
        <f t="shared" si="14"/>
        <v>103020.04852456</v>
      </c>
      <c r="AT32" s="73">
        <f t="shared" si="15"/>
        <v>515100.24262280005</v>
      </c>
      <c r="AU32" s="73" t="s">
        <v>151</v>
      </c>
      <c r="AV32" s="322" cm="1">
        <f t="array" ref="AV32">_xll.BDP($D32&amp;" Equity","EST_PE_NXT_YR")*(AA32/Z32)</f>
        <v>18.011124255573073</v>
      </c>
      <c r="AW32" s="73"/>
      <c r="AX32" s="42"/>
      <c r="AY32" s="42">
        <v>36.42</v>
      </c>
      <c r="AZ32" s="354"/>
      <c r="BA32" s="42">
        <f t="shared" ref="BA32" si="161">+AY32</f>
        <v>36.42</v>
      </c>
      <c r="BB32" s="346">
        <f t="shared" ref="BB32" si="162">+J32</f>
        <v>37.299999999999997</v>
      </c>
      <c r="BC32" s="346">
        <f t="shared" ref="BC32" si="163">(BB32-BA32)*H32*100</f>
        <v>4399.9999999999773</v>
      </c>
      <c r="BD32" s="346">
        <f>BC32/'Master P&amp;L'!$AD$7*10000</f>
        <v>1.8362682209379432E-2</v>
      </c>
    </row>
    <row r="33" spans="8:52">
      <c r="H33" s="336"/>
      <c r="I33" s="218"/>
      <c r="J33" s="218"/>
      <c r="K33" s="218"/>
      <c r="L33" s="218"/>
      <c r="AZ33">
        <v>-59.569999999999993</v>
      </c>
    </row>
    <row r="34" spans="8:52">
      <c r="I34" s="64"/>
      <c r="J34" s="64"/>
      <c r="K34" s="64"/>
      <c r="L34" s="64"/>
      <c r="AZ34">
        <v>18.100000000000001</v>
      </c>
    </row>
    <row r="35" spans="8:52">
      <c r="I35" s="64" t="e">
        <f>#REF!-#REF!</f>
        <v>#REF!</v>
      </c>
      <c r="J35" s="64" t="e">
        <f>#REF!-#REF!</f>
        <v>#REF!</v>
      </c>
      <c r="K35" s="64" t="e">
        <f>#REF!-#REF!</f>
        <v>#REF!</v>
      </c>
      <c r="L35" s="64" t="e">
        <f>#REF!-#REF!</f>
        <v>#REF!</v>
      </c>
      <c r="AY35" t="e">
        <v>#REF!</v>
      </c>
      <c r="AZ35">
        <v>-62.749999999999993</v>
      </c>
    </row>
    <row r="36" spans="8:52">
      <c r="I36" s="218"/>
      <c r="J36" s="218"/>
      <c r="K36" s="218"/>
      <c r="L36" s="218"/>
      <c r="AZ36">
        <v>-0.52999999999999936</v>
      </c>
    </row>
    <row r="37" spans="8:52">
      <c r="I37" s="218"/>
      <c r="J37" s="218"/>
      <c r="K37" s="218"/>
      <c r="L37" s="218"/>
      <c r="AZ37" t="e">
        <v>#REF!</v>
      </c>
    </row>
    <row r="39" spans="8:52">
      <c r="H39" s="42">
        <v>525</v>
      </c>
      <c r="I39" s="409">
        <v>33.42</v>
      </c>
      <c r="J39" s="407">
        <f>H39*I39</f>
        <v>17545.5</v>
      </c>
    </row>
    <row r="40" spans="8:52">
      <c r="H40" s="15">
        <v>-525</v>
      </c>
      <c r="I40" s="410">
        <v>19.420000000000002</v>
      </c>
      <c r="J40" s="407">
        <f t="shared" ref="J40:J46" si="164">H40*I40</f>
        <v>-10195.5</v>
      </c>
    </row>
    <row r="41" spans="8:52">
      <c r="H41" s="42"/>
      <c r="I41" s="409"/>
      <c r="J41" s="407">
        <f t="shared" si="164"/>
        <v>0</v>
      </c>
    </row>
    <row r="42" spans="8:52">
      <c r="H42" s="404"/>
      <c r="I42" s="405"/>
      <c r="J42" s="407">
        <f t="shared" si="164"/>
        <v>0</v>
      </c>
    </row>
    <row r="43" spans="8:52">
      <c r="H43" s="457">
        <v>425</v>
      </c>
      <c r="I43" s="458">
        <v>39.58</v>
      </c>
      <c r="J43" s="407">
        <f t="shared" si="164"/>
        <v>16821.5</v>
      </c>
    </row>
    <row r="44" spans="8:52">
      <c r="H44" s="457">
        <v>-425</v>
      </c>
      <c r="I44" s="458">
        <v>23.22</v>
      </c>
      <c r="J44" s="407">
        <f t="shared" si="164"/>
        <v>-9868.5</v>
      </c>
    </row>
    <row r="45" spans="8:52">
      <c r="H45" s="404"/>
      <c r="I45" s="411"/>
      <c r="J45" s="407">
        <f t="shared" si="164"/>
        <v>0</v>
      </c>
    </row>
    <row r="46" spans="8:52">
      <c r="H46" s="348"/>
      <c r="I46" s="406"/>
      <c r="J46" s="407">
        <f t="shared" si="164"/>
        <v>0</v>
      </c>
    </row>
    <row r="48" spans="8:52">
      <c r="H48" s="348">
        <f>H39+H43</f>
        <v>950</v>
      </c>
      <c r="I48" s="406">
        <f>J48/H48</f>
        <v>36.175789473684212</v>
      </c>
      <c r="J48" s="408">
        <f>J39+J43</f>
        <v>34367</v>
      </c>
    </row>
    <row r="49" spans="8:10">
      <c r="H49" s="348">
        <f>H40+H44</f>
        <v>-950</v>
      </c>
      <c r="I49" s="406">
        <f>J49/H49</f>
        <v>21.12</v>
      </c>
      <c r="J49" s="408">
        <f>J40+J44</f>
        <v>-20064</v>
      </c>
    </row>
    <row r="50" spans="8:10">
      <c r="H50" s="348">
        <f>H41+H45</f>
        <v>0</v>
      </c>
      <c r="I50" s="406" t="e">
        <f>J50/H50</f>
        <v>#DIV/0!</v>
      </c>
      <c r="J50" s="408">
        <f>J41+J45</f>
        <v>0</v>
      </c>
    </row>
    <row r="51" spans="8:10">
      <c r="H51" s="348">
        <f>H42+H46</f>
        <v>0</v>
      </c>
      <c r="I51" s="406" t="e">
        <f>J51/H51</f>
        <v>#DIV/0!</v>
      </c>
      <c r="J51" s="408">
        <f>J42+J46</f>
        <v>0</v>
      </c>
    </row>
  </sheetData>
  <autoFilter ref="A3:BD35" xr:uid="{0428720F-9028-4D6D-9843-ED7DFFC9E1CA}">
    <sortState xmlns:xlrd2="http://schemas.microsoft.com/office/spreadsheetml/2017/richdata2" ref="A4:BD35">
      <sortCondition ref="D3:D35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61"/>
  <sheetViews>
    <sheetView zoomScale="80" zoomScaleNormal="80" workbookViewId="0">
      <pane xSplit="2" ySplit="3" topLeftCell="C178" activePane="bottomRight" state="frozen"/>
      <selection pane="topRight" activeCell="C1" sqref="C1"/>
      <selection pane="bottomLeft" activeCell="A4" sqref="A4"/>
      <selection pane="bottomRight" activeCell="B213" sqref="B213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-9.35</v>
      </c>
      <c r="P5" s="267"/>
      <c r="Q5">
        <f>Q9/Q15-1</f>
        <v>0.28606965174129351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2327</v>
      </c>
      <c r="C7" s="59" t="str" cm="1">
        <f t="array" ref="C7">_xll.BDP(B7&amp;" Equity","OPT_UNDL_TICKER")</f>
        <v>GDX US</v>
      </c>
      <c r="D7" s="59" t="str" cm="1">
        <f t="array" ref="D7">_xll.BDP($B7&amp;" Index","mifid_Maturity_date")</f>
        <v>18/09/2026</v>
      </c>
      <c r="E7" s="59" cm="1">
        <f t="array" ref="E7">_xll.BDP($B7&amp;" Index","opt_days_expire")</f>
        <v>240</v>
      </c>
      <c r="F7" s="59" t="str" cm="1">
        <f t="array" ref="F7">_xll.BDP(B7&amp;" Equity","QUOTED_CURRENCY_REALTIME")</f>
        <v>USD</v>
      </c>
      <c r="G7" s="105" t="s">
        <v>247</v>
      </c>
      <c r="H7" s="96">
        <v>1100</v>
      </c>
      <c r="I7" s="97">
        <f>IF(G7="Buy",L7,K7)</f>
        <v>14.35</v>
      </c>
      <c r="J7" s="19">
        <f>I7/S7</f>
        <v>0.14167242570836211</v>
      </c>
      <c r="K7" s="36" cm="1">
        <f t="array" ref="K7">_xll.BDP($B7&amp;" Equity","bid")</f>
        <v>12.8</v>
      </c>
      <c r="L7" s="36" cm="1">
        <f t="array" ref="L7">_xll.BDP($B7&amp;" Equity","ask")</f>
        <v>14.35</v>
      </c>
      <c r="M7" s="40">
        <f>(L7/K7-1)</f>
        <v>0.12109375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1578500</v>
      </c>
      <c r="Q7" s="58">
        <f>P7/'Master P&amp;L'!$AD$5*10000</f>
        <v>7.0279401354387039</v>
      </c>
      <c r="R7" s="37" t="e" cm="1">
        <f t="array" ref="R7">_xll.BDP($C7&amp;" Equity","EST_PE_NXT_YR")*(T7/S7)</f>
        <v>#VALUE!</v>
      </c>
      <c r="S7" s="36" cm="1">
        <f t="array" ref="S7">_xll.BDP(C7&amp;" Equity","LAST_PRICE")</f>
        <v>101.29</v>
      </c>
      <c r="T7" s="53" cm="1">
        <f t="array" ref="T7">_xll.BDP(B7&amp;" Equity","OPT_STRIKE_PX")</f>
        <v>105</v>
      </c>
      <c r="U7" s="40">
        <f>T7/S7-1</f>
        <v>3.662750518313751E-2</v>
      </c>
      <c r="V7" s="37" cm="1">
        <f t="array" ref="V7">_xll.BDP($B7&amp;" Equity","ivol_mid")</f>
        <v>43.097360000000002</v>
      </c>
      <c r="W7" s="38" cm="1">
        <f t="array" ref="W7">_xll.BDP(B7&amp;" Equity","DELTA_MID_RT")</f>
        <v>0.55588227510452271</v>
      </c>
      <c r="X7" s="48">
        <f>Y7/'Master P&amp;L'!$AE$5</f>
        <v>2.757563677089962E-3</v>
      </c>
      <c r="Y7" s="15">
        <f>IF(G7="Sell", S7*W7*-H7*O7/N7, S7*W7*H7*O7/N7)</f>
        <v>6193584.7209870825</v>
      </c>
      <c r="Z7" s="15" cm="1">
        <f t="array" ref="Z7">_xll.BDP($B7&amp;" Equity","opt_theta")*H7*O7/N7</f>
        <v>-2941.62</v>
      </c>
      <c r="AA7" s="19" cm="1">
        <f t="array" ref="AA7">_xll.BDP($B7&amp;" Equity","opt_theta")/I7</f>
        <v>-1.8635540069686411E-3</v>
      </c>
      <c r="AB7" s="36" t="str" cm="1">
        <f t="array" ref="AB7">_xll.BDP($C7&amp;" Equity","EXPECTED_REPORT_DT")</f>
        <v>#N/A N/A</v>
      </c>
      <c r="AC7" s="15">
        <f>S7*H7*O7/N7</f>
        <v>11141900</v>
      </c>
      <c r="AD7" s="19">
        <f>AC7/'Master P&amp;L'!$AE$5</f>
        <v>4.9606972565755152E-3</v>
      </c>
      <c r="AE7" t="str">
        <f>B7  &amp; " - Buy to open " &amp;  "-" &amp; H7 &amp;"x"</f>
        <v>GDX US 09/18/26 C105 - Buy to open -1100x</v>
      </c>
      <c r="AF7">
        <f>H7*$AF$3</f>
        <v>275</v>
      </c>
      <c r="AK7" t="s">
        <v>1841</v>
      </c>
      <c r="AO7" t="s">
        <v>151</v>
      </c>
    </row>
    <row r="8" spans="1:41">
      <c r="A8" s="98" t="s">
        <v>246</v>
      </c>
      <c r="B8" s="73" t="s">
        <v>2328</v>
      </c>
      <c r="C8" s="59" t="str" cm="1">
        <f t="array" ref="C8">_xll.BDP(B8&amp;" Equity","OPT_UNDL_TICKER")</f>
        <v>GDX US</v>
      </c>
      <c r="D8" s="59" t="str" cm="1">
        <f t="array" ref="D8">_xll.BDP($B8&amp;" Index","mifid_Maturity_date")</f>
        <v>18/09/2026</v>
      </c>
      <c r="E8" s="59" cm="1">
        <f t="array" ref="E8">_xll.BDP($B8&amp;" Index","opt_days_expire")</f>
        <v>240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1100</v>
      </c>
      <c r="I8" s="97">
        <f>IF(G8="Buy",L8,K8)</f>
        <v>9.65</v>
      </c>
      <c r="J8" s="19">
        <f>I8/S8</f>
        <v>9.5271004047783589E-2</v>
      </c>
      <c r="K8" s="36" cm="1">
        <f t="array" ref="K8">_xll.BDP($B8&amp;" Equity","bid")</f>
        <v>9.65</v>
      </c>
      <c r="L8" s="36" cm="1">
        <f t="array" ref="L8">_xll.BDP($B8&amp;" Equity","ask")</f>
        <v>11.2</v>
      </c>
      <c r="M8" s="40">
        <f>(L8/K8-1)</f>
        <v>0.16062176165803099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-1061500</v>
      </c>
      <c r="Q8" s="58">
        <f>P8/'Master P&amp;L'!$AD$5*10000</f>
        <v>-4.7261060841103477</v>
      </c>
      <c r="R8" s="37" t="e" cm="1">
        <f t="array" ref="R8">_xll.BDP($C8&amp;" Equity","EST_PE_NXT_YR")*(T8/S8)</f>
        <v>#VALUE!</v>
      </c>
      <c r="S8" s="36" cm="1">
        <f t="array" ref="S8">_xll.BDP(C8&amp;" Equity","LAST_PRICE")</f>
        <v>101.29</v>
      </c>
      <c r="T8" s="53" cm="1">
        <f t="array" ref="T8">_xll.BDP(B8&amp;" Equity","OPT_STRIKE_PX")</f>
        <v>115</v>
      </c>
      <c r="U8" s="40">
        <f>T8/S8-1</f>
        <v>0.13535393424819819</v>
      </c>
      <c r="V8" s="37" cm="1">
        <f t="array" ref="V8">_xll.BDP($B8&amp;" Equity","ivol_mid")</f>
        <v>44.543790000000001</v>
      </c>
      <c r="W8" s="38" cm="1">
        <f t="array" ref="W8">_xll.BDP(B8&amp;" Equity","DELTA_MID_RT")</f>
        <v>0.45829343795776367</v>
      </c>
      <c r="X8" s="48">
        <f>Y8/'Master P&amp;L'!$AE$5</f>
        <v>-2.2734550003836395E-3</v>
      </c>
      <c r="Y8" s="15">
        <f>IF(G8="Sell", S8*W8*-H8*O8/N8, S8*W8*H8*O8/N8)</f>
        <v>-5106259.656381608</v>
      </c>
      <c r="Z8" s="15" cm="1">
        <f t="array" ref="Z8">_xll.BDP($B8&amp;" Equity","opt_theta")*H8*O8/N8</f>
        <v>-3120.7000000000003</v>
      </c>
      <c r="AA8" s="19" cm="1">
        <f t="array" ref="AA8">_xll.BDP($B8&amp;" Equity","opt_theta")/I8</f>
        <v>-2.9398963730569946E-3</v>
      </c>
      <c r="AB8" s="36" t="str" cm="1">
        <f t="array" ref="AB8">_xll.BDP($C8&amp;" Equity","EXPECTED_REPORT_DT")</f>
        <v>#N/A N/A</v>
      </c>
      <c r="AC8" s="15">
        <f>S8*H8*O8/N8</f>
        <v>11141900</v>
      </c>
      <c r="AD8" s="19">
        <f>AC8/'Master P&amp;L'!$AE$5</f>
        <v>4.9606972565755152E-3</v>
      </c>
      <c r="AE8" t="str">
        <f>B8  &amp; " - Buy to open " &amp;  "-" &amp; H8 &amp;"x"</f>
        <v>GDX US 09/18/26 C115 - Buy to open -1100x</v>
      </c>
      <c r="AF8">
        <f>H8*$AF$3</f>
        <v>275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4.6999999999999993</v>
      </c>
      <c r="J9" s="100" t="s">
        <v>249</v>
      </c>
      <c r="K9" s="101">
        <f>K8/L7</f>
        <v>0.67247386759581884</v>
      </c>
      <c r="P9" s="100" t="s">
        <v>250</v>
      </c>
      <c r="Q9" s="108">
        <f>Q7+Q8</f>
        <v>2.3018340513283562</v>
      </c>
      <c r="S9" s="100" t="s">
        <v>251</v>
      </c>
      <c r="T9" s="102">
        <f>T8-T7</f>
        <v>10</v>
      </c>
      <c r="W9" s="100" t="s">
        <v>252</v>
      </c>
      <c r="X9" s="122">
        <f>X7+X8</f>
        <v>4.8410867670632251E-4</v>
      </c>
      <c r="Y9" s="13">
        <f>Y7+Y8</f>
        <v>1087325.0646054745</v>
      </c>
      <c r="AC9" s="100" t="s">
        <v>229</v>
      </c>
      <c r="AD9" s="122">
        <f>AD7</f>
        <v>4.9606972565755152E-3</v>
      </c>
      <c r="AO9" t="s">
        <v>151</v>
      </c>
    </row>
    <row r="10" spans="1:41">
      <c r="H10" s="100" t="s">
        <v>253</v>
      </c>
      <c r="I10" s="102">
        <f>(T9-I9)/I9</f>
        <v>1.1276595744680855</v>
      </c>
      <c r="J10" s="100" t="s">
        <v>145</v>
      </c>
      <c r="K10" s="223">
        <f>AVERAGE(K7:L7)-AVERAGE(K8:L8)</f>
        <v>3.1499999999999986</v>
      </c>
      <c r="L10" s="18"/>
      <c r="P10" s="130">
        <f>P7+P8</f>
        <v>517000</v>
      </c>
      <c r="Q10" s="108"/>
      <c r="S10" s="100"/>
      <c r="T10" s="102"/>
      <c r="W10" s="100"/>
      <c r="X10" s="122"/>
      <c r="Y10" s="13">
        <f>Y9/S7</f>
        <v>10734.772086143494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4.6401421660578521E-2</v>
      </c>
      <c r="K11" s="167">
        <f>K7-K8</f>
        <v>3.1500000000000004</v>
      </c>
      <c r="L11" s="167">
        <f>L7-L8</f>
        <v>3.1500000000000004</v>
      </c>
      <c r="P11" s="40">
        <f>P10/Y9</f>
        <v>0.47547878443102803</v>
      </c>
      <c r="Q11" s="64">
        <f>Q9*I10</f>
        <v>2.5956852068170835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5.4777871711280855E-4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2268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148</v>
      </c>
      <c r="F13" s="59" t="str" cm="1">
        <f t="array" ref="F13">_xll.BDP(B13&amp;" Equity","QUOTED_CURRENCY_REALTIME")</f>
        <v>USD</v>
      </c>
      <c r="G13" s="105" t="s">
        <v>247</v>
      </c>
      <c r="H13" s="96">
        <v>300</v>
      </c>
      <c r="I13" s="97">
        <f>IF(G13="Buy",L13,K13)</f>
        <v>28.7</v>
      </c>
      <c r="J13" s="19">
        <f>I13/S13</f>
        <v>8.8004415552557336E-2</v>
      </c>
      <c r="K13" s="36" cm="1">
        <f t="array" ref="K13">_xll.BDP($B13&amp;" Equity","bid")</f>
        <v>27.95</v>
      </c>
      <c r="L13" s="36" cm="1">
        <f t="array" ref="L13">_xll.BDP($B13&amp;" Equity","ask")</f>
        <v>28.7</v>
      </c>
      <c r="M13" s="40">
        <f>(L13/K13-1)</f>
        <v>2.683363148479434E-2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861000</v>
      </c>
      <c r="Q13" s="58">
        <f>P13/'Master P&amp;L'!$AD$5*10000</f>
        <v>3.8334218920574754</v>
      </c>
      <c r="R13" s="37" cm="1">
        <f t="array" ref="R13">_xll.BDP($C13&amp;" Equity","EST_PE_NXT_YR")*(T13/S13)</f>
        <v>20.412607489649481</v>
      </c>
      <c r="S13" s="36" cm="1">
        <f t="array" ref="S13">_xll.BDP(C13&amp;" Equity","LAST_PRICE")</f>
        <v>326.12</v>
      </c>
      <c r="T13" s="53" cm="1">
        <f t="array" ref="T13">_xll.BDP(B13&amp;" Equity","OPT_STRIKE_PX")</f>
        <v>340</v>
      </c>
      <c r="U13" s="40">
        <f>T13/S13-1</f>
        <v>4.2561020483257606E-2</v>
      </c>
      <c r="V13" s="37" cm="1">
        <f t="array" ref="V13">_xll.BDP($B13&amp;" Equity","ivol_mid")</f>
        <v>39.108159999999998</v>
      </c>
      <c r="W13" s="38" cm="1">
        <f t="array" ref="W13">_xll.BDP(B13&amp;" Equity","DELTA_MID_RT")</f>
        <v>0.50634253025054932</v>
      </c>
      <c r="X13" s="48">
        <f>Y13/'Master P&amp;L'!$AE$5</f>
        <v>2.2055990351791221E-3</v>
      </c>
      <c r="Y13" s="15">
        <f>IF(G13="Sell", S13*W13*-H13*O13/N13, S13*W13*H13*O13/N13)</f>
        <v>4953852.7789592743</v>
      </c>
      <c r="Z13" s="15" cm="1">
        <f t="array" ref="Z13">_xll.BDP($B13&amp;" Equity","opt_theta")*H13*O13/N13</f>
        <v>-3277.59</v>
      </c>
      <c r="AA13" s="19" cm="1">
        <f t="array" ref="AA13">_xll.BDP($B13&amp;" Equity","opt_theta")/I13</f>
        <v>-3.8067247386759586E-3</v>
      </c>
      <c r="AB13" s="36" t="str" cm="1">
        <f t="array" ref="AB13">_xll.BDP($C13&amp;" Equity","EXPECTED_REPORT_DT")</f>
        <v>17/04/2026</v>
      </c>
      <c r="AC13" s="15">
        <f>S13*H13*O13/N13</f>
        <v>9783600</v>
      </c>
      <c r="AD13" s="19">
        <f>AC13/'Master P&amp;L'!$AE$5</f>
        <v>4.3559426739992468E-3</v>
      </c>
      <c r="AE13" t="str">
        <f>B13  &amp; " - Buy to open " &amp;  "-" &amp; H13 &amp;"x"</f>
        <v>TSM US 06/18/26 C340 - Buy to open -300x</v>
      </c>
      <c r="AF13">
        <f>H13*$AF$3</f>
        <v>75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2269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148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300</v>
      </c>
      <c r="I14" s="97">
        <f>IF(G14="Buy",L14,K14)</f>
        <v>15.3</v>
      </c>
      <c r="J14" s="19">
        <f>I14/S14</f>
        <v>4.6915245921746597E-2</v>
      </c>
      <c r="K14" s="36" cm="1">
        <f t="array" ref="K14">_xll.BDP($B14&amp;" Equity","bid")</f>
        <v>15.3</v>
      </c>
      <c r="L14" s="36" cm="1">
        <f t="array" ref="L14">_xll.BDP($B14&amp;" Equity","ask")</f>
        <v>16.350000000000001</v>
      </c>
      <c r="M14" s="40">
        <f>(L14/K14-1)</f>
        <v>6.8627450980392135E-2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-459000</v>
      </c>
      <c r="Q14" s="58">
        <f>P14/'Master P&amp;L'!$AD$5*10000</f>
        <v>-2.0436012177170513</v>
      </c>
      <c r="R14" s="37" cm="1">
        <f t="array" ref="R14">_xll.BDP($C14&amp;" Equity","EST_PE_NXT_YR")*(T14/S14)</f>
        <v>22.814090723725894</v>
      </c>
      <c r="S14" s="36" cm="1">
        <f t="array" ref="S14">_xll.BDP(C14&amp;" Equity","LAST_PRICE")</f>
        <v>326.12</v>
      </c>
      <c r="T14" s="53" cm="1">
        <f t="array" ref="T14">_xll.BDP(B14&amp;" Equity","OPT_STRIKE_PX")</f>
        <v>380</v>
      </c>
      <c r="U14" s="40">
        <f>T14/S14-1</f>
        <v>0.16521525818717042</v>
      </c>
      <c r="V14" s="37" cm="1">
        <f t="array" ref="V14">_xll.BDP($B14&amp;" Equity","ivol_mid")</f>
        <v>38.648420000000002</v>
      </c>
      <c r="W14" s="38" cm="1">
        <f t="array" ref="W14">_xll.BDP(B14&amp;" Equity","DELTA_MID_RT")</f>
        <v>0.33336749672889709</v>
      </c>
      <c r="X14" s="48">
        <f>Y14/'Master P&amp;L'!$AE$5</f>
        <v>-1.4521297051257071E-3</v>
      </c>
      <c r="Y14" s="15">
        <f>IF(G14="Sell", S14*W14*-H14*O14/N14, S14*W14*H14*O14/N14)</f>
        <v>-3261534.2409968376</v>
      </c>
      <c r="Z14" s="15" cm="1">
        <f t="array" ref="Z14">_xll.BDP($B14&amp;" Equity","opt_theta")*H14*O14/N14</f>
        <v>-3045.27</v>
      </c>
      <c r="AA14" s="19" cm="1">
        <f t="array" ref="AA14">_xll.BDP($B14&amp;" Equity","opt_theta")/I14</f>
        <v>-6.6345751633986923E-3</v>
      </c>
      <c r="AB14" s="36" t="str" cm="1">
        <f t="array" ref="AB14">_xll.BDP($C14&amp;" Equity","EXPECTED_REPORT_DT")</f>
        <v>17/04/2026</v>
      </c>
      <c r="AC14" s="15">
        <f>S14*H14*O14/N14</f>
        <v>9783600</v>
      </c>
      <c r="AD14" s="19">
        <f>AC14/'Master P&amp;L'!$AE$5</f>
        <v>4.3559426739992468E-3</v>
      </c>
      <c r="AE14" t="str">
        <f>B14  &amp; " - Buy to open " &amp;  "-" &amp; H14 &amp;"x"</f>
        <v>TSM US 06/18/26 C380 - Buy to open -300x</v>
      </c>
      <c r="AF14">
        <f>H14*$AF$3</f>
        <v>75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13.399999999999999</v>
      </c>
      <c r="J15" s="100" t="s">
        <v>249</v>
      </c>
      <c r="K15" s="101">
        <f>K14/L13</f>
        <v>0.53310104529616731</v>
      </c>
      <c r="P15" s="100" t="s">
        <v>250</v>
      </c>
      <c r="Q15" s="108">
        <f>Q13+Q14</f>
        <v>1.7898206743404241</v>
      </c>
      <c r="S15" s="100" t="s">
        <v>251</v>
      </c>
      <c r="T15" s="102">
        <f>T14-T13</f>
        <v>40</v>
      </c>
      <c r="W15" s="100" t="s">
        <v>252</v>
      </c>
      <c r="X15" s="122">
        <f>X13+X14</f>
        <v>7.5346933005341504E-4</v>
      </c>
      <c r="Y15" s="13">
        <f>Y13+Y14</f>
        <v>1692318.5379624367</v>
      </c>
      <c r="AC15" s="100" t="s">
        <v>229</v>
      </c>
      <c r="AD15" s="104">
        <f>AD13</f>
        <v>4.3559426739992468E-3</v>
      </c>
    </row>
    <row r="16" spans="1:41">
      <c r="H16" s="100" t="s">
        <v>253</v>
      </c>
      <c r="I16" s="102">
        <f>(T15-I15)/I15</f>
        <v>1.985074626865672</v>
      </c>
      <c r="J16" s="100" t="s">
        <v>145</v>
      </c>
      <c r="K16" s="223">
        <f>AVERAGE(K13:L13)-AVERAGE(K14:L14)</f>
        <v>12.499999999999998</v>
      </c>
      <c r="P16" s="130">
        <f>P13+P14</f>
        <v>402000</v>
      </c>
      <c r="Q16" s="108"/>
      <c r="S16" s="100"/>
      <c r="T16" s="102"/>
      <c r="W16" s="108">
        <f>1/(W13-W14)</f>
        <v>5.7811811314077568</v>
      </c>
      <c r="X16" s="122"/>
      <c r="Y16" s="13">
        <f>Y15/S13</f>
        <v>5189.2510056495667</v>
      </c>
      <c r="AC16" s="100"/>
      <c r="AD16" s="104"/>
    </row>
    <row r="17" spans="1:38">
      <c r="I17" s="21"/>
      <c r="J17" s="43">
        <f>J13-J14</f>
        <v>4.1089169630810739E-2</v>
      </c>
      <c r="K17" s="167">
        <f>K13-K14</f>
        <v>12.649999999999999</v>
      </c>
      <c r="L17" s="167">
        <f>L13-L14</f>
        <v>12.349999999999998</v>
      </c>
      <c r="P17" s="40">
        <f>P16/Y15</f>
        <v>0.2375439321748557</v>
      </c>
      <c r="Q17" s="64">
        <f>Q15*I16</f>
        <v>3.5529276072727831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-9.35</v>
      </c>
      <c r="AK18">
        <v>13</v>
      </c>
      <c r="AL18" s="1">
        <v>16</v>
      </c>
    </row>
    <row r="19" spans="1:38">
      <c r="A19" s="98" t="s">
        <v>246</v>
      </c>
      <c r="B19" s="73" t="s">
        <v>2270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177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33.35</v>
      </c>
      <c r="J19" s="19">
        <f>I19/S19</f>
        <v>0.10226297068563719</v>
      </c>
      <c r="K19" s="36">
        <f>_xll.BDP($B19&amp;" Equity","bid")</f>
        <v>31.2</v>
      </c>
      <c r="L19" s="36">
        <f>_xll.BDP($B19&amp;" Equity","ask")</f>
        <v>33.35</v>
      </c>
      <c r="M19" s="40">
        <f>(L19/K19-1)</f>
        <v>6.8910256410256387E-2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1667500</v>
      </c>
      <c r="Q19" s="58">
        <f>P19/'Master P&amp;L'!$AD$5*10000</f>
        <v>7.4241939663250172</v>
      </c>
      <c r="R19" s="37" cm="1">
        <f t="array" ref="R19">_xll.BDP($C19&amp;" Equity","EST_PE_NXT_YR")*(T19/S19)</f>
        <v>20.412607489649481</v>
      </c>
      <c r="S19" s="36" cm="1">
        <f t="array" ref="S19">_xll.BDP(C19&amp;" Equity","LAST_PRICE")</f>
        <v>326.12</v>
      </c>
      <c r="T19" s="53">
        <f>_xll.BDP(B19&amp;" Equity","OPT_STRIKE_PX")</f>
        <v>340</v>
      </c>
      <c r="U19" s="40">
        <f>T19/S19-1</f>
        <v>4.2561020483257606E-2</v>
      </c>
      <c r="V19" s="37">
        <f>_xll.BDP($B19&amp;" Equity","ivol_mid")</f>
        <v>39.498269999999998</v>
      </c>
      <c r="W19" s="38">
        <f>_xll.BDP(B19&amp;" Equity","DELTA_MID_RT")</f>
        <v>0.51980346441268921</v>
      </c>
      <c r="X19" s="48">
        <f>Y19/'Master P&amp;L'!$AE$5</f>
        <v>3.7737234878798031E-3</v>
      </c>
      <c r="Y19" s="15">
        <f>IF(G19="Sell", S19*W19*-H19*O19/N19, S19*W19*H19*O19/N19)</f>
        <v>8475915.2907133102</v>
      </c>
      <c r="Z19" s="15" cm="1">
        <f t="array" ref="Z19">_xll.BDP($B19&amp;" Equity","opt_theta")*H19*O19/N19</f>
        <v>-5084.5</v>
      </c>
      <c r="AA19" s="19" cm="1">
        <f t="array" ref="AA19">_xll.BDP($B19&amp;" Equity","opt_theta")/I19</f>
        <v>-3.049175412293853E-3</v>
      </c>
      <c r="AB19" s="36" t="str" cm="1">
        <f t="array" ref="AB19">_xll.BDP($C19&amp;" Equity","EXPECTED_REPORT_DT")</f>
        <v>17/04/2026</v>
      </c>
      <c r="AC19" s="15">
        <f>S19*H19*O19/N19</f>
        <v>16306000</v>
      </c>
      <c r="AD19" s="19">
        <f>AC19/'Master P&amp;L'!$AE$5</f>
        <v>7.2599044566654114E-3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2271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177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18.95</v>
      </c>
      <c r="J20" s="19">
        <f>I20/S20</f>
        <v>5.8107445112228623E-2</v>
      </c>
      <c r="K20" s="36" cm="1">
        <f t="array" ref="K20">_xll.BDP($B20&amp;" Equity","bid")</f>
        <v>18.95</v>
      </c>
      <c r="L20" s="36" cm="1">
        <f t="array" ref="L20">_xll.BDP($B20&amp;" Equity","ask")</f>
        <v>20.25</v>
      </c>
      <c r="M20" s="40">
        <f>(L20/K20-1)</f>
        <v>6.8601583113456543E-2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-947500</v>
      </c>
      <c r="Q20" s="58">
        <f>P20/'Master P&amp;L'!$AD$5*10000</f>
        <v>-4.2185449973570943</v>
      </c>
      <c r="R20" s="37" cm="1">
        <f t="array" ref="R20">_xll.BDP($C20&amp;" Equity","EST_PE_NXT_YR")*(T20/S20)</f>
        <v>22.814090723725894</v>
      </c>
      <c r="S20" s="36" cm="1">
        <f t="array" ref="S20">_xll.BDP(C20&amp;" Equity","LAST_PRICE")</f>
        <v>326.12</v>
      </c>
      <c r="T20" s="53" cm="1">
        <f t="array" ref="T20">_xll.BDP(B20&amp;" Equity","OPT_STRIKE_PX")</f>
        <v>380</v>
      </c>
      <c r="U20" s="40">
        <f>T20/S20-1</f>
        <v>0.16521525818717042</v>
      </c>
      <c r="V20" s="37" cm="1">
        <f t="array" ref="V20">_xll.BDP($B20&amp;" Equity","ivol_mid")</f>
        <v>39.677120000000002</v>
      </c>
      <c r="W20" s="38" cm="1">
        <f t="array" ref="W20">_xll.BDP(B20&amp;" Equity","DELTA_MID_RT")</f>
        <v>0.36480006575584412</v>
      </c>
      <c r="X20" s="48">
        <f>Y20/'Master P&amp;L'!$AE$5</f>
        <v>-2.6484136231726876E-3</v>
      </c>
      <c r="Y20" s="15">
        <f>IF(G20="Sell", S20*W20*-H20*O20/N20, S20*W20*H20*O20/N20)</f>
        <v>-5948429.8722147942</v>
      </c>
      <c r="Z20" s="15" cm="1">
        <f t="array" ref="Z20">_xll.BDP($B20&amp;" Equity","opt_theta")*H20*O20/N20</f>
        <v>-4903.55</v>
      </c>
      <c r="AA20" s="19" cm="1">
        <f t="array" ref="AA20">_xll.BDP($B20&amp;" Equity","opt_theta")/I20</f>
        <v>-5.1752506596306072E-3</v>
      </c>
      <c r="AB20" s="36" t="str" cm="1">
        <f t="array" ref="AB20">_xll.BDP($C20&amp;" Equity","EXPECTED_REPORT_DT")</f>
        <v>17/04/2026</v>
      </c>
      <c r="AC20" s="15">
        <f>S20*H20*O20/N20</f>
        <v>16306000</v>
      </c>
      <c r="AD20" s="19">
        <f>AC20/'Master P&amp;L'!$AE$5</f>
        <v>7.2599044566654114E-3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14.400000000000002</v>
      </c>
      <c r="J21" s="100" t="s">
        <v>249</v>
      </c>
      <c r="K21" s="101">
        <f>K20/L19</f>
        <v>0.56821589205397294</v>
      </c>
      <c r="P21" s="100" t="s">
        <v>250</v>
      </c>
      <c r="Q21" s="108">
        <f>Q19+Q20</f>
        <v>3.2056489689679228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1.1253098647071155E-3</v>
      </c>
      <c r="Y21" s="13">
        <f>Y19+Y20</f>
        <v>2527485.4184985161</v>
      </c>
      <c r="AC21" s="100" t="s">
        <v>229</v>
      </c>
      <c r="AD21" s="104">
        <f>AD19</f>
        <v>7.2599044566654114E-3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1.7777777777777775</v>
      </c>
      <c r="J22" s="100" t="s">
        <v>145</v>
      </c>
      <c r="K22" s="223">
        <f>AVERAGE(K19:L19)-AVERAGE(K20:L20)</f>
        <v>12.674999999999997</v>
      </c>
      <c r="P22" s="130">
        <f>P19+P20</f>
        <v>720000</v>
      </c>
      <c r="Q22" s="108"/>
      <c r="S22" s="100"/>
      <c r="T22" s="102"/>
      <c r="W22" s="100"/>
      <c r="X22" s="122"/>
      <c r="Y22" s="3">
        <f>Y21/S19</f>
        <v>7750.1699328422546</v>
      </c>
      <c r="AC22" s="100"/>
      <c r="AD22" s="104"/>
    </row>
    <row r="23" spans="1:38">
      <c r="I23" s="64">
        <f>I20*2</f>
        <v>37.9</v>
      </c>
      <c r="K23" s="167">
        <f>K19-K20</f>
        <v>12.25</v>
      </c>
      <c r="L23" s="167">
        <f>L19-L20</f>
        <v>13.100000000000001</v>
      </c>
      <c r="P23" s="40">
        <f>P22/Y21</f>
        <v>0.2848681122867664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37">
        <f>A24-H26</f>
        <v>275</v>
      </c>
      <c r="B26" s="132" t="s">
        <v>2342</v>
      </c>
      <c r="C26" t="str" cm="1">
        <f t="array" ref="C26">_xll.BDP(B26&amp;" Equity","OPT_UNDL_TICKER")</f>
        <v>SNDK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30</v>
      </c>
      <c r="F26" t="str" cm="1">
        <f t="array" ref="F26">_xll.BDP(B26&amp;" Equity","QUOTED_CURRENCY_REALTIME")</f>
        <v>USD</v>
      </c>
      <c r="G26" s="105" t="s">
        <v>247</v>
      </c>
      <c r="H26" s="96">
        <v>10</v>
      </c>
      <c r="I26" s="97">
        <f>IF(G26="Buy",L26,K26)</f>
        <v>67</v>
      </c>
      <c r="J26" s="19">
        <f>I26/S26</f>
        <v>0.13365516966227134</v>
      </c>
      <c r="K26" s="36" cm="1">
        <f t="array" ref="K26">_xll.BDP($B26&amp;" Equity","bid")</f>
        <v>64.5</v>
      </c>
      <c r="L26" s="36" cm="1">
        <f t="array" ref="L26">_xll.BDP($B26&amp;" Equity","ask")</f>
        <v>67</v>
      </c>
      <c r="M26" s="40">
        <f>(L26/K26-1)</f>
        <v>3.8759689922480689E-2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67000</v>
      </c>
      <c r="Q26" s="58">
        <f>P26/'Master P&amp;L'!$AD$5*10000</f>
        <v>0.298303445723404</v>
      </c>
      <c r="R26" s="37" cm="1">
        <f t="array" ref="R26">_xll.BDP($C26&amp;" Equity","EST_PE_NXT_YR")*(T26/S26)</f>
        <v>17.884569757358463</v>
      </c>
      <c r="S26" s="36" cm="1">
        <f t="array" ref="S26">_xll.BDP(C26&amp;" Equity","LAST_PRICE")</f>
        <v>501.29</v>
      </c>
      <c r="T26" s="53" cm="1">
        <f t="array" ref="T26">_xll.BDP(B26&amp;" Equity","OPT_STRIKE_PX")</f>
        <v>500</v>
      </c>
      <c r="U26" s="40">
        <f>T26/S26-1</f>
        <v>-2.5733607293183525E-3</v>
      </c>
      <c r="V26" s="37" cm="1">
        <f t="array" ref="V26">_xll.BDP($B26&amp;" Equity","ivol_mid")</f>
        <v>113.5146</v>
      </c>
      <c r="W26" s="38" cm="1">
        <f t="array" ref="W26">_xll.BDP(B26&amp;" Equity","DELTA_MID_RT")</f>
        <v>0.57013523578643799</v>
      </c>
      <c r="X26" s="48">
        <f>Y26/'Master P&amp;L'!$AE$5</f>
        <v>1.2724783170989362E-4</v>
      </c>
      <c r="Y26" s="15">
        <f>IF(G26="Sell", S26*W26*-H26*O26/N26, S26*W26*H26*O26/N26)</f>
        <v>285803.0923473835</v>
      </c>
      <c r="Z26" s="15" cm="1">
        <f t="array" ref="Z26">_xll.BDP($B26&amp;" Equity","opt_theta")*H26*O26/N26</f>
        <v>-1042.4299999999998</v>
      </c>
      <c r="AA26" s="19" cm="1">
        <f t="array" ref="AA26">_xll.BDP($B26&amp;" Equity","opt_theta")/I26</f>
        <v>-1.555865671641791E-2</v>
      </c>
      <c r="AB26" s="36" t="str" cm="1">
        <f t="array" ref="AB26">_xll.BDP($C26&amp;" Equity","EXPECTED_REPORT_DT")</f>
        <v>29/01/2026</v>
      </c>
      <c r="AC26" s="15">
        <f>S26*H26*O26/N26</f>
        <v>501290.00000000006</v>
      </c>
      <c r="AD26" s="19">
        <f>AC26/'Master P&amp;L'!$AE$5</f>
        <v>2.2318885717415702E-4</v>
      </c>
      <c r="AE26" t="str">
        <f>B26  &amp; " - Buy to open " &amp;  "-" &amp; H26 &amp;"x"</f>
        <v>SNDK US 02/20/26 C500 - Buy to open -10x</v>
      </c>
    </row>
    <row r="27" spans="1:38">
      <c r="A27" s="437">
        <f>A25-H27</f>
        <v>280</v>
      </c>
      <c r="B27" s="132" t="s">
        <v>2312</v>
      </c>
      <c r="C27" t="str" cm="1">
        <f t="array" ref="C27">_xll.BDP(B27&amp;" Equity","OPT_UNDL_TICKER")</f>
        <v>#N/A Invalid Security</v>
      </c>
      <c r="D27" t="str" cm="1">
        <f t="array" ref="D27">_xll.BDP($B27&amp;" Index","mifid_Maturity_date")</f>
        <v>#N/A Invalid Security</v>
      </c>
      <c r="E27" t="str" cm="1">
        <f t="array" ref="E27">_xll.BDP($B27&amp;" Index","opt_days_expire")</f>
        <v>#N/A Invalid Security</v>
      </c>
      <c r="F27" t="str" cm="1">
        <f t="array" ref="F27">_xll.BDP(B27&amp;" Equity","QUOTED_CURRENCY_REALTIME")</f>
        <v>#N/A Invalid Security</v>
      </c>
      <c r="G27" s="105" t="s">
        <v>247</v>
      </c>
      <c r="H27" s="96">
        <f>H26/2</f>
        <v>5</v>
      </c>
      <c r="I27" s="97" t="str">
        <f>IF(G27="Buy",L27,K27)</f>
        <v>#N/A Invalid Security</v>
      </c>
      <c r="J27" s="19" t="e">
        <f>I27/S27</f>
        <v>#VALUE!</v>
      </c>
      <c r="K27" s="36" t="str" cm="1">
        <f t="array" ref="K27">_xll.BDP($B27&amp;" Equity","bid")</f>
        <v>#N/A Invalid Security</v>
      </c>
      <c r="L27" s="36" t="str" cm="1">
        <f t="array" ref="L27">_xll.BDP($B27&amp;" Equity","ask")</f>
        <v>#N/A Invalid Security</v>
      </c>
      <c r="M27" s="40" t="e">
        <f>(L27/K27-1)</f>
        <v>#VALUE!</v>
      </c>
      <c r="N27" s="36" t="str" cm="1">
        <f t="array" ref="N27">_xll.BDP(F27&amp;" Curncy","PX_LAST")</f>
        <v>#N/A Invalid Security Curncy</v>
      </c>
      <c r="O27" s="162" t="str" cm="1">
        <f t="array" ref="O27">_xll.BDP(B27&amp;" Equity","OPT_MULTIPLIER")</f>
        <v>#N/A Invalid Security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Invalid Security Equity</v>
      </c>
      <c r="T27" s="53" t="str" cm="1">
        <f t="array" ref="T27">_xll.BDP(B27&amp;" Equity","OPT_STRIKE_PX")</f>
        <v>#N/A Invalid Security</v>
      </c>
      <c r="U27" s="40" t="e">
        <f>T27/S27-1</f>
        <v>#VALUE!</v>
      </c>
      <c r="V27" s="37" t="str" cm="1">
        <f t="array" ref="V27">_xll.BDP($B27&amp;" Equity","ivol_mid")</f>
        <v>#N/A Invalid Security</v>
      </c>
      <c r="W27" s="38" t="str" cm="1">
        <f t="array" ref="W27">_xll.BDP(B27&amp;" Equity","DELTA_MID_RT")</f>
        <v>#N/A Invalid Security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#N/A Invalid Security Equity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KLAC US 02/06/26 C1600 - Buy to open -5x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 t="e">
        <f>T27-T26</f>
        <v>#VALUE!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>
        <f>AD26</f>
        <v>2.2318885717415702E-4</v>
      </c>
    </row>
    <row r="29" spans="1:38">
      <c r="A29" s="13">
        <f>A27-A26</f>
        <v>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2310</v>
      </c>
      <c r="C33" t="str" cm="1">
        <f t="array" ref="C33">_xll.BDP(B33&amp;" Equity","OPT_UNDL_TICKER")</f>
        <v>AMAT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16</v>
      </c>
      <c r="F33" t="str" cm="1">
        <f t="array" ref="F33">_xll.BDP(B33&amp;" Equity","QUOTED_CURRENCY_REALTIME")</f>
        <v>USD</v>
      </c>
      <c r="G33" s="105" t="s">
        <v>248</v>
      </c>
      <c r="H33" s="96">
        <v>35</v>
      </c>
      <c r="I33" s="97">
        <f>IF(G33="Buy",L33,K33)</f>
        <v>7.9</v>
      </c>
      <c r="J33" s="19">
        <f>I33/S33</f>
        <v>2.4294984162130578E-2</v>
      </c>
      <c r="K33" s="36" cm="1">
        <f t="array" ref="K33">_xll.BDP($B33&amp;" Equity","bid")</f>
        <v>7.9</v>
      </c>
      <c r="L33" s="36" cm="1">
        <f t="array" ref="L33">_xll.BDP($B33&amp;" Equity","ask")</f>
        <v>9.9</v>
      </c>
      <c r="M33" s="40">
        <f>(L33/K33-1)</f>
        <v>0.25316455696202533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-27650</v>
      </c>
      <c r="Q33" s="58">
        <f>P33/'Master P&amp;L'!$AD$5*10000</f>
        <v>-0.12310582498883763</v>
      </c>
      <c r="R33" s="37" cm="1">
        <f t="array" ref="R33">_xll.BDP($C33&amp;" Equity","EST_PE_NXT_YR")*(T33/S33)</f>
        <v>29.431232501779984</v>
      </c>
      <c r="S33" s="36">
        <f>_xll.BDP(C33&amp;" Equity","LAST_PRICE")</f>
        <v>325.17</v>
      </c>
      <c r="T33" s="53" cm="1">
        <f t="array" ref="T33">_xll.BDP(B33&amp;" Equity","OPT_STRIKE_PX")</f>
        <v>340</v>
      </c>
      <c r="U33" s="40">
        <f>T33/S33-1</f>
        <v>4.5606913306885488E-2</v>
      </c>
      <c r="V33" s="37" cm="1">
        <f t="array" ref="V33">_xll.BDP($B33&amp;" Equity","ivol_mid")</f>
        <v>49.334069999999997</v>
      </c>
      <c r="W33" s="38" cm="1">
        <f t="array" ref="W33">_xll.BDP(B33&amp;" Equity","DELTA_MID_RT")</f>
        <v>0.37303623557090759</v>
      </c>
      <c r="X33" s="48">
        <f>Y33/'Master P&amp;L'!$AE$5</f>
        <v>-1.8902228223004398E-4</v>
      </c>
      <c r="Y33" s="15">
        <f>IF(G33="Sell", S33*W33*-H33*O33/N33, S33*W33*H33*O33/N33)</f>
        <v>-424550.67452207202</v>
      </c>
      <c r="Z33" s="15" cm="1">
        <f t="array" ref="Z33">_xll.BDP($B33&amp;" Equity","opt_theta")*H33*O33/N33</f>
        <v>-1295.3605000000002</v>
      </c>
      <c r="AA33" s="19" cm="1">
        <f t="array" ref="AA33">_xll.BDP($B33&amp;" Equity","opt_theta")/I33</f>
        <v>-4.6848481012658226E-2</v>
      </c>
      <c r="AB33" s="36" t="str" cm="1">
        <f t="array" ref="AB33">_xll.BDP($C33&amp;" Equity","EXPECTED_REPORT_DT")</f>
        <v>12/02/2026</v>
      </c>
      <c r="AC33" s="15">
        <f>S33*H33*O33/N33</f>
        <v>1138095</v>
      </c>
      <c r="AD33" s="19">
        <f>AC33/'Master P&amp;L'!$AE$5</f>
        <v>5.0671292546354844E-4</v>
      </c>
      <c r="AE33" t="str">
        <f>B33  &amp; " - Buy to open " &amp;  "-" &amp; H33 &amp;"x"</f>
        <v>AMAT US 02/06/26 C340 - Buy to open -35x</v>
      </c>
    </row>
    <row r="34" spans="1:38">
      <c r="A34" s="98" t="s">
        <v>246</v>
      </c>
      <c r="B34" s="73" t="s">
        <v>2311</v>
      </c>
      <c r="C34" t="str" cm="1">
        <f t="array" ref="C34">_xll.BDP(B34&amp;" Equity","OPT_UNDL_TICKER")</f>
        <v>AMAT US</v>
      </c>
      <c r="D34" t="str" cm="1">
        <f t="array" ref="D34">_xll.BDP($B34&amp;" Index","mifid_Maturity_date")</f>
        <v>20/02/2026</v>
      </c>
      <c r="E34" cm="1">
        <f t="array" ref="E34">_xll.BDP($B34&amp;" Index","opt_days_expire")</f>
        <v>30</v>
      </c>
      <c r="F34" t="str" cm="1">
        <f t="array" ref="F34">_xll.BDP(B34&amp;" Equity","QUOTED_CURRENCY_REALTIME")</f>
        <v>USD</v>
      </c>
      <c r="G34" s="105" t="s">
        <v>247</v>
      </c>
      <c r="H34" s="96">
        <f>H33</f>
        <v>35</v>
      </c>
      <c r="I34" s="97">
        <f>IF(G34="Buy",L34,K34)</f>
        <v>15.25</v>
      </c>
      <c r="J34" s="19">
        <f>I34/S34</f>
        <v>4.6898545376264721E-2</v>
      </c>
      <c r="K34" s="36" cm="1">
        <f t="array" ref="K34">_xll.BDP($B34&amp;" Equity","bid")</f>
        <v>12.3</v>
      </c>
      <c r="L34" s="36" cm="1">
        <f t="array" ref="L34">_xll.BDP($B34&amp;" Equity","ask")</f>
        <v>15.25</v>
      </c>
      <c r="M34" s="40">
        <f>(L34/K34-1)</f>
        <v>0.23983739837398366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53375</v>
      </c>
      <c r="Q34" s="58">
        <f>P34/'Master P&amp;L'!$AD$5*10000</f>
        <v>0.23764099127592073</v>
      </c>
      <c r="R34" s="37" cm="1">
        <f t="array" ref="R34">_xll.BDP($C34&amp;" Equity","EST_PE_NXT_YR")*(T34/S34)</f>
        <v>29.431232501779984</v>
      </c>
      <c r="S34" s="36" cm="1">
        <f t="array" ref="S34">_xll.BDP(C34&amp;" Equity","LAST_PRICE")</f>
        <v>325.17</v>
      </c>
      <c r="T34" s="53" cm="1">
        <f t="array" ref="T34">_xll.BDP(B34&amp;" Equity","OPT_STRIKE_PX")</f>
        <v>340</v>
      </c>
      <c r="U34" s="40">
        <f>T34/S34-1</f>
        <v>4.5606913306885488E-2</v>
      </c>
      <c r="V34" s="37" cm="1">
        <f t="array" ref="V34">_xll.BDP($B34&amp;" Equity","ivol_mid")</f>
        <v>51.06897</v>
      </c>
      <c r="W34" s="38" cm="1">
        <f t="array" ref="W34">_xll.BDP(B34&amp;" Equity","DELTA_MID_RT")</f>
        <v>0.42043545842170715</v>
      </c>
      <c r="X34" s="48">
        <f>Y34/'Master P&amp;L'!$AE$5</f>
        <v>2.1304008110547133E-4</v>
      </c>
      <c r="Y34" s="15">
        <f>IF(G34="Sell", S34*W34*-H34*O34/N34, S34*W34*H34*O34/N34)</f>
        <v>478495.4930524528</v>
      </c>
      <c r="Z34" s="15" cm="1">
        <f t="array" ref="Z34">_xll.BDP($B34&amp;" Equity","opt_theta")*H34*O34/N34</f>
        <v>-1094.6355000000001</v>
      </c>
      <c r="AA34" s="19" cm="1">
        <f t="array" ref="AA34">_xll.BDP($B34&amp;" Equity","opt_theta")/I34</f>
        <v>-2.0508393442622952E-2</v>
      </c>
      <c r="AB34" s="36" t="str" cm="1">
        <f t="array" ref="AB34">_xll.BDP($C34&amp;" Equity","EXPECTED_REPORT_DT")</f>
        <v>12/02/2026</v>
      </c>
      <c r="AC34" s="15">
        <f>S34*H34*O34/N34</f>
        <v>1138095</v>
      </c>
      <c r="AD34" s="19">
        <f>AC34/'Master P&amp;L'!$AE$5</f>
        <v>5.0671292546354844E-4</v>
      </c>
      <c r="AE34" t="str">
        <f>B34  &amp; " - Buy to open " &amp;  "-" &amp; H34 &amp;"x"</f>
        <v>AMAT US 02/20/26 C340 - Buy to open -35x</v>
      </c>
    </row>
    <row r="35" spans="1:38">
      <c r="H35" s="100" t="s">
        <v>116</v>
      </c>
      <c r="I35" s="222">
        <f>I33-I34</f>
        <v>-7.35</v>
      </c>
      <c r="J35" s="100" t="s">
        <v>249</v>
      </c>
      <c r="K35" s="101">
        <f>K34/L33</f>
        <v>1.2424242424242424</v>
      </c>
      <c r="P35" s="100" t="s">
        <v>250</v>
      </c>
      <c r="Q35" s="103">
        <f>Q33+Q34</f>
        <v>0.1145351662870831</v>
      </c>
      <c r="S35" s="100" t="s">
        <v>251</v>
      </c>
      <c r="T35" s="102">
        <f>T34-T33</f>
        <v>0</v>
      </c>
      <c r="W35" s="100" t="s">
        <v>252</v>
      </c>
      <c r="X35" s="122">
        <f>X33+X34</f>
        <v>2.4017798875427355E-5</v>
      </c>
      <c r="Y35" s="13">
        <f>Y33+Y34</f>
        <v>53944.818530380784</v>
      </c>
      <c r="AC35" s="100" t="s">
        <v>229</v>
      </c>
      <c r="AD35" s="104">
        <f>AD33</f>
        <v>5.0671292546354844E-4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-4.875</v>
      </c>
      <c r="P36" s="130">
        <f>P33+P34</f>
        <v>25725</v>
      </c>
      <c r="Q36" s="108"/>
      <c r="S36" s="100"/>
      <c r="T36" s="102"/>
      <c r="W36" s="100"/>
      <c r="X36" s="122"/>
      <c r="Y36" s="13">
        <f>Y35/S33</f>
        <v>165.89727997779863</v>
      </c>
      <c r="AC36" s="100"/>
      <c r="AD36" s="104"/>
    </row>
    <row r="37" spans="1:38">
      <c r="I37" s="21">
        <f>I35/S33</f>
        <v>-2.2603561214134142E-2</v>
      </c>
      <c r="K37" s="64">
        <f>(2*I33)-(I34*3)</f>
        <v>-29.95</v>
      </c>
      <c r="P37" s="267">
        <f>P36/I35/100</f>
        <v>-35</v>
      </c>
      <c r="W37" s="50">
        <f>W33-W34</f>
        <v>-4.7399222850799561E-2</v>
      </c>
    </row>
    <row r="38" spans="1:38">
      <c r="H38">
        <v>1</v>
      </c>
      <c r="J38" s="43">
        <f>J39-J40</f>
        <v>-3.0042786354505788E-2</v>
      </c>
      <c r="P38" s="13"/>
    </row>
    <row r="39" spans="1:38">
      <c r="A39" s="281">
        <f>S39-T39</f>
        <v>-3.7800000000000011</v>
      </c>
      <c r="B39" s="73" t="s">
        <v>2273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114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1.65</v>
      </c>
      <c r="J39" s="19">
        <f>I39/S39</f>
        <v>7.7756833176248819E-2</v>
      </c>
      <c r="K39" s="36" cm="1">
        <f t="array" ref="K39">_xll.BDP($B39&amp;" Equity","bid")</f>
        <v>1.6</v>
      </c>
      <c r="L39" s="36" cm="1">
        <f t="array" ref="L39">_xll.BDP($B39&amp;" Equity","ask")</f>
        <v>1.65</v>
      </c>
      <c r="M39" s="40">
        <f>(L39/K39-1)</f>
        <v>3.1249999999999778E-2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74250</v>
      </c>
      <c r="Q39" s="58">
        <f>P39/'Master P&amp;L'!$AD$5*10000</f>
        <v>0.33058254992481712</v>
      </c>
      <c r="R39" s="37" cm="1">
        <f t="array" ref="R39">_xll.BDP($C39&amp;" Equity","EST_PE_NXT_YR")*(T39/S39)</f>
        <v>30.965815013882874</v>
      </c>
      <c r="S39" s="36" cm="1">
        <f t="array" ref="S39">_xll.BDP(C39&amp;" Equity","LAST_PRICE")</f>
        <v>21.22</v>
      </c>
      <c r="T39" s="53" cm="1">
        <f t="array" ref="T39">_xll.BDP(B39&amp;" Equity","OPT_STRIKE_PX")</f>
        <v>25</v>
      </c>
      <c r="U39" s="40">
        <f>T39/S39-1</f>
        <v>0.17813383600377009</v>
      </c>
      <c r="V39" s="37" cm="1">
        <f t="array" ref="V39">_xll.BDP($B39&amp;" Equity","ivol_mid")</f>
        <v>61.276409999999998</v>
      </c>
      <c r="W39" s="38" cm="1">
        <f t="array" ref="W39">_xll.BDP(B39&amp;" Equity","DELTA_MID_RT")</f>
        <v>0.38858568668365479</v>
      </c>
      <c r="X39" s="48">
        <f>Y39/'Master P&amp;L'!$AE$5</f>
        <v>1.6520689169142655E-4</v>
      </c>
      <c r="Y39" s="15">
        <f>IF(G39="Sell", S39*W39*-H39*O39/N39, S39*W39*H39*O39/N39)</f>
        <v>371060.4722142219</v>
      </c>
      <c r="Z39" s="15" cm="1">
        <f t="array" ref="Z39">_xll.BDP($B39&amp;" Equity","opt_theta")*H39*O39/N39</f>
        <v>-532.35</v>
      </c>
      <c r="AA39" s="19" cm="1">
        <f t="array" ref="AA39">_xll.BDP($B39&amp;" Equity","opt_theta")/I39</f>
        <v>-7.16969696969697E-3</v>
      </c>
      <c r="AB39" s="36" t="str" cm="1">
        <f t="array" ref="AB39">_xll.BDP($C39&amp;" Equity","EXPECTED_REPORT_DT")</f>
        <v>11/02/2026</v>
      </c>
      <c r="AC39" s="15">
        <f>S39*H39*O39/N39</f>
        <v>954900</v>
      </c>
      <c r="AD39" s="19">
        <f>AC39/'Master P&amp;L'!$AE$5</f>
        <v>4.2514919450937084E-4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-14.61</v>
      </c>
      <c r="B40" s="73" t="s">
        <v>2272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114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11.9</v>
      </c>
      <c r="J40" s="19">
        <f>I40/S40</f>
        <v>0.10779961953075461</v>
      </c>
      <c r="K40" s="36" cm="1">
        <f t="array" ref="K40">_xll.BDP($B40&amp;" Equity","bid")</f>
        <v>11.45</v>
      </c>
      <c r="L40" s="36" cm="1">
        <f t="array" ref="L40">_xll.BDP($B40&amp;" Equity","ask")</f>
        <v>11.9</v>
      </c>
      <c r="M40" s="40">
        <f>(L40/K40-1)</f>
        <v>3.9301310043668325E-2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119000</v>
      </c>
      <c r="Q40" s="58">
        <f>P40/'Master P&amp;L'!$AD$5*10000</f>
        <v>0.52982253792664291</v>
      </c>
      <c r="R40" s="37" cm="1">
        <f t="array" ref="R40">_xll.BDP($C40&amp;" Equity","EST_PE_NXT_YR")*(T40/S40)</f>
        <v>43.762955636512224</v>
      </c>
      <c r="S40" s="36" cm="1">
        <f t="array" ref="S40">_xll.BDP(C40&amp;" Equity","LAST_PRICE")</f>
        <v>110.39</v>
      </c>
      <c r="T40" s="53" cm="1">
        <f t="array" ref="T40">_xll.BDP(B40&amp;" Equity","OPT_STRIKE_PX")</f>
        <v>125</v>
      </c>
      <c r="U40" s="40">
        <f>T40/S40-1</f>
        <v>0.13234894465078351</v>
      </c>
      <c r="V40" s="37" cm="1">
        <f t="array" ref="V40">_xll.BDP($B40&amp;" Equity","ivol_mid")</f>
        <v>65.477419999999995</v>
      </c>
      <c r="W40" s="38" cm="1">
        <f t="array" ref="W40">_xll.BDP(B40&amp;" Equity","DELTA_MID_RT")</f>
        <v>0.46397572755813599</v>
      </c>
      <c r="X40" s="48">
        <f>Y40/'Master P&amp;L'!$AE$5</f>
        <v>2.2803865039716572E-4</v>
      </c>
      <c r="Y40" s="15">
        <f>IF(G40="Sell", S40*W40*-H40*O40/N40, S40*W40*H40*O40/N40)</f>
        <v>512182.80565142632</v>
      </c>
      <c r="Z40" s="15" cm="1">
        <f t="array" ref="Z40">_xll.BDP($B40&amp;" Equity","opt_theta")*H40*O40/N40</f>
        <v>-681.83999999999992</v>
      </c>
      <c r="AA40" s="19" cm="1">
        <f t="array" ref="AA40">_xll.BDP($B40&amp;" Equity","opt_theta")/I40</f>
        <v>-5.7297478991596628E-3</v>
      </c>
      <c r="AB40" s="36" t="str" cm="1">
        <f t="array" ref="AB40">_xll.BDP($C40&amp;" Equity","EXPECTED_REPORT_DT")</f>
        <v>19/02/2026</v>
      </c>
      <c r="AC40" s="15">
        <f>S40*H40*O40/N40</f>
        <v>1103900</v>
      </c>
      <c r="AD40" s="19">
        <f>AC40/'Master P&amp;L'!$AE$5</f>
        <v>4.9148831900606819E-4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-10.25</v>
      </c>
      <c r="J41" s="100" t="s">
        <v>249</v>
      </c>
      <c r="K41" s="101">
        <f>K40/L39</f>
        <v>6.9393939393939394</v>
      </c>
      <c r="P41" s="100" t="s">
        <v>250</v>
      </c>
      <c r="Q41" s="108">
        <f>Q39+Q40</f>
        <v>0.86040508785145997</v>
      </c>
      <c r="S41" s="100" t="s">
        <v>251</v>
      </c>
      <c r="T41" s="102">
        <f>T40-T39</f>
        <v>100</v>
      </c>
      <c r="W41" s="100" t="s">
        <v>252</v>
      </c>
      <c r="X41" s="122">
        <f>X39+X40</f>
        <v>3.932455420885923E-4</v>
      </c>
      <c r="Y41" s="13">
        <f>Y39+Y40</f>
        <v>883243.27786564827</v>
      </c>
      <c r="AC41" s="100" t="s">
        <v>229</v>
      </c>
      <c r="AD41" s="122">
        <f>AD39</f>
        <v>4.2514919450937084E-4</v>
      </c>
    </row>
    <row r="42" spans="1:38">
      <c r="B42" s="73"/>
      <c r="H42" s="100" t="s">
        <v>253</v>
      </c>
      <c r="I42" s="102">
        <f>(T41-K42)/I41</f>
        <v>-10.736585365853658</v>
      </c>
      <c r="J42" s="100" t="s">
        <v>145</v>
      </c>
      <c r="K42" s="223">
        <f>AVERAGE(K39:L39)-AVERAGE(K40:L40)</f>
        <v>-10.050000000000001</v>
      </c>
      <c r="P42" s="130">
        <f>P39+P40</f>
        <v>193250</v>
      </c>
      <c r="Q42" s="108"/>
      <c r="S42" s="100"/>
      <c r="T42" s="102"/>
      <c r="W42" s="100"/>
      <c r="X42" s="122"/>
      <c r="Y42" s="13">
        <f>Y41/S39</f>
        <v>41623.151643056</v>
      </c>
      <c r="AC42" s="100"/>
      <c r="AD42" s="104"/>
    </row>
    <row r="43" spans="1:38">
      <c r="I43" s="278"/>
      <c r="K43" s="278">
        <f>K36-K42</f>
        <v>5.1750000000000007</v>
      </c>
      <c r="L43" s="278"/>
      <c r="P43" s="5">
        <f>P42/Y41</f>
        <v>0.21879589105618488</v>
      </c>
      <c r="W43" s="50">
        <f>W39-W40</f>
        <v>-7.5390040874481201E-2</v>
      </c>
      <c r="Y43" s="13">
        <f>Y42+Y36</f>
        <v>41789.048923033799</v>
      </c>
    </row>
    <row r="44" spans="1:38">
      <c r="K44" s="338">
        <f>K36/K42</f>
        <v>0.4850746268656716</v>
      </c>
      <c r="L44" s="278">
        <f>K36-(K42*2)</f>
        <v>15.225000000000001</v>
      </c>
      <c r="P44" s="13">
        <f>P36+P42</f>
        <v>218975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7.8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2292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2.9</v>
      </c>
      <c r="J49" s="19">
        <f>I49/S49</f>
        <v>2.1322118389224243E-3</v>
      </c>
      <c r="K49" s="36" cm="1">
        <f t="array" ref="K49">_xll.BDP($B49&amp;" Equity","bid")</f>
        <v>0.05</v>
      </c>
      <c r="L49" s="36" cm="1">
        <f t="array" ref="L49">_xll.BDP($B49&amp;" Equity","ask")</f>
        <v>2.9</v>
      </c>
      <c r="M49" s="40">
        <f>(L49/K49-1)</f>
        <v>56.999999999999993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13050</v>
      </c>
      <c r="Q49" s="58">
        <f>P49/'Master P&amp;L'!$AD$5*10000</f>
        <v>5.8102387562543614E-2</v>
      </c>
      <c r="R49" s="37" cm="1">
        <f t="array" ref="R49">_xll.BDP($C49&amp;" Equity","EST_PE_NXT_YR")*(T49/S49)</f>
        <v>38.101833397680032</v>
      </c>
      <c r="S49" s="36" cm="1">
        <f t="array" ref="S49">_xll.BDP(C49&amp;" Equity","LAST_PRICE")</f>
        <v>1360.09</v>
      </c>
      <c r="T49" s="53" cm="1">
        <f t="array" ref="T49">_xll.BDP(B49&amp;" Equity","OPT_STRIKE_PX")</f>
        <v>1200</v>
      </c>
      <c r="U49" s="40">
        <f>T49/S49-1</f>
        <v>-0.1177054459631347</v>
      </c>
      <c r="V49" s="37" cm="1">
        <f t="array" ref="V49">_xll.BDP($B49&amp;" Equity","ivol_mid")</f>
        <v>74.324079999999995</v>
      </c>
      <c r="W49" s="38" cm="1">
        <f t="array" ref="W49">_xll.BDP(B49&amp;" Equity","DELTA_MID_RT")</f>
        <v>-3.6972232162952423E-2</v>
      </c>
      <c r="X49" s="357">
        <f>Y49/'Master P&amp;L'!$AE$5</f>
        <v>-1.0074866497645211E-4</v>
      </c>
      <c r="Y49" s="15">
        <f>IF(G49="Sell", S49*W49*-H49*O49/N49, S49*W49*H49*O49/N49)</f>
        <v>-226285.03459129483</v>
      </c>
      <c r="Z49" s="15" cm="1">
        <f t="array" ref="Z49">_xll.BDP($B49&amp;" Equity","opt_theta")*H49*O49/N49</f>
        <v>-767.84850000000006</v>
      </c>
      <c r="AA49" s="19" cm="1">
        <f t="array" ref="AA49">_xll.BDP($B49&amp;" Equity","opt_theta")/I49</f>
        <v>-5.8838965517241382E-2</v>
      </c>
      <c r="AB49" s="36" t="str" cm="1">
        <f t="array" ref="AB49">_xll.BDP($C49&amp;" Equity","EXPECTED_REPORT_DT")</f>
        <v>28/01/2026</v>
      </c>
      <c r="AC49" s="15">
        <f>S49*H49*O49/N49</f>
        <v>6120405</v>
      </c>
      <c r="AD49" s="48">
        <f>AC49/'Master P&amp;L'!$AE$5</f>
        <v>2.7249819413772396E-3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2293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2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34.926680614540025</v>
      </c>
      <c r="S50" s="36" cm="1">
        <f t="array" ref="S50">_xll.BDP(C50&amp;" Equity","LAST_PRICE")</f>
        <v>1360.09</v>
      </c>
      <c r="T50" s="53" cm="1">
        <f t="array" ref="T50">_xll.BDP(B50&amp;" Equity","OPT_STRIKE_PX")</f>
        <v>1100</v>
      </c>
      <c r="U50" s="40">
        <f>T50/S50-1</f>
        <v>-0.19122999213287351</v>
      </c>
      <c r="V50" s="37" cm="1">
        <f t="array" ref="V50">_xll.BDP(B50&amp;" Equity","ivol_mid")</f>
        <v>133.92570000000001</v>
      </c>
      <c r="W50" s="38" cm="1">
        <f t="array" ref="W50">_xll.BDP(B50&amp;" Equity","DELTA_MID_RT")</f>
        <v>-3.0881360173225403E-2</v>
      </c>
      <c r="X50" s="357">
        <f>Y50/'Master P&amp;L'!$AE$5</f>
        <v>8.4151148797205515E-5</v>
      </c>
      <c r="Y50" s="15">
        <f>IF(G50="Sell", S50*W50*-H50*O50/N50, S50*W50*H50*O50/N50)</f>
        <v>189006.43121100959</v>
      </c>
      <c r="Z50" s="15" cm="1">
        <f t="array" ref="Z50">_xll.BDP($B50&amp;" Equity","opt_theta")*H50*O50/N50</f>
        <v>-6653.1195000000007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6120405</v>
      </c>
      <c r="AD50" s="19">
        <f>AC50/'Master P&amp;L'!$AE$5</f>
        <v>2.7249819413772396E-3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7">
        <f>X49+X50</f>
        <v>-1.6597516179246594E-5</v>
      </c>
      <c r="Y51" s="13">
        <f>Y49+Y50</f>
        <v>-37278.603380285233</v>
      </c>
      <c r="AC51" s="100" t="s">
        <v>229</v>
      </c>
      <c r="AD51" s="122">
        <f>AD49</f>
        <v>2.7249819413772396E-3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-0.52500000000000013</v>
      </c>
      <c r="L52" s="64"/>
      <c r="P52" s="100"/>
      <c r="Q52" s="108"/>
      <c r="S52" s="100"/>
      <c r="T52" s="102"/>
      <c r="W52" s="100"/>
      <c r="X52" s="122"/>
      <c r="Z52" s="3">
        <f>Y51/S49</f>
        <v>-27.408923953771613</v>
      </c>
      <c r="AC52" s="100"/>
      <c r="AD52" s="104"/>
    </row>
    <row r="54" spans="1:36">
      <c r="H54">
        <v>1</v>
      </c>
      <c r="I54" s="64"/>
      <c r="J54" s="43">
        <f>J55-J56</f>
        <v>8.6108804625272938E-4</v>
      </c>
      <c r="L54" s="64"/>
      <c r="P54" s="13">
        <f>P55+P56</f>
        <v>2800</v>
      </c>
    </row>
    <row r="55" spans="1:36">
      <c r="A55" s="98" t="s">
        <v>256</v>
      </c>
      <c r="B55" s="59" t="s">
        <v>2295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2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0.31</v>
      </c>
      <c r="J55" s="19">
        <f>I55/S55</f>
        <v>9.5334747977980747E-4</v>
      </c>
      <c r="K55" s="36" cm="1">
        <f t="array" ref="K55">_xll.BDP($B55&amp;" Equity","bid")</f>
        <v>0.06</v>
      </c>
      <c r="L55" s="36" cm="1">
        <f t="array" ref="L55">_xll.BDP($B55&amp;" Equity","ask")</f>
        <v>0.31</v>
      </c>
      <c r="M55" s="40">
        <f>(L55/K55-1)</f>
        <v>4.166666666666667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3100</v>
      </c>
      <c r="Q55" s="58">
        <f>P55/'Master P&amp;L'!$AD$5*10000</f>
        <v>1.3802099727500784E-2</v>
      </c>
      <c r="R55" s="37" cm="1">
        <f t="array" ref="R55">_xll.BDP($C55&amp;" Equity","EST_PE_NXT_YR")*(T55/S55)</f>
        <v>25.103110075047635</v>
      </c>
      <c r="S55" s="36" cm="1">
        <f t="array" ref="S55">_xll.BDP(C55&amp;" Equity","LAST_PRICE")</f>
        <v>325.17</v>
      </c>
      <c r="T55" s="53" cm="1">
        <f t="array" ref="T55">_xll.BDP(B55&amp;" Equity","OPT_STRIKE_PX")</f>
        <v>290</v>
      </c>
      <c r="U55" s="40">
        <f>T55/S55-1</f>
        <v>-0.10815880923824461</v>
      </c>
      <c r="V55" s="37" cm="1">
        <f t="array" ref="V55">_xll.BDP($B55&amp;" Equity","ivol_mid")</f>
        <v>70.386399999999995</v>
      </c>
      <c r="W55" s="38" cm="1">
        <f t="array" ref="W55">_xll.BDP(B55&amp;" Equity","DELTA_MID_RT")</f>
        <v>-2.4811664596199989E-2</v>
      </c>
      <c r="X55" s="48">
        <f>Y55/'Master P&amp;L'!$AE$5</f>
        <v>-3.5921117580459567E-5</v>
      </c>
      <c r="Y55" s="15">
        <f>IF(G55="Sell", S55*W55*-H55*O55/N55, S55*W55*H55*O55/N55)</f>
        <v>-80680.089767463505</v>
      </c>
      <c r="Z55" s="15" cm="1">
        <f t="array" ref="Z55">_xll.BDP($B55&amp;" Equity","opt_theta")*H55*O55/N55</f>
        <v>-1385.3799999999999</v>
      </c>
      <c r="AA55" s="19" cm="1">
        <f t="array" ref="AA55">_xll.BDP($B55&amp;" Equity","opt_theta")/I55</f>
        <v>-0.4468967741935484</v>
      </c>
      <c r="AB55" s="36" t="str" cm="1">
        <f t="array" ref="AB55">_xll.BDP($C55&amp;" Equity","EXPECTED_REPORT_DT")</f>
        <v>12/02/2026</v>
      </c>
      <c r="AC55" s="15">
        <f>S55*H55*O55/N55</f>
        <v>3251700</v>
      </c>
      <c r="AD55" s="48">
        <f>AC55/'Master P&amp;L'!$AE$5</f>
        <v>1.4477512156101384E-3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2294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2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>
        <f>IF(G56="Buy",L56,K56)</f>
        <v>0.03</v>
      </c>
      <c r="J56" s="19">
        <f>I56/S56</f>
        <v>9.225943352707814E-5</v>
      </c>
      <c r="K56" s="36" cm="1">
        <f t="array" ref="K56">_xll.BDP($B56&amp;" Equity","bid")</f>
        <v>0.03</v>
      </c>
      <c r="L56" s="36" cm="1">
        <f t="array" ref="L56">_xll.BDP($B56&amp;" Equity","ask")</f>
        <v>0.14000000000000001</v>
      </c>
      <c r="M56" s="40">
        <f>(L56/K56-1)</f>
        <v>3.666666666666667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-300</v>
      </c>
      <c r="Q56" s="58">
        <f>P56/'Master P&amp;L'!$AD$5*10000</f>
        <v>-1.3356870704033014E-3</v>
      </c>
      <c r="R56" s="37" cm="1">
        <f t="array" ref="R56">_xll.BDP($C56&amp;" Equity","EST_PE_NXT_YR")*(T56/S56)</f>
        <v>24.237485589701162</v>
      </c>
      <c r="S56" s="36" cm="1">
        <f t="array" ref="S56">_xll.BDP(C56&amp;" Equity","LAST_PRICE")</f>
        <v>325.17</v>
      </c>
      <c r="T56" s="53" cm="1">
        <f t="array" ref="T56">_xll.BDP(B56&amp;" Equity","OPT_STRIKE_PX")</f>
        <v>280</v>
      </c>
      <c r="U56" s="40">
        <f>T56/S56-1</f>
        <v>-0.13891195374727072</v>
      </c>
      <c r="V56" s="37" cm="1">
        <f t="array" ref="V56">_xll.BDP(B56&amp;" Equity","ivol_mid")</f>
        <v>75.659030000000001</v>
      </c>
      <c r="W56" s="38" cm="1">
        <f t="array" ref="W56">_xll.BDP(B56&amp;" Equity","DELTA_MID_RT")</f>
        <v>-1.0987383313477039E-2</v>
      </c>
      <c r="X56" s="48">
        <f>Y56/'Master P&amp;L'!$AE$5</f>
        <v>1.5906997548460935E-5</v>
      </c>
      <c r="Y56" s="15">
        <f>IF(G56="Sell", S56*W56*-H56*O56/N56, S56*W56*H56*O56/N56)</f>
        <v>35727.674320433289</v>
      </c>
      <c r="Z56" s="15" cm="1">
        <f t="array" ref="Z56">_xll.BDP($B56&amp;" Equity","opt_theta")*H56*O56/N56</f>
        <v>-667.43999999999994</v>
      </c>
      <c r="AA56" s="19" cm="1">
        <f t="array" ref="AA56">_xll.BDP($B56&amp;" Equity","opt_theta")/I56</f>
        <v>-2.2248000000000001</v>
      </c>
      <c r="AB56" s="36" t="str" cm="1">
        <f t="array" ref="AB56">_xll.BDP($C56&amp;" Equity","EXPECTED_REPORT_DT")</f>
        <v>12/02/2026</v>
      </c>
      <c r="AC56" s="15">
        <f>S56*H56*O56/N56</f>
        <v>3251700</v>
      </c>
      <c r="AD56" s="19">
        <f>AC56/'Master P&amp;L'!$AE$5</f>
        <v>1.4477512156101384E-3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>
        <f>I57/K58</f>
        <v>2.8000000000000007</v>
      </c>
      <c r="H57" s="100" t="s">
        <v>116</v>
      </c>
      <c r="I57" s="102">
        <f>I55-I56</f>
        <v>0.28000000000000003</v>
      </c>
      <c r="J57" s="100" t="s">
        <v>249</v>
      </c>
      <c r="K57" s="101">
        <f>K56/L55</f>
        <v>9.6774193548387094E-2</v>
      </c>
      <c r="L57" s="64"/>
      <c r="P57" s="100" t="s">
        <v>250</v>
      </c>
      <c r="Q57" s="108">
        <f>Q55+Q56</f>
        <v>1.2466412657097482E-2</v>
      </c>
      <c r="S57" s="100" t="s">
        <v>251</v>
      </c>
      <c r="T57" s="102">
        <f>T55-T56</f>
        <v>10</v>
      </c>
      <c r="W57" s="100" t="s">
        <v>252</v>
      </c>
      <c r="X57" s="122">
        <f>X55+X56</f>
        <v>-2.0014120031998631E-5</v>
      </c>
      <c r="Y57" s="13"/>
      <c r="AC57" s="100" t="s">
        <v>229</v>
      </c>
      <c r="AD57" s="122">
        <f>AD55</f>
        <v>1.4477512156101384E-3</v>
      </c>
    </row>
    <row r="58" spans="1:36">
      <c r="H58" s="100" t="s">
        <v>253</v>
      </c>
      <c r="I58" s="102">
        <f>(T57-I57)/I57</f>
        <v>34.714285714285715</v>
      </c>
      <c r="J58" s="100" t="s">
        <v>145</v>
      </c>
      <c r="K58" s="109">
        <f>AVERAGE(K55:L55)-AVERAGE(K56:L56)</f>
        <v>9.9999999999999992E-2</v>
      </c>
      <c r="L58" s="64"/>
      <c r="P58" s="100"/>
      <c r="Q58" s="108"/>
      <c r="S58" s="100"/>
      <c r="T58" s="102"/>
      <c r="W58" s="100"/>
      <c r="X58" s="122"/>
      <c r="Y58" s="13">
        <f>Y55+Y56</f>
        <v>-44952.415447030216</v>
      </c>
      <c r="Z58" s="3"/>
      <c r="AC58" s="100"/>
      <c r="AD58" s="104"/>
    </row>
    <row r="59" spans="1:36">
      <c r="K59" s="64">
        <f>K58-K52</f>
        <v>0.62500000000000011</v>
      </c>
      <c r="Y59" s="64">
        <f>Y58/S55</f>
        <v>-138.2428128272295</v>
      </c>
    </row>
    <row r="60" spans="1:36">
      <c r="I60" s="64">
        <f>I51-I57</f>
        <v>1.52</v>
      </c>
      <c r="K60" s="64">
        <f>K52-K58</f>
        <v>-0.62500000000000011</v>
      </c>
      <c r="Y60" s="64"/>
    </row>
    <row r="61" spans="1:36">
      <c r="H61">
        <v>1</v>
      </c>
      <c r="I61" s="64"/>
      <c r="L61" s="64">
        <f>AVERAGE(K62:L62)</f>
        <v>6.1999999999999993</v>
      </c>
      <c r="T61" s="64">
        <f>T62-S62</f>
        <v>-2.5499999999999972</v>
      </c>
    </row>
    <row r="62" spans="1:36">
      <c r="A62" s="98" t="s">
        <v>256</v>
      </c>
      <c r="B62" t="s">
        <v>2067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58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6.3</v>
      </c>
      <c r="J62" s="19">
        <f>I62/S62</f>
        <v>7.6317383403997574E-2</v>
      </c>
      <c r="K62" s="36" cm="1">
        <f t="array" ref="K62">_xll.BDP($B62&amp;" Equity","bid")</f>
        <v>6.1</v>
      </c>
      <c r="L62" s="36" cm="1">
        <f t="array" ref="L62">_xll.BDP($B62&amp;" Equity","ask")</f>
        <v>6.3</v>
      </c>
      <c r="M62" s="40">
        <f>(L62/K62-1)</f>
        <v>3.2786885245901676E-2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94500</v>
      </c>
      <c r="Q62" s="58">
        <f>P62/'Master P&amp;L'!$AD$5*10000</f>
        <v>0.42074142717703999</v>
      </c>
      <c r="R62" s="37" cm="1">
        <f t="array" ref="R62">_xll.BDP($C62&amp;" Equity","EST_PE_NXT_YR")*(T62/S62)</f>
        <v>22.45392402872718</v>
      </c>
      <c r="S62" s="36" cm="1">
        <f t="array" ref="S62">_xll.BDP(C62&amp;" Equity","LAST_PRICE")</f>
        <v>82.55</v>
      </c>
      <c r="T62" s="53" cm="1">
        <f t="array" ref="T62">_xll.BDP(B62&amp;" Equity","OPT_STRIKE_PX")</f>
        <v>80</v>
      </c>
      <c r="U62" s="40">
        <f>T62/S62-1</f>
        <v>-3.0890369473046575E-2</v>
      </c>
      <c r="V62" s="37" cm="1">
        <f t="array" ref="V62">_xll.BDP($B62&amp;" Equity","ivol_mid")</f>
        <v>57.599919999999997</v>
      </c>
      <c r="W62" s="38" cm="1">
        <f t="array" ref="W62">_xll.BDP(B62&amp;" Equity","DELTA_MID_RT")</f>
        <v>-0.39339128136634827</v>
      </c>
      <c r="X62" s="48">
        <f>Y62/'Master P&amp;L'!$AE$5</f>
        <v>-2.1687851676583029E-4</v>
      </c>
      <c r="Y62" s="15">
        <f>IF(G62="Sell", S62*W62*-H62*O62/N62, S62*W62*H62*O62/N62)</f>
        <v>-487116.75415188074</v>
      </c>
      <c r="Z62" s="15" cm="1">
        <f t="array" ref="Z62">_xll.BDP($B62&amp;" Equity","opt_theta")*H62*O62/N62</f>
        <v>-941.36999999999989</v>
      </c>
      <c r="AA62" s="19" cm="1">
        <f t="array" ref="AA62">_xll.BDP($B62&amp;" Equity","opt_theta")/I62</f>
        <v>-9.9615873015873012E-3</v>
      </c>
      <c r="AB62" s="36" t="str" cm="1">
        <f t="array" ref="AB62">_xll.BDP($C62&amp;" Equity","EXPECTED_REPORT_DT")</f>
        <v>05/03/2026</v>
      </c>
      <c r="AC62" s="15">
        <f>S62*H62*O62/N62</f>
        <v>1238250</v>
      </c>
      <c r="AD62" s="48">
        <f>AC62/'Master P&amp;L'!$AE$5</f>
        <v>5.5130483830896269E-4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2346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58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2.54</v>
      </c>
      <c r="J63" s="19">
        <f>I63/S63</f>
        <v>3.0769230769230771E-2</v>
      </c>
      <c r="K63" s="36" cm="1">
        <f t="array" ref="K63">_xll.BDP($B63&amp;" Equity","bid")</f>
        <v>2.54</v>
      </c>
      <c r="L63" s="36" cm="1">
        <f t="array" ref="L63">_xll.BDP($B63&amp;" Equity","ask")</f>
        <v>2.61</v>
      </c>
      <c r="M63" s="40">
        <f>(L63/K63-1)</f>
        <v>2.7559055118110187E-2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-38100</v>
      </c>
      <c r="Q63" s="58">
        <f>P63/'Master P&amp;L'!$AD$5*10000</f>
        <v>-0.16963225794121928</v>
      </c>
      <c r="R63" s="37" cm="1">
        <f t="array" ref="R63">_xll.BDP($C63&amp;" Equity","EST_PE_NXT_YR")*(T63/S63)</f>
        <v>19.647183525136281</v>
      </c>
      <c r="S63" s="36" cm="1">
        <f t="array" ref="S63">_xll.BDP(C63&amp;" Equity","LAST_PRICE")</f>
        <v>82.55</v>
      </c>
      <c r="T63" s="53" cm="1">
        <f t="array" ref="T63">_xll.BDP(B63&amp;" Equity","OPT_STRIKE_PX")</f>
        <v>70</v>
      </c>
      <c r="U63" s="40">
        <f>T63/S63-1</f>
        <v>-0.15202907328891579</v>
      </c>
      <c r="V63" s="37" cm="1">
        <f t="array" ref="V63">_xll.BDP($B63&amp;" Equity","ivol_mid")</f>
        <v>59.361440000000002</v>
      </c>
      <c r="W63" s="38" cm="1">
        <f t="array" ref="W63">_xll.BDP(B63&amp;" Equity","DELTA_MID_RT")</f>
        <v>-0.20389683544635773</v>
      </c>
      <c r="X63" s="48">
        <f>Y63/'Master P&amp;L'!$AE$5</f>
        <v>1.1240931189746342E-4</v>
      </c>
      <c r="Y63" s="15">
        <f>IF(G63="Sell", S63*W63*-H63*O63/N63, S63*W63*H63*O63/N63)</f>
        <v>252475.25649145246</v>
      </c>
      <c r="Z63" s="15" cm="1">
        <f t="array" ref="Z63">_xll.BDP($B63&amp;" Equity","opt_theta")*H63*O63/N63</f>
        <v>-702.33</v>
      </c>
      <c r="AA63" s="19" cm="1">
        <f t="array" ref="AA63">_xll.BDP($B63&amp;" Equity","opt_theta")/I63</f>
        <v>-1.8433858267716537E-2</v>
      </c>
      <c r="AB63" s="36" t="str" cm="1">
        <f t="array" ref="AB63">_xll.BDP($C63&amp;" Equity","EXPECTED_REPORT_DT")</f>
        <v>05/03/2026</v>
      </c>
      <c r="AC63" s="15">
        <f>S63*H63*O63/N63</f>
        <v>1238250</v>
      </c>
      <c r="AD63" s="48">
        <f>AC63/'Master P&amp;L'!$AE$5</f>
        <v>5.5130483830896269E-4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3.76</v>
      </c>
      <c r="J64" s="100" t="s">
        <v>249</v>
      </c>
      <c r="K64" s="101">
        <f>K63/L62</f>
        <v>0.40317460317460319</v>
      </c>
      <c r="L64" s="64"/>
      <c r="P64" s="100" t="s">
        <v>250</v>
      </c>
      <c r="Q64" s="108">
        <f>Q62+Q63</f>
        <v>0.25110916923582072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-1.0446920486836686E-4</v>
      </c>
      <c r="Y64" s="13">
        <f>Y62+Y63</f>
        <v>-234641.49766042829</v>
      </c>
      <c r="AC64" s="100" t="s">
        <v>229</v>
      </c>
      <c r="AD64" s="122">
        <f>AD62</f>
        <v>5.5130483830896269E-4</v>
      </c>
    </row>
    <row r="65" spans="1:31">
      <c r="H65" s="100" t="s">
        <v>253</v>
      </c>
      <c r="I65" s="102">
        <f>(T64-I64)/I64</f>
        <v>1.6595744680851066</v>
      </c>
      <c r="J65" s="100" t="s">
        <v>145</v>
      </c>
      <c r="K65" s="109">
        <f>AVERAGE(K62:L62)-AVERAGE(K63:L63)</f>
        <v>3.6249999999999991</v>
      </c>
      <c r="P65" s="100"/>
      <c r="Q65" s="108"/>
      <c r="S65" s="100"/>
      <c r="T65" s="102"/>
      <c r="W65" s="100"/>
      <c r="X65" s="122"/>
      <c r="Z65" s="3">
        <f>Y64/S62</f>
        <v>-2842.4166887998581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2308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1.8</v>
      </c>
      <c r="J68" s="19">
        <f>I68/S68</f>
        <v>2.9207503083014215E-3</v>
      </c>
      <c r="K68" s="36" cm="1">
        <f t="array" ref="K68">_xll.BDP($B68&amp;" Equity","bid")</f>
        <v>1.66</v>
      </c>
      <c r="L68" s="36" cm="1">
        <f t="array" ref="L68">_xll.BDP($B68&amp;" Equity","ask")</f>
        <v>1.8</v>
      </c>
      <c r="M68" s="40">
        <f>(L68/K68-1)</f>
        <v>8.4337349397590522E-2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90000</v>
      </c>
      <c r="Q68" s="58">
        <f>P68/'Master P&amp;L'!$AD$5*10000</f>
        <v>0.40070612112099047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616.28</v>
      </c>
      <c r="T68" s="53" cm="1">
        <f t="array" ref="T68">_xll.BDP(B68&amp;" Equity","OPT_STRIKE_PX")</f>
        <v>623</v>
      </c>
      <c r="U68" s="40">
        <f>T68/S68-1</f>
        <v>1.0904134484325256E-2</v>
      </c>
      <c r="V68" s="37" cm="1">
        <f t="array" ref="V68">_xll.BDP($B68&amp;" Equity","ivol_mid")</f>
        <v>243.6644</v>
      </c>
      <c r="W68" s="38" cm="1">
        <f t="array" ref="W68">_xll.BDP(B68&amp;" Equity","DELTA_MID_RT")</f>
        <v>-0.68529897928237915</v>
      </c>
      <c r="X68" s="48">
        <f>Y68/'Master P&amp;L'!$AE$5</f>
        <v>-9.401813466078629E-3</v>
      </c>
      <c r="Y68" s="15">
        <f>IF(G68="Sell", S68*W68*-H68*O68/N68, S68*W68*H68*O68/N68)</f>
        <v>-21116802.747607227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30814000</v>
      </c>
      <c r="AD68" s="48">
        <f>AC68/'Master P&amp;L'!$AE$5</f>
        <v>1.3719287129135777E-2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2309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>
        <f>IF(G69="Buy",L69,K69)</f>
        <v>0.7</v>
      </c>
      <c r="J69" s="19">
        <f>I69/S69</f>
        <v>1.1358473421172195E-3</v>
      </c>
      <c r="K69" s="36" cm="1">
        <f t="array" ref="K69">_xll.BDP($B69&amp;" Equity","bid")</f>
        <v>0.7</v>
      </c>
      <c r="L69" s="36" cm="1">
        <f t="array" ref="L69">_xll.BDP($B69&amp;" Equity","ask")</f>
        <v>0.81</v>
      </c>
      <c r="M69" s="40">
        <f>(L69/K69-1)</f>
        <v>0.15714285714285725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>
        <f>IF(G69="Buy",((I69/N69)*H69*O69),((I69/N69)*-H69*O69))</f>
        <v>-35000</v>
      </c>
      <c r="Q69" s="58">
        <f>P69/'Master P&amp;L'!$AD$5*10000</f>
        <v>-0.15583015821371851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616.28</v>
      </c>
      <c r="T69" s="53" cm="1">
        <f t="array" ref="T69">_xll.BDP(B69&amp;" Equity","OPT_STRIKE_PX")</f>
        <v>622</v>
      </c>
      <c r="U69" s="40">
        <f>T69/S69-1</f>
        <v>9.2814954241577929E-3</v>
      </c>
      <c r="V69" s="37" cm="1">
        <f t="array" ref="V69">_xll.BDP($B69&amp;" Equity","ivol_mid")</f>
        <v>156.3775</v>
      </c>
      <c r="W69" s="38" cm="1">
        <f t="array" ref="W69">_xll.BDP(B69&amp;" Equity","DELTA_MID_RT")</f>
        <v>-0.55367797613143921</v>
      </c>
      <c r="X69" s="48">
        <f>Y69/'Master P&amp;L'!$AE$5</f>
        <v>7.5960671316259998E-3</v>
      </c>
      <c r="Y69" s="15">
        <f>IF(G69="Sell", S69*W69*-H69*O69/N69, S69*W69*H69*O69/N69)</f>
        <v>17061033.156514168</v>
      </c>
      <c r="Z69" s="15" cm="1">
        <f t="array" ref="Z69">_xll.BDP($B69&amp;" Equity","opt_theta")*H69*O69/N69</f>
        <v>0</v>
      </c>
      <c r="AA69" s="19" cm="1">
        <f t="array" ref="AA69">_xll.BDP($B69&amp;" Equity","opt_theta")/I69</f>
        <v>0</v>
      </c>
      <c r="AB69" s="36" t="str" cm="1">
        <f t="array" ref="AB69">_xll.BDP($C69&amp;" Equity","EXPECTED_REPORT_DT")</f>
        <v>#N/A N/A</v>
      </c>
      <c r="AC69" s="15">
        <f>S69*H69*O69/N69</f>
        <v>30814000</v>
      </c>
      <c r="AD69" s="48">
        <f>AC69/'Master P&amp;L'!$AE$5</f>
        <v>1.3719287129135777E-2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>
        <f>I68-I69</f>
        <v>1.1000000000000001</v>
      </c>
      <c r="J70" s="100" t="s">
        <v>249</v>
      </c>
      <c r="K70" s="101">
        <f>K69/L68</f>
        <v>0.38888888888888884</v>
      </c>
      <c r="P70" s="100" t="s">
        <v>250</v>
      </c>
      <c r="Q70" s="108">
        <f>Q68+Q69</f>
        <v>0.24487596290727195</v>
      </c>
      <c r="S70" s="100" t="s">
        <v>251</v>
      </c>
      <c r="T70" s="102">
        <f>T68-T69</f>
        <v>1</v>
      </c>
      <c r="W70" s="100" t="s">
        <v>252</v>
      </c>
      <c r="X70" s="122">
        <f>X68+X69</f>
        <v>-1.8057463344526292E-3</v>
      </c>
      <c r="AC70" s="100" t="s">
        <v>229</v>
      </c>
      <c r="AD70" s="122">
        <f>AD68</f>
        <v>1.3719287129135777E-2</v>
      </c>
    </row>
    <row r="71" spans="1:31">
      <c r="H71" s="100" t="s">
        <v>253</v>
      </c>
      <c r="I71" s="102">
        <f>(T70-I70)/I70</f>
        <v>-9.0909090909090981E-2</v>
      </c>
      <c r="J71" s="100" t="s">
        <v>145</v>
      </c>
      <c r="K71" s="109">
        <f>AVERAGE(K68:L68)-AVERAGE(K69:L69)</f>
        <v>0.97499999999999998</v>
      </c>
      <c r="P71" s="100"/>
      <c r="Q71" s="108"/>
      <c r="S71" s="100"/>
      <c r="T71" s="102"/>
      <c r="W71" s="100"/>
      <c r="X71" s="122"/>
      <c r="Y71" s="13">
        <f>Y68+Y69</f>
        <v>-4055769.5910930596</v>
      </c>
      <c r="AC71" s="100"/>
      <c r="AD71" s="104"/>
    </row>
    <row r="72" spans="1:31">
      <c r="K72" s="64">
        <f>K62-K71</f>
        <v>5.125</v>
      </c>
      <c r="L72" s="64">
        <f>L68-L69</f>
        <v>0.99</v>
      </c>
      <c r="P72" s="13">
        <f>-P62-P67</f>
        <v>-94500</v>
      </c>
      <c r="Y72" s="64">
        <f>Y71/S68</f>
        <v>-6581.0501575469916</v>
      </c>
    </row>
    <row r="73" spans="1:31">
      <c r="I73" s="3"/>
      <c r="K73" s="64">
        <f>K71-K65</f>
        <v>-2.649999999999999</v>
      </c>
    </row>
    <row r="74" spans="1:31">
      <c r="H74">
        <v>1</v>
      </c>
      <c r="I74" s="64"/>
      <c r="L74">
        <f>K75/L76</f>
        <v>45.000000000000007</v>
      </c>
      <c r="P74" s="13"/>
    </row>
    <row r="75" spans="1:31">
      <c r="A75" s="98" t="s">
        <v>256</v>
      </c>
      <c r="B75" s="59" t="s">
        <v>2351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cm="1">
        <f t="array" ref="E75">_xll.BDP($B75&amp;" Index","opt_days_expire")</f>
        <v>2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2.72</v>
      </c>
      <c r="J75" s="19">
        <f>I75/S75</f>
        <v>4.4135782436554817E-3</v>
      </c>
      <c r="K75" s="36" cm="1">
        <f t="array" ref="K75">_xll.BDP($B75&amp;" Equity","bid")</f>
        <v>2.7</v>
      </c>
      <c r="L75" s="36" cm="1">
        <f t="array" ref="L75">_xll.BDP($B75&amp;" Equity","ask")</f>
        <v>2.72</v>
      </c>
      <c r="M75" s="40">
        <f>(L75/K75-1)</f>
        <v>7.4074074074073071E-3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20400.000000000004</v>
      </c>
      <c r="Q75" s="58">
        <f>P75/'Master P&amp;L'!$AD$5*10000</f>
        <v>9.0826720787424514E-2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616.28</v>
      </c>
      <c r="T75" s="53" cm="1">
        <f t="array" ref="T75">_xll.BDP(B75&amp;" Equity","OPT_STRIKE_PX")</f>
        <v>615</v>
      </c>
      <c r="U75" s="19">
        <f>T75/S75-1</f>
        <v>-2.0769779970143398E-3</v>
      </c>
      <c r="V75" s="37" cm="1">
        <f t="array" ref="V75">_xll.BDP($B75&amp;" Equity","ivol_mid")</f>
        <v>16.850180000000002</v>
      </c>
      <c r="W75" s="38" cm="1">
        <f t="array" ref="W75">_xll.BDP(B75&amp;" Equity","DELTA_MID_RT")</f>
        <v>-0.43115526437759399</v>
      </c>
      <c r="X75" s="48">
        <f>Y75/'Master P&amp;L'!$AE$5</f>
        <v>-8.8727143038519875E-4</v>
      </c>
      <c r="Y75" s="15">
        <f>IF(G75="Sell", S75*W75*-H75*O75/N75, S75*W75*H75*O75/N75)</f>
        <v>-1992842.7474796772</v>
      </c>
      <c r="Z75" s="15" cm="1">
        <f t="array" ref="Z75">_xll.BDP($B75&amp;" Equity","opt_theta")*H75*O75/N75</f>
        <v>-4780.3050000000003</v>
      </c>
      <c r="AA75" s="19" cm="1">
        <f t="array" ref="AA75">_xll.BDP($B75&amp;" Equity","opt_theta")/I75</f>
        <v>-0.23432867647058822</v>
      </c>
      <c r="AB75" s="36" t="str" cm="1">
        <f t="array" ref="AB75">_xll.BDP($C75&amp;" Equity","EXPECTED_REPORT_DT")</f>
        <v>#N/A N/A</v>
      </c>
      <c r="AC75" s="15">
        <f>S75*H75*O75/N75</f>
        <v>4622100</v>
      </c>
      <c r="AD75" s="48">
        <f>AC75/'Master P&amp;L'!$AE$5</f>
        <v>2.0578930693703665E-3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2350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cm="1">
        <f t="array" ref="E76">_xll.BDP($B76&amp;" Equity","opt_days_expire")</f>
        <v>0</v>
      </c>
      <c r="F76" t="s">
        <v>194</v>
      </c>
      <c r="G76" s="105" t="s">
        <v>248</v>
      </c>
      <c r="H76" s="96">
        <f>H75</f>
        <v>75</v>
      </c>
      <c r="I76" s="97">
        <f>IF(G76="Buy",L76,K76)</f>
        <v>0.04</v>
      </c>
      <c r="J76" s="19">
        <f>I76/S76</f>
        <v>6.4905562406698255E-5</v>
      </c>
      <c r="K76" s="36" cm="1">
        <f t="array" ref="K76">_xll.BDP($B76&amp;" Equity","bid")</f>
        <v>0.04</v>
      </c>
      <c r="L76" s="36" cm="1">
        <f t="array" ref="L76">_xll.BDP($B76&amp;" Equity","ask")</f>
        <v>0.06</v>
      </c>
      <c r="M76" s="40">
        <f>(L76/K76-1)</f>
        <v>0.5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-300</v>
      </c>
      <c r="Q76" s="58">
        <f>P76/'Master P&amp;L'!$AD$5*10000</f>
        <v>-1.3356870704033014E-3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616.28</v>
      </c>
      <c r="T76" s="53" cm="1">
        <f t="array" ref="T76">_xll.BDP(B76&amp;" Equity","OPT_STRIKE_PX")</f>
        <v>616</v>
      </c>
      <c r="U76" s="19">
        <f>T76/S76-1</f>
        <v>-4.5433893684687643E-4</v>
      </c>
      <c r="V76" s="37" cm="1">
        <f t="array" ref="V76">_xll.BDP($B76&amp;" Equity","ivol_mid")</f>
        <v>29.532579999999999</v>
      </c>
      <c r="W76" s="38" cm="1">
        <f t="array" ref="W76">_xll.BDP(B76&amp;" Equity","DELTA_MID_RT")</f>
        <v>-0.22857695817947388</v>
      </c>
      <c r="X76" s="48">
        <f>Y76/'Master P&amp;L'!$AE$5</f>
        <v>4.7038693805529934E-4</v>
      </c>
      <c r="Y76" s="15">
        <f>IF(G76="Sell", S76*W76*-H76*O76/N76, S76*W76*H76*O76/N76)</f>
        <v>1056505.558401346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4622100</v>
      </c>
      <c r="AD76" s="48">
        <f>AC76/'Master P&amp;L'!$AE$5</f>
        <v>2.0578930693703665E-3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>
        <f>I75-I76*H74</f>
        <v>2.68</v>
      </c>
      <c r="J77" s="100" t="s">
        <v>249</v>
      </c>
      <c r="K77" s="101">
        <f>K76/L75</f>
        <v>1.4705882352941176E-2</v>
      </c>
      <c r="P77" s="100" t="s">
        <v>250</v>
      </c>
      <c r="Q77" s="108">
        <f>Q75+Q76</f>
        <v>8.9491033717021218E-2</v>
      </c>
      <c r="S77" s="100" t="s">
        <v>251</v>
      </c>
      <c r="T77" s="102">
        <f>T75-T76</f>
        <v>-1</v>
      </c>
      <c r="W77" s="100" t="s">
        <v>252</v>
      </c>
      <c r="X77" s="122">
        <f>X75+X76</f>
        <v>-4.1688449232989941E-4</v>
      </c>
      <c r="AC77" s="100" t="s">
        <v>229</v>
      </c>
      <c r="AD77" s="122">
        <f>AD75</f>
        <v>2.0578930693703665E-3</v>
      </c>
    </row>
    <row r="78" spans="1:31">
      <c r="H78" s="100" t="s">
        <v>253</v>
      </c>
      <c r="I78" s="102">
        <f>(T77-I77)/I77</f>
        <v>-1.3731343283582089</v>
      </c>
      <c r="J78" s="100" t="s">
        <v>145</v>
      </c>
      <c r="K78" s="109">
        <f>AVERAGE(K75:L75)-AVERAGE(K76:L76)</f>
        <v>2.66</v>
      </c>
      <c r="P78" s="100"/>
      <c r="Q78" s="108"/>
      <c r="S78" s="100"/>
      <c r="T78" s="102"/>
      <c r="W78" s="100"/>
      <c r="X78" s="122"/>
      <c r="Y78" s="15">
        <f>Y75+Y76</f>
        <v>-936337.18907833123</v>
      </c>
      <c r="AC78" s="100"/>
      <c r="AD78" s="104"/>
    </row>
    <row r="79" spans="1:31">
      <c r="I79" s="64"/>
      <c r="K79" s="64">
        <f>K78-K71</f>
        <v>1.6850000000000001</v>
      </c>
      <c r="L79" s="64"/>
      <c r="N79" s="238">
        <f>K71-(K78*3)</f>
        <v>-7.0050000000000008</v>
      </c>
      <c r="W79" s="50">
        <f>W75-W76</f>
        <v>-0.20257830619812012</v>
      </c>
      <c r="Y79" s="64">
        <f>Y78/S75</f>
        <v>-1519.3372964859013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2350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21/01/2026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550</v>
      </c>
      <c r="I81" s="97">
        <f>IF(G81="Buy",L81,K81)</f>
        <v>0.06</v>
      </c>
      <c r="J81" s="19">
        <f>I81/S81</f>
        <v>9.7358343610047383E-5</v>
      </c>
      <c r="K81" s="36">
        <f>_xll.BDP($B81&amp;" Equity","bid")</f>
        <v>0.04</v>
      </c>
      <c r="L81" s="36">
        <f>_xll.BDP($B81&amp;" Equity","ask")</f>
        <v>0.06</v>
      </c>
      <c r="M81" s="40">
        <f>(L81/K81-1)</f>
        <v>0.5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3300</v>
      </c>
      <c r="Q81" s="58">
        <f>P81/'Master P&amp;L'!$AD$5*10000</f>
        <v>1.4692557774436317E-2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616.28</v>
      </c>
      <c r="T81" s="53" cm="1">
        <f t="array" ref="T81">_xll.BDP(B81&amp;" Equity","OPT_STRIKE_PX")</f>
        <v>616</v>
      </c>
      <c r="U81" s="19">
        <f>T81/S81-1</f>
        <v>-4.5433893684687643E-4</v>
      </c>
      <c r="V81" s="37" cm="1">
        <f t="array" ref="V81">_xll.BDP($B81&amp;" Equity","ivol_mid")</f>
        <v>29.532579999999999</v>
      </c>
      <c r="W81" s="38">
        <f>_xll.BDP(B81&amp;" Equity","DELTA_MID_RT")</f>
        <v>-0.22857695817947388</v>
      </c>
      <c r="X81" s="48">
        <f>Y81/'Master P&amp;L'!$AE$5</f>
        <v>-3.449504212405528E-3</v>
      </c>
      <c r="Y81" s="15">
        <f>IF(G81="Sell", S81*W81*-H81*O81/N81, S81*W81*H81*O81/N81)</f>
        <v>-7747707.428276537</v>
      </c>
      <c r="Z81" s="15" cm="1">
        <f t="array" ref="Z81">_xll.BDP($B81&amp;" Equity","opt_theta")*H81*O81/N81</f>
        <v>0</v>
      </c>
      <c r="AA81" s="19" cm="1">
        <f t="array" ref="AA81">_xll.BDP($B81&amp;" Equity","opt_theta")/I81</f>
        <v>0</v>
      </c>
      <c r="AB81" s="36" t="str" cm="1">
        <f t="array" ref="AB81">_xll.BDP($C81&amp;" Equity","EXPECTED_REPORT_DT")</f>
        <v>#N/A N/A</v>
      </c>
      <c r="AC81" s="15">
        <f>S81*H81*O81/N81</f>
        <v>33895400</v>
      </c>
      <c r="AD81" s="48">
        <f>AC81/'Master P&amp;L'!$AE$5</f>
        <v>1.5091215842049355E-2</v>
      </c>
      <c r="AE81" t="str">
        <f>B81&amp;" -&gt; Buy to open "&amp;H81&amp;"x"</f>
        <v>QQQ US 01/21/26 P616 -&gt; Buy to open 550x</v>
      </c>
    </row>
    <row r="82" spans="1:38">
      <c r="A82" s="98" t="s">
        <v>256</v>
      </c>
      <c r="B82" s="59" t="s">
        <v>2352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21/01/2026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550</v>
      </c>
      <c r="I82" s="97" t="str">
        <f>IF(G82="Buy",L82,K82)</f>
        <v>#N/A N/A</v>
      </c>
      <c r="J82" s="19" t="e">
        <f>I82/S82</f>
        <v>#VALUE!</v>
      </c>
      <c r="K82" s="36" t="str" cm="1">
        <f t="array" ref="K82">_xll.BDP($B82&amp;" Equity","bid")</f>
        <v>#N/A N/A</v>
      </c>
      <c r="L82" s="36" cm="1">
        <f t="array" ref="L82">_xll.BDP($B82&amp;" Equity","ask")</f>
        <v>0.01</v>
      </c>
      <c r="M82" s="40" t="e">
        <f>(L82/K82-1)</f>
        <v>#VALUE!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616.28</v>
      </c>
      <c r="T82" s="53" cm="1">
        <f t="array" ref="T82">_xll.BDP(B82&amp;" Equity","OPT_STRIKE_PX")</f>
        <v>614</v>
      </c>
      <c r="U82" s="19">
        <f>T82/S82-1</f>
        <v>-3.6996170571818032E-3</v>
      </c>
      <c r="V82" s="37" cm="1">
        <f t="array" ref="V82">_xll.BDP($B82&amp;" Equity","ivol_mid")</f>
        <v>31.627230000000001</v>
      </c>
      <c r="W82" s="38" cm="1">
        <f t="array" ref="W82">_xll.BDP(B82&amp;" Equity","DELTA_MID_RT")</f>
        <v>-2.0887486636638641E-2</v>
      </c>
      <c r="X82" s="48">
        <f>Y82/'Master P&amp;L'!$AE$5</f>
        <v>3.1521756923143522E-4</v>
      </c>
      <c r="Y82" s="15">
        <f>IF(G82="Sell", S82*W82*-H82*O82/N82, S82*W82*H82*O82/N82)</f>
        <v>707989.71454352129</v>
      </c>
      <c r="Z82" s="15" cm="1">
        <f t="array" ref="Z82">_xll.BDP($B82&amp;" Equity","opt_theta")*H82*O82/N82</f>
        <v>0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N/A</v>
      </c>
      <c r="AC82" s="15">
        <f>S82*H82*O82/N82</f>
        <v>33895400</v>
      </c>
      <c r="AD82" s="48">
        <f>AC82/'Master P&amp;L'!$AE$5</f>
        <v>1.5091215842049355E-2</v>
      </c>
      <c r="AE82" t="str">
        <f>B82&amp;" -&gt; Buy to open "&amp;H82&amp;"x"</f>
        <v>QQQ US 01/21/26 P614 -&gt; Buy to open 550x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>
        <f>T81-T82</f>
        <v>2</v>
      </c>
      <c r="W83" s="100" t="s">
        <v>252</v>
      </c>
      <c r="X83" s="122">
        <f>X81+X82</f>
        <v>-3.134286643174093E-3</v>
      </c>
      <c r="AC83" s="100" t="s">
        <v>229</v>
      </c>
      <c r="AD83" s="122">
        <f>AD81</f>
        <v>1.5091215842049355E-2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>
        <f>AVERAGE(K81:L81)-AVERAGE(K82:L82)</f>
        <v>0.04</v>
      </c>
      <c r="P84" s="100"/>
      <c r="Q84" s="108"/>
      <c r="S84" s="100"/>
      <c r="T84" s="102"/>
      <c r="W84" s="100"/>
      <c r="X84" s="122"/>
      <c r="Y84" s="15">
        <f>Y81+Y82</f>
        <v>-7039717.7137330156</v>
      </c>
      <c r="AC84" s="100"/>
      <c r="AD84" s="104"/>
    </row>
    <row r="85" spans="1:38">
      <c r="K85" s="64">
        <f>K84-K78</f>
        <v>-2.62</v>
      </c>
      <c r="Y85" s="64">
        <f>Y84/S81</f>
        <v>-11422.920934855936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-239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-239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-296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-296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-296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-296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-425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-369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-243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-243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-398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-398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-394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-208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-208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-208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1900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-124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1901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-124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-8.6109794195250666E-2</v>
      </c>
    </row>
    <row r="153" spans="1:33">
      <c r="A153" s="98"/>
      <c r="B153" s="321" t="s">
        <v>2329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16</v>
      </c>
      <c r="F153" t="str" cm="1">
        <f t="array" ref="F153">_xll.BDP(B153&amp;" Index","QUOTED_CURRENCY_REALTIME")</f>
        <v>USD</v>
      </c>
      <c r="G153" s="105" t="s">
        <v>247</v>
      </c>
      <c r="H153" s="96">
        <v>40</v>
      </c>
      <c r="I153" s="97">
        <f>IF(G153="Buy",L153,K153)</f>
        <v>189.5</v>
      </c>
      <c r="J153" s="19">
        <f>I153/S153</f>
        <v>7.4331215187887342E-3</v>
      </c>
      <c r="K153" s="36" cm="1">
        <f t="array" ref="K153">_xll.BDP($B153&amp;" Index","bid")</f>
        <v>186.5</v>
      </c>
      <c r="L153" s="36" cm="1">
        <f t="array" ref="L153">_xll.BDP($B153&amp;" Index","ask")</f>
        <v>189.5</v>
      </c>
      <c r="M153" s="40">
        <f>(L153/K153-1)</f>
        <v>1.6085790884718509E-2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151600</v>
      </c>
      <c r="Q153" s="58">
        <f>P153/'Master P&amp;L'!$AD$5*10000</f>
        <v>0.67496719957713502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25494</v>
      </c>
      <c r="T153" s="53" cm="1">
        <f t="array" ref="T153">_xll.BDP(B153&amp;" Index","OPT_STRIKE_PX")</f>
        <v>24700</v>
      </c>
      <c r="U153" s="40">
        <f>T153/S153-1</f>
        <v>-3.1144583039146467E-2</v>
      </c>
      <c r="V153" s="37" cm="1">
        <f t="array" ref="V153">_xll.BDP($B153&amp;" Index","ivol_mid")</f>
        <v>23.958168000000001</v>
      </c>
      <c r="W153" s="38" cm="1">
        <f t="array" ref="W153">_xll.BDP(B153&amp;" Index","DELTA_MID_RT")</f>
        <v>-0.24897412955760956</v>
      </c>
      <c r="X153" s="48">
        <f>Y153/'Master P&amp;L'!$AE$5</f>
        <v>-2.2608182924209615E-3</v>
      </c>
      <c r="Y153" s="15">
        <f>IF(G153="Sell", S153*W153*-H153*O153/N153, S153*W153*H153*O153/N153)</f>
        <v>-5077877.1671533585</v>
      </c>
      <c r="Z153" s="15" cm="1">
        <f t="array" ref="Z153">_xll.BDP($B153&amp;" Index","opt_theta")*H153*O153/N153</f>
        <v>-13054.2448</v>
      </c>
      <c r="AA153" s="126" cm="1">
        <f t="array" ref="AA153">_xll.BDP($B153&amp;" Index","opt_theta")/I153</f>
        <v>-8.6109794195250666E-2</v>
      </c>
      <c r="AB153" s="36" t="str" cm="1">
        <f t="array" ref="AB153">_xll.BDP($C153&amp;" Index","EXPECTED_REPORT_DT")</f>
        <v>#N/A Field Not Applicable</v>
      </c>
      <c r="AC153" s="15">
        <f>S153*H153*O153/N153</f>
        <v>20395200</v>
      </c>
      <c r="AD153" s="48">
        <f>AC153/'Master P&amp;L'!$AE$5</f>
        <v>9.0805349794298041E-3</v>
      </c>
      <c r="AG153" t="str">
        <f>B153&amp;" -&gt; Buy to open "&amp;H153&amp;"x"</f>
        <v>1OG6P 24700 -&gt; Buy to open 40x</v>
      </c>
    </row>
    <row r="154" spans="1:33">
      <c r="A154" s="98"/>
      <c r="B154" s="321" t="s">
        <v>2322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16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254</v>
      </c>
      <c r="J154" s="19">
        <f>I154/S154</f>
        <v>9.9631285792735544E-3</v>
      </c>
      <c r="K154" s="36" cm="1">
        <f t="array" ref="K154">_xll.BDP($B154&amp;" Index","bid")</f>
        <v>254</v>
      </c>
      <c r="L154" s="36" cm="1">
        <f t="array" ref="L154">_xll.BDP($B154&amp;" Index","ask")</f>
        <v>257.25</v>
      </c>
      <c r="M154" s="40">
        <f>(L154/K154-1)</f>
        <v>1.2795275590551158E-2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-203200</v>
      </c>
      <c r="Q154" s="58">
        <f>P154/'Master P&amp;L'!$AD$5*10000</f>
        <v>-0.90470537568650289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25494</v>
      </c>
      <c r="T154" s="53" cm="1">
        <f t="array" ref="T154">_xll.BDP(B154&amp;" Index","OPT_STRIKE_PX")</f>
        <v>25000</v>
      </c>
      <c r="U154" s="40">
        <f>T154/S154-1</f>
        <v>-1.937710833921702E-2</v>
      </c>
      <c r="V154" s="37" cm="1">
        <f t="array" ref="V154">_xll.BDP($B154&amp;" Index","ivol_mid")</f>
        <v>22.705507999999998</v>
      </c>
      <c r="W154" s="38" cm="1">
        <f t="array" ref="W154">_xll.BDP(B154&amp;" Index","DELTA_MID_RT")</f>
        <v>-0.32586556673049927</v>
      </c>
      <c r="X154" s="48">
        <f>Y154/'Master P&amp;L'!$AE$5</f>
        <v>2.9590336772880158E-3</v>
      </c>
      <c r="Y154" s="15">
        <f>IF(G154="Sell", S154*W154*-H154*O154/N154, S154*W154*H154*O154/N154)</f>
        <v>6646093.4065818787</v>
      </c>
      <c r="Z154" s="15" cm="1">
        <f t="array" ref="Z154">_xll.BDP($B154&amp;" Index","opt_theta")*H154*O154/N154</f>
        <v>-12309.7592</v>
      </c>
      <c r="AA154" s="126" cm="1">
        <f t="array" ref="AA154">_xll.BDP($B154&amp;" Index","opt_theta")/I154</f>
        <v>-6.057952362204725E-2</v>
      </c>
      <c r="AB154" s="36" t="str" cm="1">
        <f t="array" ref="AB154">_xll.BDP($C154&amp;" Index","EXPECTED_REPORT_DT")</f>
        <v>#N/A Field Not Applicable</v>
      </c>
      <c r="AC154" s="15">
        <f>S154*H154*O154/N154</f>
        <v>20395200</v>
      </c>
      <c r="AD154" s="48">
        <f>AC154/'Master P&amp;L'!$AE$5</f>
        <v>9.0805349794298041E-3</v>
      </c>
      <c r="AG154" t="str">
        <f>B154&amp;" -&gt; Buy to open "&amp;H154&amp;"x"</f>
        <v>1OG6P 25000 -&gt; Buy to open 40x</v>
      </c>
    </row>
    <row r="155" spans="1:33">
      <c r="H155" s="100" t="s">
        <v>116</v>
      </c>
      <c r="I155" s="102">
        <f>I153-I154</f>
        <v>-64.5</v>
      </c>
      <c r="J155" s="100" t="s">
        <v>249</v>
      </c>
      <c r="K155" s="101">
        <f>K154/L153</f>
        <v>1.3403693931398417</v>
      </c>
      <c r="O155" s="164"/>
      <c r="P155" s="100" t="s">
        <v>250</v>
      </c>
      <c r="Q155" s="108">
        <f>Q153+Q154</f>
        <v>-0.22973817610936786</v>
      </c>
      <c r="S155" s="100" t="s">
        <v>251</v>
      </c>
      <c r="T155" s="102">
        <f>T154-T153</f>
        <v>300</v>
      </c>
      <c r="W155" s="100" t="s">
        <v>252</v>
      </c>
      <c r="X155" s="122">
        <f>X153+X154</f>
        <v>6.9821538486705432E-4</v>
      </c>
      <c r="Y155" s="13">
        <f>Y153+Y154</f>
        <v>1568216.2394285202</v>
      </c>
      <c r="AC155" s="100" t="s">
        <v>229</v>
      </c>
      <c r="AD155" s="122">
        <f>AD153</f>
        <v>9.0805349794298041E-3</v>
      </c>
    </row>
    <row r="156" spans="1:33">
      <c r="H156" s="100" t="s">
        <v>253</v>
      </c>
      <c r="I156" s="102">
        <f>(T155-I155)/I155</f>
        <v>-5.6511627906976747</v>
      </c>
      <c r="J156" s="100" t="s">
        <v>145</v>
      </c>
      <c r="K156" s="109">
        <f>AVERAGE(K153:L153)-AVERAGE(K154:L154)</f>
        <v>-67.625</v>
      </c>
      <c r="O156" s="164"/>
      <c r="P156" s="100"/>
      <c r="Q156" s="108"/>
      <c r="S156" s="100"/>
      <c r="T156" s="102"/>
      <c r="W156" s="100"/>
      <c r="X156" s="122"/>
      <c r="Y156" s="13">
        <f>Y155/S153</f>
        <v>61.513149738311768</v>
      </c>
      <c r="AC156" s="100"/>
      <c r="AD156" s="104"/>
    </row>
    <row r="157" spans="1:33">
      <c r="K157" s="64">
        <f>K153-K154</f>
        <v>-67.5</v>
      </c>
      <c r="L157" s="64">
        <f>L153-L154</f>
        <v>-67.75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2143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6874.29</v>
      </c>
      <c r="T160" s="53" cm="1">
        <f t="array" ref="T160">_xll.BDP(B160&amp;" Index","OPT_STRIKE_PX")</f>
        <v>6950</v>
      </c>
      <c r="U160" s="40">
        <f>T160/S160-1</f>
        <v>1.1013501030651796E-2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68742900</v>
      </c>
      <c r="AD160" s="48">
        <f>AC160/'Master P&amp;L'!$AE$5</f>
        <v>3.060633423734237E-2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3.060633423734237E-2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-11.549999999999997</v>
      </c>
    </row>
    <row r="168" spans="1:37">
      <c r="A168">
        <v>300</v>
      </c>
      <c r="H168" s="276">
        <v>1</v>
      </c>
      <c r="I168" s="64">
        <f>I170-I171</f>
        <v>-11.549999999999997</v>
      </c>
      <c r="K168" s="129"/>
    </row>
    <row r="169" spans="1:37">
      <c r="A169" s="237">
        <v>1</v>
      </c>
      <c r="B169" s="384" t="s">
        <v>2077</v>
      </c>
      <c r="C169" t="str" cm="1">
        <f t="array" ref="C169">_xll.BDP(B169&amp;" Equity","OPT_UNDL_TICKER")</f>
        <v>META US</v>
      </c>
      <c r="D169" s="64">
        <f>A169*AVERAGE(K169:L169)</f>
        <v>7.0750000000000002</v>
      </c>
      <c r="E169" cm="1">
        <f t="array" ref="E169">_xll.BDP($B169&amp;" Index","opt_days_expire")</f>
        <v>86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7</v>
      </c>
      <c r="J169" s="19">
        <f>I169/S169</f>
        <v>1.1419994779430957E-2</v>
      </c>
      <c r="K169" s="36" cm="1">
        <f t="array" ref="K169">_xll.BDP($B169&amp;" Equity","bid")</f>
        <v>7</v>
      </c>
      <c r="L169" s="36" cm="1">
        <f t="array" ref="L169">_xll.BDP($B169&amp;" Equity","ask")</f>
        <v>7.15</v>
      </c>
      <c r="M169" s="40">
        <f>(L169/K169-1)</f>
        <v>2.1428571428571574E-2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-28000</v>
      </c>
      <c r="Q169" s="58">
        <f>P169/'Master P&amp;L'!$AD$5*10000</f>
        <v>-0.1246641265709748</v>
      </c>
      <c r="R169" s="37" cm="1">
        <f t="array" ref="R169">_xll.BDP($C169&amp;" Equity","EST_PE_NXT_YR")*(T169/S169)</f>
        <v>22.285309391240748</v>
      </c>
      <c r="S169" s="36" cm="1">
        <f t="array" ref="S169">_xll.BDP(C169&amp;" Equity","LAST_PRICE")</f>
        <v>612.96</v>
      </c>
      <c r="T169" s="53" cm="1">
        <f t="array" ref="T169">_xll.BDP(B169&amp;" Equity","OPT_STRIKE_PX")</f>
        <v>750</v>
      </c>
      <c r="U169" s="40">
        <f>T169/S169-1</f>
        <v>0.22357086922474534</v>
      </c>
      <c r="V169" s="37" cm="1">
        <f t="array" ref="V169">_xll.BDP($B169&amp;" Equity","ivol_mid")</f>
        <v>34.492649999999998</v>
      </c>
      <c r="W169" s="38" cm="1">
        <f t="array" ref="W169">_xll.BDP(B169&amp;" Equity","DELTA_MID_RT")</f>
        <v>0.14384268224239349</v>
      </c>
      <c r="X169" s="48">
        <f>Y169/'Master P&amp;L'!$AE$5</f>
        <v>-1.5702303452600863E-4</v>
      </c>
      <c r="Y169" s="15">
        <f>IF(G169="Sell", S169*W169*-H169*O169/N169, S169*W169*H169*O169/N169)</f>
        <v>-352679.24202919012</v>
      </c>
      <c r="Z169" s="15" cm="1">
        <f t="array" ref="Z169">_xll.BDP($B169&amp;" Equity","opt_theta")*H169*O169/N169</f>
        <v>-555.67200000000003</v>
      </c>
      <c r="AA169" s="19" cm="1">
        <f t="array" ref="AA169">_xll.BDP($B169&amp;" Equity","opt_theta")/I169</f>
        <v>-1.9845428571428573E-2</v>
      </c>
      <c r="AB169" s="36" t="str" cm="1">
        <f t="array" ref="AB169">_xll.BDP($C169&amp;" Equity","EXPECTED_REPORT_DT")</f>
        <v>28/01/2026</v>
      </c>
      <c r="AC169" s="15">
        <f>S169*H169*O169/N169</f>
        <v>2451840</v>
      </c>
      <c r="AD169" s="19">
        <f>AC169/'Master P&amp;L'!$AE$5</f>
        <v>1.0916303288992103E-3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4" t="s">
        <v>2078</v>
      </c>
      <c r="C170" t="str" cm="1">
        <f t="array" ref="C170">_xll.BDP(B170&amp;" Equity","OPT_UNDL_TICKER")</f>
        <v>META US</v>
      </c>
      <c r="D170" s="64">
        <f>A170*AVERAGE(K170:L170)</f>
        <v>33</v>
      </c>
      <c r="E170" cm="1">
        <f t="array" ref="E170">_xll.BDP($B170&amp;" Index","opt_days_expire")</f>
        <v>86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16.600000000000001</v>
      </c>
      <c r="J170" s="19">
        <f>I170/S170</f>
        <v>2.70817019055077E-2</v>
      </c>
      <c r="K170" s="36" cm="1">
        <f t="array" ref="K170">_xll.BDP($B170&amp;" Equity","bid")</f>
        <v>16.399999999999999</v>
      </c>
      <c r="L170" s="36" cm="1">
        <f t="array" ref="L170">_xll.BDP($B170&amp;" Equity","ask")</f>
        <v>16.600000000000001</v>
      </c>
      <c r="M170" s="40">
        <f>(L170/K170-1)</f>
        <v>1.2195121951219745E-2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66400</v>
      </c>
      <c r="Q170" s="58">
        <f>P170/'Master P&amp;L'!$AD$5*10000</f>
        <v>0.29563207158259741</v>
      </c>
      <c r="R170" s="37" cm="1">
        <f t="array" ref="R170">_xll.BDP($C170&amp;" Equity","EST_PE_NXT_YR")*(T170/S170)</f>
        <v>20.502484639941489</v>
      </c>
      <c r="S170" s="36" cm="1">
        <f t="array" ref="S170">_xll.BDP(C170&amp;" Equity","LAST_PRICE")</f>
        <v>612.96</v>
      </c>
      <c r="T170" s="53" cm="1">
        <f t="array" ref="T170">_xll.BDP(B170&amp;" Equity","OPT_STRIKE_PX")</f>
        <v>690</v>
      </c>
      <c r="U170" s="40">
        <f>T170/S170-1</f>
        <v>0.12568519968676584</v>
      </c>
      <c r="V170" s="37" cm="1">
        <f t="array" ref="V170">_xll.BDP($B170&amp;" Equity","ivol_mid")</f>
        <v>34.209380000000003</v>
      </c>
      <c r="W170" s="38" cm="1">
        <f t="array" ref="W170">_xll.BDP(B170&amp;" Equity","DELTA_MID_RT")</f>
        <v>0.28266367316246033</v>
      </c>
      <c r="X170" s="48">
        <f>Y170/'Master P&amp;L'!$AE$5</f>
        <v>3.0856423850219547E-4</v>
      </c>
      <c r="Y170" s="15">
        <f>IF(G170="Sell", S170*W170*-H170*O170/N170, S170*W170*H170*O170/N170)</f>
        <v>693046.10040664684</v>
      </c>
      <c r="Z170" s="15" cm="1">
        <f t="array" ref="Z170">_xll.BDP($B170&amp;" Equity","opt_theta")*H170*O170/N170</f>
        <v>-807.9079999999999</v>
      </c>
      <c r="AA170" s="19" cm="1">
        <f t="array" ref="AA170">_xll.BDP($B170&amp;" Equity","opt_theta")/I170</f>
        <v>-1.2167289156626505E-2</v>
      </c>
      <c r="AB170" s="36" t="str" cm="1">
        <f t="array" ref="AB170">_xll.BDP($C170&amp;" Equity","EXPECTED_REPORT_DT")</f>
        <v>28/01/2026</v>
      </c>
      <c r="AC170" s="15">
        <f>S170*H170*O170/N170</f>
        <v>2451840</v>
      </c>
      <c r="AD170" s="48">
        <f>AC170/'Master P&amp;L'!$AE$5</f>
        <v>1.0916303288992103E-3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4" t="s">
        <v>2079</v>
      </c>
      <c r="C171" t="str" cm="1">
        <f t="array" ref="C171">_xll.BDP(B171&amp;" Equity","OPT_UNDL_TICKER")</f>
        <v>META US</v>
      </c>
      <c r="D171" s="64">
        <f>A171*AVERAGE(K171:L171)</f>
        <v>56.55</v>
      </c>
      <c r="E171" cm="1">
        <f t="array" ref="E171">_xll.BDP($B171&amp;" Index","opt_days_expire")</f>
        <v>86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28.15</v>
      </c>
      <c r="J171" s="19">
        <f>I171/S171</f>
        <v>4.5924693291568779E-2</v>
      </c>
      <c r="K171" s="36" cm="1">
        <f t="array" ref="K171">_xll.BDP($B171&amp;" Equity","bid")</f>
        <v>28.15</v>
      </c>
      <c r="L171" s="36" cm="1">
        <f t="array" ref="L171">_xll.BDP($B171&amp;" Equity","ask")</f>
        <v>28.4</v>
      </c>
      <c r="M171" s="40">
        <f>(L171/K171-1)</f>
        <v>8.8809946714032417E-3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-112600</v>
      </c>
      <c r="Q171" s="58">
        <f>P171/'Master P&amp;L'!$AD$5*10000</f>
        <v>-0.50132788042470577</v>
      </c>
      <c r="R171" s="37" cm="1">
        <f t="array" ref="R171">_xll.BDP($C171&amp;" Equity","EST_PE_NXT_YR")*(T171/S171)</f>
        <v>17.531110054442724</v>
      </c>
      <c r="S171" s="36" cm="1">
        <f t="array" ref="S171">_xll.BDP(C171&amp;" Equity","LAST_PRICE")</f>
        <v>612.96</v>
      </c>
      <c r="T171" s="53" cm="1">
        <f t="array" ref="T171">_xll.BDP(B171&amp;" Equity","OPT_STRIKE_PX")</f>
        <v>590</v>
      </c>
      <c r="U171" s="40">
        <f>T171/S171-1</f>
        <v>-3.7457582876533557E-2</v>
      </c>
      <c r="V171" s="37" cm="1">
        <f t="array" ref="V171">_xll.BDP(B171&amp;" Equity","ivol_mid")</f>
        <v>34.814630000000001</v>
      </c>
      <c r="W171" s="38" cm="1">
        <f t="array" ref="W171">_xll.BDP(B171&amp;" Equity","DELTA_MID_RT")</f>
        <v>-0.36297774314880371</v>
      </c>
      <c r="X171" s="48">
        <f>Y171/'Master P&amp;L'!$AE$5</f>
        <v>3.962375131366217E-4</v>
      </c>
      <c r="Y171" s="15">
        <f>IF(G171="Sell", S171*W171*-H171*O171/N171, S171*W171*H171*O171/N171)</f>
        <v>889963.34976196301</v>
      </c>
      <c r="Z171" s="15" cm="1">
        <f t="array" ref="Z171">_xll.BDP($B171&amp;" Equity","opt_theta")*H171*O171/N171</f>
        <v>-899.53599999999994</v>
      </c>
      <c r="AA171" s="19" cm="1">
        <f t="array" ref="AA171">_xll.BDP($B171&amp;" Equity","opt_theta")/I171</f>
        <v>-7.9887744227353473E-3</v>
      </c>
      <c r="AB171" s="36" t="str" cm="1">
        <f t="array" ref="AB171">_xll.BDP($C171&amp;" Equity","EXPECTED_REPORT_DT")</f>
        <v>28/01/2026</v>
      </c>
      <c r="AC171" s="15">
        <f>S171*H171*O171/N171</f>
        <v>2451840</v>
      </c>
      <c r="AD171" s="19">
        <f>AC171/'Master P&amp;L'!$AE$5</f>
        <v>1.0916303288992103E-3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-18.549999999999997</v>
      </c>
      <c r="J172" s="100" t="s">
        <v>249</v>
      </c>
      <c r="K172" s="101">
        <f>K171/L170</f>
        <v>1.6957831325301203</v>
      </c>
      <c r="P172" s="130">
        <f>P170+P171+P169</f>
        <v>-74200</v>
      </c>
      <c r="Q172" s="58">
        <f>P172/'Master P&amp;L'!$AD$5*10000</f>
        <v>-0.33035993541308323</v>
      </c>
      <c r="S172" s="100" t="s">
        <v>251</v>
      </c>
      <c r="T172" s="102"/>
      <c r="W172" s="100" t="s">
        <v>252</v>
      </c>
      <c r="X172" s="122">
        <f>X170+X171+X169</f>
        <v>5.4777871711280855E-4</v>
      </c>
      <c r="AC172" s="100" t="s">
        <v>229</v>
      </c>
      <c r="AD172" s="122">
        <f>AD170</f>
        <v>1.0916303288992103E-3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-18.849999999999998</v>
      </c>
      <c r="P173" s="100"/>
      <c r="Q173" s="108"/>
      <c r="S173" s="100"/>
      <c r="T173" s="102"/>
      <c r="W173" s="100"/>
      <c r="X173" s="122"/>
      <c r="Y173" s="13">
        <f>(Y169+Y170+Y171)/S170</f>
        <v>2007.1949362754824</v>
      </c>
      <c r="AC173" s="100"/>
      <c r="AD173" s="104"/>
    </row>
    <row r="174" spans="1:37">
      <c r="D174" s="64"/>
      <c r="H174" s="96"/>
      <c r="I174" s="64">
        <f>(I170*A170)-(I171*A171)-(I169*A169)</f>
        <v>-30.099999999999994</v>
      </c>
      <c r="K174" s="64"/>
      <c r="N174" s="36"/>
      <c r="O174" s="162"/>
      <c r="P174" s="15"/>
      <c r="Q174" s="58"/>
    </row>
    <row r="175" spans="1:37">
      <c r="I175" s="21">
        <f>I171/I170</f>
        <v>1.6957831325301203</v>
      </c>
    </row>
    <row r="176" spans="1:37">
      <c r="I176" s="21"/>
    </row>
    <row r="177" spans="1:37">
      <c r="H177" s="276">
        <v>1</v>
      </c>
      <c r="I177" s="64">
        <f>I179-I178</f>
        <v>15.700000000000001</v>
      </c>
      <c r="J177" s="18">
        <f>T178-T179</f>
        <v>-623.79999999999995</v>
      </c>
      <c r="K177" s="276">
        <f>(J177-I177)/I177</f>
        <v>-40.732484076433117</v>
      </c>
      <c r="Q177" s="276">
        <f>Q179+Q178</f>
        <v>0.1398019133688789</v>
      </c>
    </row>
    <row r="178" spans="1:37">
      <c r="A178" s="237"/>
      <c r="B178" t="s">
        <v>2307</v>
      </c>
      <c r="C178" t="str" cm="1">
        <f t="array" ref="C178">_xll.BDP(B178&amp;" Equity","OPT_UNDL_TICKER")</f>
        <v>EWT US</v>
      </c>
      <c r="D178" s="64">
        <f>A178*AVERAGE(K178:L178)</f>
        <v>0</v>
      </c>
      <c r="E178" t="str" cm="1">
        <f t="array" ref="E178">_xll.BDP($B178&amp;" Index","opt_days_expire")</f>
        <v>#N/A N/A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0.9</v>
      </c>
      <c r="J178" s="19">
        <f>I178/S178</f>
        <v>1.3343217197924388E-2</v>
      </c>
      <c r="K178" s="36" cm="1">
        <f t="array" ref="K178">_xll.BDP($B178&amp;" Equity","bid")</f>
        <v>0.9</v>
      </c>
      <c r="L178" s="36" cm="1">
        <f t="array" ref="L178">_xll.BDP($B178&amp;" Equity","ask")</f>
        <v>1.45</v>
      </c>
      <c r="M178" s="40">
        <f>(L178/K178-1)</f>
        <v>0.61111111111111094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-1800</v>
      </c>
      <c r="Q178" s="58">
        <f>P178/'Master P&amp;L'!$AD$5*10000</f>
        <v>-8.0141224224198095E-3</v>
      </c>
      <c r="R178" s="37" t="e" cm="1">
        <f t="array" ref="R178">_xll.BDP($C178&amp;" Equity","EST_PE_NXT_YR")*(T178/S178)</f>
        <v>#VALUE!</v>
      </c>
      <c r="S178" s="36" cm="1">
        <f t="array" ref="S178">_xll.BDP(C178&amp;" Equity","LAST_PRICE")</f>
        <v>67.45</v>
      </c>
      <c r="T178" s="53" cm="1">
        <f t="array" ref="T178">_xll.BDP(B178&amp;" Equity","OPT_STRIKE_PX")</f>
        <v>66.2</v>
      </c>
      <c r="U178" s="40">
        <f>T178/S178-1</f>
        <v>-1.8532246108228345E-2</v>
      </c>
      <c r="V178" s="37" cm="1">
        <f t="array" ref="V178">_xll.BDP($B178&amp;" Equity","ivol_mid")</f>
        <v>476.83730000000003</v>
      </c>
      <c r="W178" s="38" cm="1">
        <f t="array" ref="W178">_xll.BDP(B178&amp;" Equity","DELTA_MID_RT")</f>
        <v>0.94442898035049438</v>
      </c>
      <c r="X178" s="48">
        <f>Y178/'Master P&amp;L'!$AE$5</f>
        <v>-5.6723722289309193E-5</v>
      </c>
      <c r="Y178" s="15">
        <f>IF(G178="Sell", S178*W178*-H178*O178/N178, S178*W178*H178*O178/N178)</f>
        <v>-127403.46944928169</v>
      </c>
      <c r="Z178" s="15" cm="1">
        <f t="array" ref="Z178">_xll.BDP($B178&amp;" Equity","opt_theta")*H178*O178/N178</f>
        <v>0</v>
      </c>
      <c r="AA178" s="19" cm="1">
        <f t="array" ref="AA178">_xll.BDP($B178&amp;" Equity","opt_theta")/I178</f>
        <v>0</v>
      </c>
      <c r="AB178" s="36" t="str" cm="1">
        <f t="array" ref="AB178">_xll.BDP($C178&amp;" Equity","EXPECTED_REPORT_DT")</f>
        <v>#N/A N/A</v>
      </c>
      <c r="AC178" s="15">
        <f>S178*H178*O178/N178</f>
        <v>134900</v>
      </c>
      <c r="AD178" s="19">
        <f>AC178/'Master P&amp;L'!$AE$5</f>
        <v>6.0061395265801792E-5</v>
      </c>
      <c r="AE178" t="str">
        <f>B178  &amp; " - Buy to open " &amp;  "-" &amp; H178 &amp;"x"</f>
        <v>EWT US 01/16/26 C66.2 - Buy to open -20x</v>
      </c>
      <c r="AK178" s="59"/>
    </row>
    <row r="179" spans="1:37">
      <c r="A179" s="237"/>
      <c r="B179" s="73" t="s">
        <v>2078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86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16.600000000000001</v>
      </c>
      <c r="J179" s="19">
        <f>I179/S179</f>
        <v>2.70817019055077E-2</v>
      </c>
      <c r="K179" s="36" cm="1">
        <f t="array" ref="K179">_xll.BDP($B179&amp;" Equity","bid")</f>
        <v>16.399999999999999</v>
      </c>
      <c r="L179" s="36" cm="1">
        <f t="array" ref="L179">_xll.BDP($B179&amp;" Equity","ask")</f>
        <v>16.600000000000001</v>
      </c>
      <c r="M179" s="40">
        <f>(L179/K179-1)</f>
        <v>1.2195121951219745E-2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33200</v>
      </c>
      <c r="Q179" s="58">
        <f>P179/'Master P&amp;L'!$AD$5*10000</f>
        <v>0.14781603579129871</v>
      </c>
      <c r="R179" s="37" cm="1">
        <f t="array" ref="R179">_xll.BDP($C179&amp;" Equity","EST_PE_NXT_YR")*(T179/S179)</f>
        <v>20.502484639941489</v>
      </c>
      <c r="S179" s="36" cm="1">
        <f t="array" ref="S179">_xll.BDP(C179&amp;" Equity","LAST_PRICE")</f>
        <v>612.96</v>
      </c>
      <c r="T179" s="53" cm="1">
        <f t="array" ref="T179">_xll.BDP(B179&amp;" Equity","OPT_STRIKE_PX")</f>
        <v>690</v>
      </c>
      <c r="U179" s="40">
        <f>T179/S179-1</f>
        <v>0.12568519968676584</v>
      </c>
      <c r="V179" s="37" cm="1">
        <f t="array" ref="V179">_xll.BDP($B179&amp;" Equity","ivol_mid")</f>
        <v>34.209380000000003</v>
      </c>
      <c r="W179" s="38" cm="1">
        <f t="array" ref="W179">_xll.BDP(B179&amp;" Equity","DELTA_MID_RT")</f>
        <v>0.28266367316246033</v>
      </c>
      <c r="X179" s="48">
        <f>Y179/'Master P&amp;L'!$AE$5</f>
        <v>1.5428211925109774E-4</v>
      </c>
      <c r="Y179" s="15">
        <f>IF(G179="Sell", S179*W179*-H179*O179/N179, S179*W179*H179*O179/N179)</f>
        <v>346523.05020332342</v>
      </c>
      <c r="Z179" s="15" cm="1">
        <f t="array" ref="Z179">_xll.BDP($B179&amp;" Equity","opt_theta")*H179*O179/N179</f>
        <v>-403.95399999999995</v>
      </c>
      <c r="AA179" s="19" cm="1">
        <f t="array" ref="AA179">_xll.BDP($B179&amp;" Equity","opt_theta")/I179</f>
        <v>-1.2167289156626505E-2</v>
      </c>
      <c r="AB179" s="36" t="str" cm="1">
        <f t="array" ref="AB179">_xll.BDP($C179&amp;" Equity","EXPECTED_REPORT_DT")</f>
        <v>28/01/2026</v>
      </c>
      <c r="AC179" s="15">
        <f>S179*H179*O179/N179</f>
        <v>1225920</v>
      </c>
      <c r="AD179" s="48">
        <f>AC179/'Master P&amp;L'!$AE$5</f>
        <v>5.4581516444960514E-4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2123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86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32.35</v>
      </c>
      <c r="J180" s="19">
        <f>I180/S180</f>
        <v>5.2776690159227355E-2</v>
      </c>
      <c r="K180" s="36" cm="1">
        <f t="array" ref="K180">_xll.BDP($B180&amp;" Equity","bid")</f>
        <v>32.35</v>
      </c>
      <c r="L180" s="36" cm="1">
        <f t="array" ref="L180">_xll.BDP($B180&amp;" Equity","ask")</f>
        <v>32.6</v>
      </c>
      <c r="M180" s="40">
        <f>(L180/K180-1)</f>
        <v>7.7279752704790816E-3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-64700</v>
      </c>
      <c r="Q180" s="58">
        <f>P180/'Master P&amp;L'!$AD$5*10000</f>
        <v>-0.28806317818364535</v>
      </c>
      <c r="R180" s="37" cm="1">
        <f t="array" ref="R180">_xll.BDP($C180&amp;" Equity","EST_PE_NXT_YR")*(T180/S180)</f>
        <v>17.828247512992601</v>
      </c>
      <c r="S180" s="36" cm="1">
        <f t="array" ref="S180">_xll.BDP(C180&amp;" Equity","LAST_PRICE")</f>
        <v>612.96</v>
      </c>
      <c r="T180" s="53" cm="1">
        <f t="array" ref="T180">_xll.BDP(B180&amp;" Equity","OPT_STRIKE_PX")</f>
        <v>600</v>
      </c>
      <c r="U180" s="40">
        <f>T180/S180-1</f>
        <v>-2.114330462020364E-2</v>
      </c>
      <c r="V180" s="37" cm="1">
        <f t="array" ref="V180">_xll.BDP(B180&amp;" Equity","ivol_mid")</f>
        <v>34.652389999999997</v>
      </c>
      <c r="W180" s="38" cm="1">
        <f t="array" ref="W180">_xll.BDP(B180&amp;" Equity","DELTA_MID_RT")</f>
        <v>-0.40124344825744629</v>
      </c>
      <c r="X180" s="48">
        <f>Y180/'Master P&amp;L'!$AE$5</f>
        <v>2.190047586949647E-4</v>
      </c>
      <c r="Y180" s="15">
        <f>IF(G180="Sell", S180*W180*-H180*O180/N180, S180*W180*H180*O180/N180)</f>
        <v>491892.36808776861</v>
      </c>
      <c r="Z180" s="15" cm="1">
        <f t="array" ref="Z180">_xll.BDP($B180&amp;" Equity","opt_theta")*H180*O180/N180</f>
        <v>-462.65800000000007</v>
      </c>
      <c r="AA180" s="19" cm="1">
        <f t="array" ref="AA180">_xll.BDP($B180&amp;" Equity","opt_theta")/I180</f>
        <v>-7.1508191653786709E-3</v>
      </c>
      <c r="AB180" s="36" t="str" cm="1">
        <f t="array" ref="AB180">_xll.BDP($C180&amp;" Equity","EXPECTED_REPORT_DT")</f>
        <v>28/01/2026</v>
      </c>
      <c r="AC180" s="15">
        <f>S180*H180*O180/N180</f>
        <v>1225920</v>
      </c>
      <c r="AD180" s="19">
        <f>AC180/'Master P&amp;L'!$AE$5</f>
        <v>5.4581516444960514E-4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-16.649999999999999</v>
      </c>
      <c r="J181" s="100" t="s">
        <v>249</v>
      </c>
      <c r="K181" s="101">
        <f>K180/L179</f>
        <v>1.9487951807228916</v>
      </c>
      <c r="P181" s="130">
        <f>P179+P180+P178</f>
        <v>-33300</v>
      </c>
      <c r="Q181" s="58">
        <f>P181/'Master P&amp;L'!$AD$5*10000</f>
        <v>-0.14826126481476645</v>
      </c>
      <c r="S181" s="100" t="s">
        <v>251</v>
      </c>
      <c r="T181" s="102"/>
      <c r="W181" s="100" t="s">
        <v>252</v>
      </c>
      <c r="X181" s="122">
        <f>X179+X180+X178</f>
        <v>3.1656315565675323E-4</v>
      </c>
      <c r="AC181" s="100" t="s">
        <v>229</v>
      </c>
      <c r="AD181" s="122">
        <f>AD179</f>
        <v>5.4581516444960514E-4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-17.150000000000002</v>
      </c>
      <c r="P182" s="100"/>
      <c r="Q182" s="108"/>
      <c r="S182" s="100"/>
      <c r="T182" s="102"/>
      <c r="W182" s="100"/>
      <c r="X182" s="122"/>
      <c r="Y182" s="13">
        <f>(Y178+Y179+Y180)/S179</f>
        <v>1159.9646776980721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6.53</v>
      </c>
      <c r="J185" s="18">
        <f>T186-T187</f>
        <v>15</v>
      </c>
      <c r="K185" s="276">
        <f>(J185-I185)/I185</f>
        <v>1.2970903522205204</v>
      </c>
      <c r="Q185" s="276">
        <f>Q187+Q186</f>
        <v>5.8146910464890393E-2</v>
      </c>
    </row>
    <row r="186" spans="1:37">
      <c r="A186" s="237">
        <v>1</v>
      </c>
      <c r="B186" s="132" t="s">
        <v>2099</v>
      </c>
      <c r="C186" t="str" cm="1">
        <f t="array" ref="C186">_xll.BDP(B186&amp;" Equity","OPT_UNDL_TICKER")</f>
        <v>NFLX US</v>
      </c>
      <c r="D186" s="64">
        <f>A186*AVERAGE(K186:L186)</f>
        <v>0.43</v>
      </c>
      <c r="E186" cm="1">
        <f t="array" ref="E186">_xll.BDP($B186&amp;" Index","opt_days_expire")</f>
        <v>58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0.42</v>
      </c>
      <c r="J186" s="19">
        <f>I186/S186</f>
        <v>4.9203373945641985E-3</v>
      </c>
      <c r="K186" s="36" cm="1">
        <f t="array" ref="K186">_xll.BDP($B186&amp;" Equity","bid")</f>
        <v>0.42</v>
      </c>
      <c r="L186" s="36" cm="1">
        <f t="array" ref="L186">_xll.BDP($B186&amp;" Equity","ask")</f>
        <v>0.44</v>
      </c>
      <c r="M186" s="40">
        <f>(L186/K186-1)</f>
        <v>4.7619047619047672E-2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-840</v>
      </c>
      <c r="Q186" s="58">
        <f>P186/'Master P&amp;L'!$AD$5*10000</f>
        <v>-3.7399237971292442E-3</v>
      </c>
      <c r="R186" s="37" cm="1">
        <f t="array" ref="R186">_xll.BDP($C186&amp;" Equity","EST_PE_NXT_YR")*(T186/S186)</f>
        <v>27.350646879056107</v>
      </c>
      <c r="S186" s="36" cm="1">
        <f t="array" ref="S186">_xll.BDP(C186&amp;" Equity","LAST_PRICE")</f>
        <v>85.36</v>
      </c>
      <c r="T186" s="53" cm="1">
        <f t="array" ref="T186">_xll.BDP(B186&amp;" Equity","OPT_STRIKE_PX")</f>
        <v>105</v>
      </c>
      <c r="U186" s="40">
        <f>T186/S186-1</f>
        <v>0.23008434864104976</v>
      </c>
      <c r="V186" s="37" cm="1">
        <f t="array" ref="V186">_xll.BDP($B186&amp;" Equity","ivol_mid")</f>
        <v>34.580500000000001</v>
      </c>
      <c r="W186" s="38" cm="1">
        <f t="array" ref="W186">_xll.BDP(B186&amp;" Equity","DELTA_MID_RT")</f>
        <v>8.4099128842353821E-2</v>
      </c>
      <c r="X186" s="48">
        <f>Y186/'Master P&amp;L'!$AE$5</f>
        <v>-6.3923326400915503E-6</v>
      </c>
      <c r="Y186" s="15">
        <f>IF(G186="Sell", S186*W186*-H186*O186/N186, S186*W186*H186*O186/N186)</f>
        <v>-14357.403275966644</v>
      </c>
      <c r="Z186" s="15" cm="1">
        <f t="array" ref="Z186">_xll.BDP($B186&amp;" Equity","opt_theta")*H186*O186/N186</f>
        <v>-30.31</v>
      </c>
      <c r="AA186" s="19" cm="1">
        <f t="array" ref="AA186">_xll.BDP($B186&amp;" Equity","opt_theta")/I186</f>
        <v>-3.6083333333333335E-2</v>
      </c>
      <c r="AB186" s="36" t="str" cm="1">
        <f t="array" ref="AB186">_xll.BDP($C186&amp;" Equity","EXPECTED_REPORT_DT")</f>
        <v>17/04/2026</v>
      </c>
      <c r="AC186" s="15">
        <f>S186*H186*O186/N186</f>
        <v>170720</v>
      </c>
      <c r="AD186" s="19">
        <f>AC186/'Master P&amp;L'!$AE$5</f>
        <v>7.6009498886417214E-5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2097</v>
      </c>
      <c r="C187" t="str" cm="1">
        <f t="array" ref="C187">_xll.BDP(B187&amp;" Equity","OPT_UNDL_TICKER")</f>
        <v>NFLX US</v>
      </c>
      <c r="D187" s="64">
        <f>A187*AVERAGE(K187:L187)</f>
        <v>13.7</v>
      </c>
      <c r="E187" cm="1">
        <f t="array" ref="E187">_xll.BDP($B187&amp;" Index","opt_days_expire")</f>
        <v>58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6.95</v>
      </c>
      <c r="J187" s="19">
        <f>I187/S187</f>
        <v>8.1419868791002811E-2</v>
      </c>
      <c r="K187" s="36" cm="1">
        <f t="array" ref="K187">_xll.BDP($B187&amp;" Equity","bid")</f>
        <v>6.75</v>
      </c>
      <c r="L187" s="36" cm="1">
        <f t="array" ref="L187">_xll.BDP($B187&amp;" Equity","ask")</f>
        <v>6.95</v>
      </c>
      <c r="M187" s="40">
        <f>(L187/K187-1)</f>
        <v>2.9629629629629672E-2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13900</v>
      </c>
      <c r="Q187" s="58">
        <f>P187/'Master P&amp;L'!$AD$5*10000</f>
        <v>6.1886834262019637E-2</v>
      </c>
      <c r="R187" s="37" cm="1">
        <f t="array" ref="R187">_xll.BDP($C187&amp;" Equity","EST_PE_NXT_YR")*(T187/S187)</f>
        <v>23.443411610619521</v>
      </c>
      <c r="S187" s="36" cm="1">
        <f t="array" ref="S187">_xll.BDP(C187&amp;" Equity","LAST_PRICE")</f>
        <v>85.36</v>
      </c>
      <c r="T187" s="53" cm="1">
        <f t="array" ref="T187">_xll.BDP(B187&amp;" Equity","OPT_STRIKE_PX")</f>
        <v>90</v>
      </c>
      <c r="U187" s="40">
        <f>T187/S187-1</f>
        <v>5.4358013120899829E-2</v>
      </c>
      <c r="V187" s="37" cm="1">
        <f t="array" ref="V187">_xll.BDP($B187&amp;" Equity","ivol_mid")</f>
        <v>31.64743</v>
      </c>
      <c r="W187" s="38" cm="1">
        <f t="array" ref="W187">_xll.BDP(B187&amp;" Equity","DELTA_MID_RT")</f>
        <v>-0.62632769346237183</v>
      </c>
      <c r="X187" s="48">
        <f>Y187/'Master P&amp;L'!$AE$5</f>
        <v>-4.760685411876041E-5</v>
      </c>
      <c r="Y187" s="15">
        <f>IF(G187="Sell", S187*W187*-H187*O187/N187, S187*W187*H187*O187/N187)</f>
        <v>-106926.66382789612</v>
      </c>
      <c r="Z187" s="15" cm="1">
        <f t="array" ref="Z187">_xll.BDP($B187&amp;" Equity","opt_theta")*H187*O187/N187</f>
        <v>-70.95</v>
      </c>
      <c r="AA187" s="19" cm="1">
        <f t="array" ref="AA187">_xll.BDP($B187&amp;" Equity","opt_theta")/I187</f>
        <v>-5.1043165467625894E-3</v>
      </c>
      <c r="AB187" s="36" t="str" cm="1">
        <f t="array" ref="AB187">_xll.BDP($C187&amp;" Equity","EXPECTED_REPORT_DT")</f>
        <v>17/04/2026</v>
      </c>
      <c r="AC187" s="15">
        <f>S187*H187*O187/N187</f>
        <v>170720</v>
      </c>
      <c r="AD187" s="48">
        <f>AC187/'Master P&amp;L'!$AE$5</f>
        <v>7.6009498886417214E-5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2098</v>
      </c>
      <c r="C188" t="str" cm="1">
        <f t="array" ref="C188">_xll.BDP(B188&amp;" Equity","OPT_UNDL_TICKER")</f>
        <v>NFLX US</v>
      </c>
      <c r="D188" s="64">
        <f>A188*AVERAGE(K188:L188)</f>
        <v>4.0600000000000005</v>
      </c>
      <c r="E188" cm="1">
        <f t="array" ref="E188">_xll.BDP($B188&amp;" Index","opt_days_expire")</f>
        <v>58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</v>
      </c>
      <c r="J188" s="19">
        <f>I188/S188</f>
        <v>2.3430178069353328E-2</v>
      </c>
      <c r="K188" s="36" cm="1">
        <f t="array" ref="K188">_xll.BDP($B188&amp;" Equity","bid")</f>
        <v>2</v>
      </c>
      <c r="L188" s="36" cm="1">
        <f t="array" ref="L188">_xll.BDP($B188&amp;" Equity","ask")</f>
        <v>2.06</v>
      </c>
      <c r="M188" s="40">
        <f>(L188/K188-1)</f>
        <v>3.0000000000000027E-2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-6000</v>
      </c>
      <c r="Q188" s="58">
        <f>P188/'Master P&amp;L'!$AD$5*10000</f>
        <v>-2.6713741408066028E-2</v>
      </c>
      <c r="R188" s="37" cm="1">
        <f t="array" ref="R188">_xll.BDP($C188&amp;" Equity","EST_PE_NXT_YR")*(T188/S188)</f>
        <v>20.838588098328461</v>
      </c>
      <c r="S188" s="36" cm="1">
        <f t="array" ref="S188">_xll.BDP(C188&amp;" Equity","LAST_PRICE")</f>
        <v>85.36</v>
      </c>
      <c r="T188" s="53" cm="1">
        <f t="array" ref="T188">_xll.BDP(B188&amp;" Equity","OPT_STRIKE_PX")</f>
        <v>80</v>
      </c>
      <c r="U188" s="40">
        <f>T188/S188-1</f>
        <v>-6.2792877225866905E-2</v>
      </c>
      <c r="V188" s="37" cm="1">
        <f t="array" ref="V188">_xll.BDP(B188&amp;" Equity","ivol_mid")</f>
        <v>32.46181</v>
      </c>
      <c r="W188" s="38" cm="1">
        <f t="array" ref="W188">_xll.BDP(B188&amp;" Equity","DELTA_MID_RT")</f>
        <v>-0.27440023422241211</v>
      </c>
      <c r="X188" s="48">
        <f>Y188/'Master P&amp;L'!$AE$5</f>
        <v>3.1285536446341581E-5</v>
      </c>
      <c r="Y188" s="15">
        <f>IF(G188="Sell", S188*W188*-H188*O188/N188, S188*W188*H188*O188/N188)</f>
        <v>70268.411979675293</v>
      </c>
      <c r="Z188" s="15" cm="1">
        <f t="array" ref="Z188">_xll.BDP($B188&amp;" Equity","opt_theta")*H188*O188/N188</f>
        <v>-96.653999999999996</v>
      </c>
      <c r="AA188" s="19" cm="1">
        <f t="array" ref="AA188">_xll.BDP($B188&amp;" Equity","opt_theta")/I188</f>
        <v>-1.6108999999999998E-2</v>
      </c>
      <c r="AB188" s="36" t="str" cm="1">
        <f t="array" ref="AB188">_xll.BDP($C188&amp;" Equity","EXPECTED_REPORT_DT")</f>
        <v>17/04/2026</v>
      </c>
      <c r="AC188" s="15">
        <f>S188*H188*O188/N188</f>
        <v>256080.00000000003</v>
      </c>
      <c r="AD188" s="19">
        <f>AC188/'Master P&amp;L'!$AE$5</f>
        <v>1.1401424832962582E-4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4.53</v>
      </c>
      <c r="J189" s="100" t="s">
        <v>249</v>
      </c>
      <c r="K189" s="101">
        <f>K188/L187</f>
        <v>0.28776978417266186</v>
      </c>
      <c r="P189" s="130">
        <f>P187+P188+P186</f>
        <v>7060</v>
      </c>
      <c r="Q189" s="58">
        <f>P189/'Master P&amp;L'!$AD$5*10000</f>
        <v>3.1433169056824362E-2</v>
      </c>
      <c r="S189" s="100" t="s">
        <v>251</v>
      </c>
      <c r="T189" s="102"/>
      <c r="W189" s="100" t="s">
        <v>252</v>
      </c>
      <c r="X189" s="122">
        <f>X187+X188+X186</f>
        <v>-2.2713650312510379E-5</v>
      </c>
      <c r="AC189" s="100" t="s">
        <v>229</v>
      </c>
      <c r="AD189" s="122">
        <f>AD187</f>
        <v>7.6009498886417214E-5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4.3899999999999997</v>
      </c>
      <c r="P190" s="100"/>
      <c r="Q190" s="108"/>
      <c r="S190" s="100"/>
      <c r="T190" s="102"/>
      <c r="W190" s="100"/>
      <c r="X190" s="122"/>
      <c r="Y190" s="13">
        <f>(Y186+Y187+Y188)/S187</f>
        <v>-597.65294194221497</v>
      </c>
      <c r="AC190" s="100"/>
      <c r="AD190" s="104"/>
    </row>
    <row r="191" spans="1:37">
      <c r="D191" s="64"/>
      <c r="H191" s="96"/>
      <c r="I191" s="64">
        <f>I187-I186</f>
        <v>6.53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2290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t="str" cm="1">
        <f t="array" ref="E195">_xll.BDP($B195&amp;" Index","opt_days_expire")</f>
        <v>#N/A N/A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7.1</v>
      </c>
      <c r="J195" s="19">
        <f>I195/S195</f>
        <v>2.1771127192444499E-2</v>
      </c>
      <c r="K195" s="36" cm="1">
        <f t="array" ref="K195">_xll.BDP($B195&amp;" Equity","bid")</f>
        <v>7.1</v>
      </c>
      <c r="L195" s="36" cm="1">
        <f t="array" ref="L195">_xll.BDP($B195&amp;" Equity","ask")</f>
        <v>8.5</v>
      </c>
      <c r="M195" s="40">
        <f>(L195/K195-1)</f>
        <v>0.19718309859154926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-71000</v>
      </c>
      <c r="Q195" s="58">
        <f>P195/'Master P&amp;L'!$AD$5*10000</f>
        <v>-0.31611260666211466</v>
      </c>
      <c r="R195" s="37" cm="1">
        <f t="array" ref="R195">_xll.BDP($C195&amp;" Equity","EST_PE_NXT_YR")*(T195/S195)</f>
        <v>20.112422085389934</v>
      </c>
      <c r="S195" s="36" cm="1">
        <f t="array" ref="S195">_xll.BDP(C195&amp;" Equity","LAST_PRICE")</f>
        <v>326.12</v>
      </c>
      <c r="T195" s="53" cm="1">
        <f t="array" ref="T195">_xll.BDP(B195&amp;" Equity","OPT_STRIKE_PX")</f>
        <v>335</v>
      </c>
      <c r="U195" s="40">
        <f>T195/S195-1</f>
        <v>2.7229240770268559E-2</v>
      </c>
      <c r="V195" s="37" cm="1">
        <f t="array" ref="V195">_xll.BDP($B195&amp;" Equity","ivol_mid")</f>
        <v>1109.181</v>
      </c>
      <c r="W195" s="38" cm="1">
        <f t="array" ref="W195">_xll.BDP(B195&amp;" Equity","DELTA_MID_RT")</f>
        <v>0.90913897752761841</v>
      </c>
      <c r="X195" s="48">
        <f>Y195/'Master P&amp;L'!$AE$5</f>
        <v>-1.3200524229361986E-3</v>
      </c>
      <c r="Y195" s="15">
        <f>IF(G195="Sell", S195*W195*-H195*O195/N195, S195*W195*H195*O195/N195)</f>
        <v>-2964884.0335130696</v>
      </c>
      <c r="Z195" s="15" cm="1">
        <f t="array" ref="Z195">_xll.BDP($B195&amp;" Equity","opt_theta")*H195*O195/N195</f>
        <v>0</v>
      </c>
      <c r="AA195" s="19" cm="1">
        <f t="array" ref="AA195">_xll.BDP($B195&amp;" Equity","opt_theta")/I195</f>
        <v>0</v>
      </c>
      <c r="AB195" s="36" t="str" cm="1">
        <f t="array" ref="AB195">_xll.BDP($C195&amp;" Equity","EXPECTED_REPORT_DT")</f>
        <v>17/04/2026</v>
      </c>
      <c r="AC195" s="15">
        <f>S195*H195*O195/N195</f>
        <v>3261200</v>
      </c>
      <c r="AD195" s="19">
        <f>AC195/'Master P&amp;L'!$AE$5</f>
        <v>1.4519808913330823E-3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2289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t="str" cm="1">
        <f t="array" ref="E196">_xll.BDP($B196&amp;" Index","opt_days_expire")</f>
        <v>#N/A N/A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0.01</v>
      </c>
      <c r="J196" s="19">
        <f>I196/S196</f>
        <v>3.0663559425978165E-5</v>
      </c>
      <c r="K196" s="36" t="str" cm="1">
        <f t="array" ref="K196">_xll.BDP($B196&amp;" Equity","bid")</f>
        <v>#N/A N/A</v>
      </c>
      <c r="L196" s="36" cm="1">
        <f t="array" ref="L196">_xll.BDP($B196&amp;" Equity","ask")</f>
        <v>0.01</v>
      </c>
      <c r="M196" s="40" t="e">
        <f>(L196/K196-1)</f>
        <v>#VALUE!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100</v>
      </c>
      <c r="Q196" s="58">
        <f>P196/'Master P&amp;L'!$AD$5*10000</f>
        <v>4.4522902346776712E-4</v>
      </c>
      <c r="R196" s="37" cm="1">
        <f t="array" ref="R196">_xll.BDP($C196&amp;" Equity","EST_PE_NXT_YR")*(T196/S196)</f>
        <v>19.512051276870832</v>
      </c>
      <c r="S196" s="36">
        <f>_xll.BDP(C196&amp;" Equity","LAST_PRICE")</f>
        <v>326.12</v>
      </c>
      <c r="T196" s="53" cm="1">
        <f t="array" ref="T196">_xll.BDP(B196&amp;" Equity","OPT_STRIKE_PX")</f>
        <v>325</v>
      </c>
      <c r="U196" s="40">
        <f>T196/S196-1</f>
        <v>-3.434318655709534E-3</v>
      </c>
      <c r="V196" s="37" cm="1">
        <f t="array" ref="V196">_xll.BDP($B196&amp;" Equity","ivol_mid")</f>
        <v>354.10730000000001</v>
      </c>
      <c r="W196" s="38" cm="1">
        <f t="array" ref="W196">_xll.BDP(B196&amp;" Equity","DELTA_MID_RT")</f>
        <v>-3.8300000596791506E-3</v>
      </c>
      <c r="X196" s="48">
        <f>Y196/'Master P&amp;L'!$AE$5</f>
        <v>-5.5610869004586915E-6</v>
      </c>
      <c r="Y196" s="15">
        <f>IF(G196="Sell", S196*W196*-H196*O196/N196, S196*W196*H196*O196/N196)</f>
        <v>-12490.396194625646</v>
      </c>
      <c r="Z196" s="15" cm="1">
        <f t="array" ref="Z196">_xll.BDP($B196&amp;" Equity","opt_theta")*H196*O196/N196</f>
        <v>0</v>
      </c>
      <c r="AA196" s="19" cm="1">
        <f t="array" ref="AA196">_xll.BDP($B196&amp;" Equity","opt_theta")/I196</f>
        <v>0</v>
      </c>
      <c r="AB196" s="36" t="str" cm="1">
        <f t="array" ref="AB196">_xll.BDP($C196&amp;" Equity","EXPECTED_REPORT_DT")</f>
        <v>17/04/2026</v>
      </c>
      <c r="AC196" s="15">
        <f>S196*H196*O196/N196</f>
        <v>3261200</v>
      </c>
      <c r="AD196" s="19">
        <f>AC196/'Master P&amp;L'!$AE$5</f>
        <v>1.4519808913330823E-3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2291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t="str" cm="1">
        <f t="array" ref="E197">_xll.BDP($B197&amp;" Index","opt_days_expire")</f>
        <v>#N/A N/A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 t="str">
        <f>IF(G197="Buy",L197,K197)</f>
        <v>#N/A N/A</v>
      </c>
      <c r="J197" s="19" t="e">
        <f>I197/S197</f>
        <v>#VALUE!</v>
      </c>
      <c r="K197" s="36" t="str" cm="1">
        <f t="array" ref="K197">_xll.BDP($B197&amp;" Equity","bid")</f>
        <v>#N/A N/A</v>
      </c>
      <c r="L197" s="36" cm="1">
        <f t="array" ref="L197">_xll.BDP($B197&amp;" Equity","ask")</f>
        <v>0.01</v>
      </c>
      <c r="M197" s="40" t="e">
        <f>(L197/K197-1)</f>
        <v>#VALUE!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cm="1">
        <f t="array" ref="R197">_xll.BDP($C197&amp;" Equity","EST_PE_NXT_YR")*(T197/S197)</f>
        <v>18.911680468351729</v>
      </c>
      <c r="S197" s="36" cm="1">
        <f t="array" ref="S197">_xll.BDP(C197&amp;" Equity","LAST_PRICE")</f>
        <v>326.12</v>
      </c>
      <c r="T197" s="53" cm="1">
        <f t="array" ref="T197">_xll.BDP(B197&amp;" Equity","OPT_STRIKE_PX")</f>
        <v>315</v>
      </c>
      <c r="U197" s="40">
        <f>T197/S197-1</f>
        <v>-3.4097878081687738E-2</v>
      </c>
      <c r="V197" s="37" cm="1">
        <f t="array" ref="V197">_xll.BDP($B197&amp;" Equity","ivol_mid")</f>
        <v>541.25260000000003</v>
      </c>
      <c r="W197" s="38" cm="1">
        <f t="array" ref="W197">_xll.BDP(B197&amp;" Equity","DELTA_MID_RT")</f>
        <v>-2.6179999113082886E-3</v>
      </c>
      <c r="X197" s="48">
        <f>Y197/'Master P&amp;L'!$AE$5</f>
        <v>3.8012858447313391E-6</v>
      </c>
      <c r="Y197" s="15">
        <f>IF(G197="Sell", S197*W197*-H197*O197/N197, S197*W197*H197*O197/N197)</f>
        <v>8537.8213107585907</v>
      </c>
      <c r="Z197" s="15" cm="1">
        <f t="array" ref="Z197">_xll.BDP($B197&amp;" Equity","opt_theta")*H197*O197/N197</f>
        <v>0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17/04/2026</v>
      </c>
      <c r="AC197" s="15">
        <f>S197*H197*O197/N197</f>
        <v>3261200</v>
      </c>
      <c r="AD197" s="19">
        <f>AC197/'Master P&amp;L'!$AE$5</f>
        <v>1.4519808913330823E-3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>
        <f>X196+X197+X195</f>
        <v>-1.321812223991926E-3</v>
      </c>
      <c r="AC198" s="100" t="s">
        <v>229</v>
      </c>
      <c r="AD198" s="122">
        <f>AD196</f>
        <v>1.4519808913330823E-3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-7.8</v>
      </c>
      <c r="P199" s="100"/>
      <c r="Q199" s="108"/>
      <c r="S199" s="100"/>
      <c r="T199" s="102"/>
      <c r="W199" s="100"/>
      <c r="X199" s="122"/>
      <c r="Y199" s="13">
        <f>(Y195+Y196+Y197)/S196</f>
        <v>-9103.5097767598945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>
        <f>AD198+X198</f>
        <v>1.3016866734115624E-4</v>
      </c>
    </row>
    <row r="201" spans="1:37">
      <c r="I201" s="64"/>
      <c r="K201" s="64"/>
    </row>
    <row r="202" spans="1:37">
      <c r="H202" s="276">
        <v>1</v>
      </c>
      <c r="I202" s="64">
        <f>I204-I205</f>
        <v>-1</v>
      </c>
      <c r="K202" s="64"/>
      <c r="Q202" s="129" t="e">
        <f>(Q204+Q203)/Q205</f>
        <v>#VALUE!</v>
      </c>
    </row>
    <row r="203" spans="1:37">
      <c r="A203" s="237"/>
      <c r="B203" t="s">
        <v>2304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t="str" cm="1">
        <f t="array" ref="E203">_xll.BDP($B203&amp;" Index","opt_days_expire")</f>
        <v>#N/A N/A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 t="str">
        <f>IF(G203="Buy",L203,K203)</f>
        <v>#N/A N/A</v>
      </c>
      <c r="J203" s="19" t="e">
        <f>I203/S203</f>
        <v>#VALUE!</v>
      </c>
      <c r="K203" s="36" t="str" cm="1">
        <f t="array" ref="K203">_xll.BDP($B203&amp;" Equity","bid")</f>
        <v>#N/A N/A</v>
      </c>
      <c r="L203" s="36" cm="1">
        <f t="array" ref="L203">_xll.BDP($B203&amp;" Equity","ask")</f>
        <v>0.01</v>
      </c>
      <c r="M203" s="40" t="e">
        <f>(L203/K203-1)</f>
        <v>#VALUE!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616.28</v>
      </c>
      <c r="T203" s="53" cm="1">
        <f t="array" ref="T203">_xll.BDP(B203&amp;" Equity","OPT_STRIKE_PX")</f>
        <v>635</v>
      </c>
      <c r="U203" s="40">
        <f>T203/S203-1</f>
        <v>3.0375803206334817E-2</v>
      </c>
      <c r="V203" s="37" cm="1">
        <f t="array" ref="V203">_xll.BDP($B203&amp;" Equity","ivol_mid")</f>
        <v>188.90729999999999</v>
      </c>
      <c r="W203" s="38" cm="1">
        <f t="array" ref="W203">_xll.BDP(B203&amp;" Equity","DELTA_MID_RT")</f>
        <v>3.4509999677538872E-3</v>
      </c>
      <c r="X203" s="48">
        <f>Y203/'Master P&amp;L'!$AE$5</f>
        <v>-1.3256672643271086E-5</v>
      </c>
      <c r="Y203" s="15">
        <f>IF(G203="Sell", S203*W203*-H203*O203/N203, S203*W203*H203*O203/N203)</f>
        <v>-29774.951641783115</v>
      </c>
      <c r="Z203" s="15" cm="1">
        <f t="array" ref="Z203">_xll.BDP($B203&amp;" Equity","opt_theta")*H203*O203/N203</f>
        <v>0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>
        <f>S203*H203*O203/N203</f>
        <v>8627920</v>
      </c>
      <c r="AD203" s="19">
        <f>AC203/'Master P&amp;L'!$AE$5</f>
        <v>3.8414003961580174E-3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2305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t="str" cm="1">
        <f t="array" ref="E204">_xll.BDP($B204&amp;" Index","opt_days_expire")</f>
        <v>#N/A N/A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0.01</v>
      </c>
      <c r="J204" s="19">
        <f>I204/S204</f>
        <v>1.6226390601674564E-5</v>
      </c>
      <c r="K204" s="36" t="str" cm="1">
        <f t="array" ref="K204">_xll.BDP($B204&amp;" Equity","bid")</f>
        <v>#N/A N/A</v>
      </c>
      <c r="L204" s="36" cm="1">
        <f t="array" ref="L204">_xll.BDP($B204&amp;" Equity","ask")</f>
        <v>0.01</v>
      </c>
      <c r="M204" s="40" t="e">
        <f>(L204/K204-1)</f>
        <v>#VALUE!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140</v>
      </c>
      <c r="Q204" s="58">
        <f>P204/'Master P&amp;L'!$AD$5*10000</f>
        <v>6.233206328548741E-4</v>
      </c>
      <c r="R204" s="37" t="e" cm="1">
        <f t="array" ref="R204">_xll.BDP($C204&amp;" Equity","EST_PE_NXT_YR")*(T204/S204)</f>
        <v>#VALUE!</v>
      </c>
      <c r="S204" s="36">
        <f>_xll.BDP(C204&amp;" Equity","LAST_PRICE")</f>
        <v>616.28</v>
      </c>
      <c r="T204" s="53" cm="1">
        <f t="array" ref="T204">_xll.BDP(B204&amp;" Equity","OPT_STRIKE_PX")</f>
        <v>633</v>
      </c>
      <c r="U204" s="40">
        <f>T204/S204-1</f>
        <v>2.713052508599989E-2</v>
      </c>
      <c r="V204" s="37" cm="1">
        <f t="array" ref="V204">_xll.BDP($B204&amp;" Equity","ivol_mid")</f>
        <v>330.947</v>
      </c>
      <c r="W204" s="38" cm="1">
        <f t="array" ref="W204">_xll.BDP(B204&amp;" Equity","DELTA_MID_RT")</f>
        <v>3.9510000497102737E-3</v>
      </c>
      <c r="X204" s="48">
        <f>Y204/'Master P&amp;L'!$AE$5</f>
        <v>1.5177373156177393E-5</v>
      </c>
      <c r="Y204" s="15">
        <f>IF(G204="Sell", S204*W204*-H204*O204/N204, S204*W204*H204*O204/N204)</f>
        <v>34088.912348896265</v>
      </c>
      <c r="Z204" s="15" cm="1">
        <f t="array" ref="Z204">_xll.BDP($B204&amp;" Equity","opt_theta")*H204*O204/N204</f>
        <v>0</v>
      </c>
      <c r="AA204" s="19" cm="1">
        <f t="array" ref="AA204">_xll.BDP($B204&amp;" Equity","opt_theta")/I204</f>
        <v>0</v>
      </c>
      <c r="AB204" s="36" t="str" cm="1">
        <f t="array" ref="AB204">_xll.BDP($C204&amp;" Equity","EXPECTED_REPORT_DT")</f>
        <v>#N/A N/A</v>
      </c>
      <c r="AC204" s="15">
        <f>S204*H204*O204/N204</f>
        <v>8627920</v>
      </c>
      <c r="AD204" s="19">
        <f>AC204/'Master P&amp;L'!$AE$5</f>
        <v>3.8414003961580174E-3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2306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t="str" cm="1">
        <f t="array" ref="E205">_xll.BDP($B205&amp;" Index","opt_days_expire")</f>
        <v>#N/A N/A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1.01</v>
      </c>
      <c r="J205" s="19">
        <f>I205/S205</f>
        <v>1.638865450769131E-3</v>
      </c>
      <c r="K205" s="36" cm="1">
        <f t="array" ref="K205">_xll.BDP($B205&amp;" Equity","bid")</f>
        <v>1.01</v>
      </c>
      <c r="L205" s="36" cm="1">
        <f t="array" ref="L205">_xll.BDP($B205&amp;" Equity","ask")</f>
        <v>1.53</v>
      </c>
      <c r="M205" s="40">
        <f>(L205/K205-1)</f>
        <v>0.51485148514851486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-21210</v>
      </c>
      <c r="Q205" s="58">
        <f>P205/'Master P&amp;L'!$AD$5*10000</f>
        <v>-9.4433075877513414E-2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616.28</v>
      </c>
      <c r="T205" s="53" cm="1">
        <f t="array" ref="T205">_xll.BDP(B205&amp;" Equity","OPT_STRIKE_PX")</f>
        <v>622</v>
      </c>
      <c r="U205" s="40">
        <f>T205/S205-1</f>
        <v>9.2814954241577929E-3</v>
      </c>
      <c r="V205" s="37" cm="1">
        <f t="array" ref="V205">_xll.BDP($B205&amp;" Equity","ivol_mid")</f>
        <v>118.77249999999999</v>
      </c>
      <c r="W205" s="38" cm="1">
        <f t="array" ref="W205">_xll.BDP(B205&amp;" Equity","DELTA_MID_RT")</f>
        <v>-0.77941399812698364</v>
      </c>
      <c r="X205" s="48">
        <f>Y205/'Master P&amp;L'!$AE$5</f>
        <v>4.4910618617641489E-3</v>
      </c>
      <c r="Y205" s="15">
        <f>IF(G205="Sell", S205*W205*-H205*O205/N205, S205*W205*H205*O205/N205)</f>
        <v>10087082.434079647</v>
      </c>
      <c r="Z205" s="15" cm="1">
        <f t="array" ref="Z205">_xll.BDP($B205&amp;" Equity","opt_theta")*H205*O205/N205</f>
        <v>0</v>
      </c>
      <c r="AA205" s="19" cm="1">
        <f t="array" ref="AA205">_xll.BDP($B205&amp;" Equity","opt_theta")/I205</f>
        <v>0</v>
      </c>
      <c r="AB205" s="36" t="str" cm="1">
        <f t="array" ref="AB205">_xll.BDP($C205&amp;" Equity","EXPECTED_REPORT_DT")</f>
        <v>#N/A N/A</v>
      </c>
      <c r="AC205" s="15">
        <f>S205*H205*O205/N205</f>
        <v>12941879.999999998</v>
      </c>
      <c r="AD205" s="19">
        <f>AC205/'Master P&amp;L'!$AE$5</f>
        <v>5.7621005942370259E-3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>
        <f>K205/L204</f>
        <v>101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>
        <f>X204+X205+X203</f>
        <v>4.4929825622770552E-3</v>
      </c>
      <c r="AC206" s="100" t="s">
        <v>229</v>
      </c>
      <c r="AD206" s="122">
        <f>AD204</f>
        <v>3.8414003961580174E-3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-1.27</v>
      </c>
      <c r="P207" s="100"/>
      <c r="Q207" s="108"/>
      <c r="S207" s="100"/>
      <c r="T207" s="102"/>
      <c r="W207" s="100"/>
      <c r="X207" s="122"/>
      <c r="Y207" s="13">
        <f>(Y203+Y204+Y205)/S204</f>
        <v>16374.693961814046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8.3343829584350722E-3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-4.91</v>
      </c>
      <c r="K210" s="129"/>
      <c r="W210" s="50">
        <f>W212-W211+W214-W213</f>
        <v>0.7355610579252243</v>
      </c>
    </row>
    <row r="211" spans="1:37">
      <c r="A211" s="237">
        <v>9</v>
      </c>
      <c r="B211" t="s">
        <v>2347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2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0.14000000000000001</v>
      </c>
      <c r="J211" s="19">
        <f>I211/S211</f>
        <v>2.2716946842344393E-4</v>
      </c>
      <c r="K211" s="36" cm="1">
        <f t="array" ref="K211">_xll.BDP($B211&amp;" Equity","bid")</f>
        <v>0.13</v>
      </c>
      <c r="L211" s="36" cm="1">
        <f t="array" ref="L211">_xll.BDP($B211&amp;" Equity","ask")</f>
        <v>0.14000000000000001</v>
      </c>
      <c r="M211" s="40">
        <f>(L211/K211-1)</f>
        <v>7.6923076923077094E-2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2800.0000000000005</v>
      </c>
      <c r="Q211" s="58">
        <f>P211/'Master P&amp;L'!$AD$5*10000</f>
        <v>1.2466412657097484E-2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616.28</v>
      </c>
      <c r="T211" s="53" cm="1">
        <f t="array" ref="T211">_xll.BDP(B211&amp;" Equity","OPT_STRIKE_PX")</f>
        <v>630</v>
      </c>
      <c r="U211" s="40">
        <f>T211/S211-1</f>
        <v>2.22626079054975E-2</v>
      </c>
      <c r="V211" s="37" cm="1">
        <f t="array" ref="V211">_xll.BDP($B211&amp;" Equity","ivol_mid")</f>
        <v>14.699199999999999</v>
      </c>
      <c r="W211" s="38" cm="1">
        <f t="array" ref="W211">_xll.BDP(B211&amp;" Equity","DELTA_MID_RT")</f>
        <v>4.2717419564723969E-2</v>
      </c>
      <c r="X211" s="48">
        <f>Y211/'Master P&amp;L'!$AE$5</f>
        <v>2.3442101776968415E-4</v>
      </c>
      <c r="Y211" s="15">
        <f>IF(G211="Sell", S211*W211*-H211*O211/N211, S211*W211*H211*O211/N211)</f>
        <v>526517.82658696175</v>
      </c>
      <c r="Z211" s="15" cm="1">
        <f t="array" ref="Z211">_xll.BDP($B211&amp;" Equity","opt_theta")*H211*O211/N211</f>
        <v>-4421.6000000000004</v>
      </c>
      <c r="AA211" s="19" cm="1">
        <f t="array" ref="AA211">_xll.BDP($B211&amp;" Equity","opt_theta")/I211</f>
        <v>-1.579142857142857</v>
      </c>
      <c r="AB211" s="36" t="str" cm="1">
        <f t="array" ref="AB211">_xll.BDP($C211&amp;" Equity","EXPECTED_REPORT_DT")</f>
        <v>#N/A N/A</v>
      </c>
      <c r="AC211" s="15">
        <f>S211*H211*O211/N211</f>
        <v>12325600</v>
      </c>
      <c r="AD211" s="19">
        <f>AC211/'Master P&amp;L'!$AE$5</f>
        <v>5.4877148516543107E-3</v>
      </c>
      <c r="AE211" t="s">
        <v>1877</v>
      </c>
      <c r="AK211" t="s">
        <v>1791</v>
      </c>
    </row>
    <row r="212" spans="1:37">
      <c r="A212" s="237">
        <v>3</v>
      </c>
      <c r="B212" t="s">
        <v>2343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2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0.36</v>
      </c>
      <c r="J212" s="19">
        <f>I212/S212</f>
        <v>5.8415006166028427E-4</v>
      </c>
      <c r="K212" s="36" cm="1">
        <f t="array" ref="K212">_xll.BDP($B212&amp;" Equity","bid")</f>
        <v>0.36</v>
      </c>
      <c r="L212" s="36" cm="1">
        <f t="array" ref="L212">_xll.BDP($B212&amp;" Equity","ask")</f>
        <v>0.37</v>
      </c>
      <c r="M212" s="40">
        <f>(L212/K212-1)</f>
        <v>2.7777777777777901E-2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-7200</v>
      </c>
      <c r="Q212" s="58">
        <f>P212/'Master P&amp;L'!$AD$5*10000</f>
        <v>-3.2056489689679238E-2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616.28</v>
      </c>
      <c r="T212" s="53" cm="1">
        <f t="array" ref="T212">_xll.BDP(B212&amp;" Equity","OPT_STRIKE_PX")</f>
        <v>627</v>
      </c>
      <c r="U212" s="40">
        <f>T212/S212-1</f>
        <v>1.739469072499511E-2</v>
      </c>
      <c r="V212" s="37" cm="1">
        <f t="array" ref="V212">_xll.BDP($B212&amp;" Equity","ivol_mid")</f>
        <v>14.89659</v>
      </c>
      <c r="W212" s="38" cm="1">
        <f t="array" ref="W212">_xll.BDP(B212&amp;" Equity","DELTA_MID_RT")</f>
        <v>9.6964187920093536E-2</v>
      </c>
      <c r="X212" s="48">
        <f>Y212/'Master P&amp;L'!$AE$5</f>
        <v>-5.3211181412769683E-4</v>
      </c>
      <c r="Y212" s="15">
        <f>IF(G212="Sell", S212*W212*-H212*O212/N212, S212*W212*H212*O212/N212)</f>
        <v>-1195141.7946279049</v>
      </c>
      <c r="Z212" s="15" cm="1">
        <f t="array" ref="Z212">_xll.BDP($B212&amp;" Equity","opt_theta")*H212*O212/N212</f>
        <v>-7407.7400000000016</v>
      </c>
      <c r="AA212" s="19" cm="1">
        <f t="array" ref="AA212">_xll.BDP($B212&amp;" Equity","opt_theta")/I212</f>
        <v>-1.0288527777777778</v>
      </c>
      <c r="AB212" s="36" t="str" cm="1">
        <f t="array" ref="AB212">_xll.BDP($C212&amp;" Equity","EXPECTED_REPORT_DT")</f>
        <v>#N/A N/A</v>
      </c>
      <c r="AC212" s="15">
        <f>S212*H212*O212/N212</f>
        <v>12325600</v>
      </c>
      <c r="AD212" s="48">
        <f>AC212/'Master P&amp;L'!$AE$5</f>
        <v>5.4877148516543107E-3</v>
      </c>
      <c r="AE212" t="s">
        <v>1878</v>
      </c>
      <c r="AK212" t="s">
        <v>1792</v>
      </c>
    </row>
    <row r="213" spans="1:37">
      <c r="A213" s="237">
        <v>20</v>
      </c>
      <c r="B213" t="s">
        <v>2349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2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5.13</v>
      </c>
      <c r="J213" s="19">
        <f>I213/S213</f>
        <v>8.3241383786590521E-3</v>
      </c>
      <c r="K213" s="36" cm="1">
        <f t="array" ref="K213">_xll.BDP($B213&amp;" Equity","bid")</f>
        <v>5.0999999999999996</v>
      </c>
      <c r="L213" s="36" cm="1">
        <f t="array" ref="L213">_xll.BDP($B213&amp;" Equity","ask")</f>
        <v>5.13</v>
      </c>
      <c r="M213" s="40">
        <f>(L213/K213-1)</f>
        <v>5.8823529411764497E-3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102600</v>
      </c>
      <c r="Q213" s="58">
        <f>P213/'Master P&amp;L'!$AD$5*10000</f>
        <v>0.45680497807792908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616.28</v>
      </c>
      <c r="T213" s="53" cm="1">
        <f t="array" ref="T213">_xll.BDP(B213&amp;" Equity","OPT_STRIKE_PX")</f>
        <v>620</v>
      </c>
      <c r="U213" s="40">
        <f>T213/S213-1</f>
        <v>6.0362173038230882E-3</v>
      </c>
      <c r="V213" s="37" cm="1">
        <f t="array" ref="V213">_xll.BDP(B213&amp;" Equity","ivol_mid")</f>
        <v>15.43633</v>
      </c>
      <c r="W213" s="38" cm="1">
        <f t="array" ref="W213">_xll.BDP(B213&amp;" Equity","DELTA_MID_RT")</f>
        <v>-0.68131428956985474</v>
      </c>
      <c r="X213" s="48">
        <f>Y213/'Master P&amp;L'!$AE$5</f>
        <v>-3.7388585455167974E-3</v>
      </c>
      <c r="Y213" s="15">
        <f>IF(G213="Sell", S213*W213*-H213*O213/N213, S213*W213*H213*O213/N213)</f>
        <v>-8397607.4075222015</v>
      </c>
      <c r="Z213" s="15" cm="1">
        <f t="array" ref="Z213">_xll.BDP($B213&amp;" Equity","opt_theta")*H213*O213/N213</f>
        <v>-12805.92</v>
      </c>
      <c r="AA213" s="19" cm="1">
        <f t="array" ref="AA213">_xll.BDP($B213&amp;" Equity","opt_theta")/I213</f>
        <v>-0.12481403508771929</v>
      </c>
      <c r="AB213" s="36" t="str" cm="1">
        <f t="array" ref="AB213">_xll.BDP($C213&amp;" Equity","EXPECTED_REPORT_DT")</f>
        <v>#N/A N/A</v>
      </c>
      <c r="AC213" s="15">
        <f>S213*H213*O213/N213</f>
        <v>12325600</v>
      </c>
      <c r="AD213" s="19">
        <f>AC213/'Master P&amp;L'!$AE$5</f>
        <v>5.4877148516543107E-3</v>
      </c>
      <c r="AE213" t="s">
        <v>1879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-4.9099999999999993</v>
      </c>
      <c r="J215" s="100" t="s">
        <v>249</v>
      </c>
      <c r="K215" s="101">
        <f>K214/L212</f>
        <v>0</v>
      </c>
      <c r="P215" s="130">
        <f>P212+P214+P211+P213</f>
        <v>98200</v>
      </c>
      <c r="Q215" s="58">
        <f>P215/'Master P&amp;L'!$AD$5*10000</f>
        <v>0.43721490104534733</v>
      </c>
      <c r="S215" s="100" t="s">
        <v>251</v>
      </c>
      <c r="T215" s="102"/>
      <c r="W215" s="100" t="s">
        <v>252</v>
      </c>
      <c r="X215" s="122">
        <f>X212+X214+X211+X213</f>
        <v>-4.0365493418748101E-3</v>
      </c>
      <c r="AC215" s="100" t="s">
        <v>229</v>
      </c>
      <c r="AD215" s="122">
        <f>AD212</f>
        <v>5.4877148516543107E-3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-1084.9353671073914</v>
      </c>
      <c r="AC216" s="100"/>
      <c r="AD216" s="104"/>
    </row>
    <row r="217" spans="1:37">
      <c r="C217">
        <f>H211*(T211-T212)*100+P215</f>
        <v>158200</v>
      </c>
      <c r="D217" s="64"/>
      <c r="H217" s="96"/>
      <c r="I217" s="64">
        <f>I212-I211</f>
        <v>0.21999999999999997</v>
      </c>
      <c r="K217" s="64">
        <f>(I211/25*A211)+(I212/25*A212)-(I214/25*A214)</f>
        <v>9.3600000000000017E-2</v>
      </c>
      <c r="N217" s="36"/>
      <c r="O217" s="162"/>
      <c r="P217" s="15"/>
      <c r="Q217" s="58"/>
    </row>
    <row r="218" spans="1:37">
      <c r="I218" s="64">
        <f>I213-I214</f>
        <v>5.13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23.31818181818182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</v>
      </c>
      <c r="J221" s="64">
        <f>I224-I225</f>
        <v>9.9499999999999993</v>
      </c>
      <c r="K221" s="129"/>
      <c r="W221" s="50">
        <f>W223-W222+W225-W224</f>
        <v>0.29743286967277527</v>
      </c>
    </row>
    <row r="222" spans="1:37">
      <c r="A222" s="237">
        <v>9</v>
      </c>
      <c r="B222" s="59" t="s">
        <v>2122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148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17.25</v>
      </c>
      <c r="J222" s="19">
        <f>I222/S222</f>
        <v>5.2463503649635035E-2</v>
      </c>
      <c r="K222" s="36" cm="1">
        <f t="array" ref="K222">_xll.BDP($B222&amp;" Equity","bid")</f>
        <v>17.25</v>
      </c>
      <c r="L222" s="36" cm="1">
        <f t="array" ref="L222">_xll.BDP($B222&amp;" Equity","ask")</f>
        <v>17.600000000000001</v>
      </c>
      <c r="M222" s="40">
        <f>(L222/K222-1)</f>
        <v>2.0289855072463947E-2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-86250</v>
      </c>
      <c r="Q222" s="58">
        <f>P222/'Master P&amp;L'!$AD$5*10000</f>
        <v>-0.38401003274094919</v>
      </c>
      <c r="R222" s="37" cm="1">
        <f t="array" ref="R222">_xll.BDP($C222&amp;" Equity","EST_PE_NXT_YR")*(T222/S222)</f>
        <v>29.354120996610789</v>
      </c>
      <c r="S222" s="36" cm="1">
        <f t="array" ref="S222">_xll.BDP(C222&amp;" Equity","LAST_PRICE")</f>
        <v>328.8</v>
      </c>
      <c r="T222" s="53" cm="1">
        <f t="array" ref="T222">_xll.BDP(B222&amp;" Equity","OPT_STRIKE_PX")</f>
        <v>410</v>
      </c>
      <c r="U222" s="40">
        <f>T222/S222-1</f>
        <v>0.24695863746958624</v>
      </c>
      <c r="V222" s="37" cm="1">
        <f t="array" ref="V222">_xll.BDP($B222&amp;" Equity","ivol_mid")</f>
        <v>49.131450000000001</v>
      </c>
      <c r="W222" s="38" cm="1">
        <f t="array" ref="W222">_xll.BDP(B222&amp;" Equity","DELTA_MID_RT")</f>
        <v>0.30779892206192017</v>
      </c>
      <c r="X222" s="48">
        <f>Y222/'Master P&amp;L'!$AE$5</f>
        <v>-2.2529542618423477E-4</v>
      </c>
      <c r="Y222" s="15">
        <f>IF(G222="Sell", S222*W222*-H222*O222/N222, S222*W222*H222*O222/N222)</f>
        <v>-506021.42786979675</v>
      </c>
      <c r="Z222" s="15" cm="1">
        <f t="array" ref="Z222">_xll.BDP($B222&amp;" Equity","opt_theta")*H222*O222/N222</f>
        <v>-604.39</v>
      </c>
      <c r="AA222" s="19" cm="1">
        <f t="array" ref="AA222">_xll.BDP($B222&amp;" Equity","opt_theta")/I222</f>
        <v>-7.0074202898550726E-3</v>
      </c>
      <c r="AB222" s="36" t="str" cm="1">
        <f t="array" ref="AB222">_xll.BDP($C222&amp;" Equity","EXPECTED_REPORT_DT")</f>
        <v>06/03/2026</v>
      </c>
      <c r="AC222" s="15">
        <f>S222*H222*O222/N222</f>
        <v>1644000</v>
      </c>
      <c r="AD222" s="19">
        <f>AC222/'Master P&amp;L'!$AE$5</f>
        <v>7.3195651458100917E-4</v>
      </c>
      <c r="AE222" t="s">
        <v>1877</v>
      </c>
      <c r="AK222" t="s">
        <v>1791</v>
      </c>
    </row>
    <row r="223" spans="1:37">
      <c r="A223" s="237">
        <v>3</v>
      </c>
      <c r="B223" s="59" t="s">
        <v>2120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148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35.25</v>
      </c>
      <c r="J223" s="19">
        <f>I223/S223</f>
        <v>0.10720802919708029</v>
      </c>
      <c r="K223" s="36" cm="1">
        <f t="array" ref="K223">_xll.BDP($B223&amp;" Equity","bid")</f>
        <v>34.799999999999997</v>
      </c>
      <c r="L223" s="36" cm="1">
        <f t="array" ref="L223">_xll.BDP($B223&amp;" Equity","ask")</f>
        <v>35.25</v>
      </c>
      <c r="M223" s="40">
        <f>(L223/K223-1)</f>
        <v>1.2931034482758674E-2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176250</v>
      </c>
      <c r="Q223" s="58">
        <f>P223/'Master P&amp;L'!$AD$5*10000</f>
        <v>0.7847161538619396</v>
      </c>
      <c r="R223" s="37" cm="1">
        <f t="array" ref="R223">_xll.BDP($C223&amp;" Equity","EST_PE_NXT_YR")*(T223/S223)</f>
        <v>25.058395972716529</v>
      </c>
      <c r="S223" s="36" cm="1">
        <f t="array" ref="S223">_xll.BDP(C223&amp;" Equity","LAST_PRICE")</f>
        <v>328.8</v>
      </c>
      <c r="T223" s="53" cm="1">
        <f t="array" ref="T223">_xll.BDP(B223&amp;" Equity","OPT_STRIKE_PX")</f>
        <v>350</v>
      </c>
      <c r="U223" s="40">
        <f>T223/S223-1</f>
        <v>6.4476885644768833E-2</v>
      </c>
      <c r="V223" s="37" cm="1">
        <f t="array" ref="V223">_xll.BDP($B223&amp;" Equity","ivol_mid")</f>
        <v>50.024520000000003</v>
      </c>
      <c r="W223" s="38" cm="1">
        <f t="array" ref="W223">_xll.BDP(B223&amp;" Equity","DELTA_MID_RT")</f>
        <v>0.50302809476852417</v>
      </c>
      <c r="X223" s="48">
        <f>Y223/'Master P&amp;L'!$AE$5</f>
        <v>3.6819469098309455E-4</v>
      </c>
      <c r="Y223" s="15">
        <f>IF(G223="Sell", S223*W223*-H223*O223/N223, S223*W223*H223*O223/N223)</f>
        <v>826978.18779945374</v>
      </c>
      <c r="Z223" s="15" cm="1">
        <f t="array" ref="Z223">_xll.BDP($B223&amp;" Equity","opt_theta")*H223*O223/N223</f>
        <v>-687.66</v>
      </c>
      <c r="AA223" s="19" cm="1">
        <f t="array" ref="AA223">_xll.BDP($B223&amp;" Equity","opt_theta")/I223</f>
        <v>-3.9016170212765955E-3</v>
      </c>
      <c r="AB223" s="36" t="str" cm="1">
        <f t="array" ref="AB223">_xll.BDP($C223&amp;" Equity","EXPECTED_REPORT_DT")</f>
        <v>06/03/2026</v>
      </c>
      <c r="AC223" s="15">
        <f>S223*H223*O223/N223</f>
        <v>1644000</v>
      </c>
      <c r="AD223" s="48">
        <f>AC223/'Master P&amp;L'!$AE$5</f>
        <v>7.3195651458100917E-4</v>
      </c>
      <c r="AE223" t="s">
        <v>1878</v>
      </c>
      <c r="AK223" t="s">
        <v>1792</v>
      </c>
    </row>
    <row r="224" spans="1:37">
      <c r="A224" s="237"/>
      <c r="B224" s="59" t="s">
        <v>2119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148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25.9</v>
      </c>
      <c r="J224" s="19">
        <f>I224/S224</f>
        <v>7.8771289537712882E-2</v>
      </c>
      <c r="K224" s="36" cm="1">
        <f t="array" ref="K224">_xll.BDP($B224&amp;" Equity","bid")</f>
        <v>25.9</v>
      </c>
      <c r="L224" s="36" cm="1">
        <f t="array" ref="L224">_xll.BDP($B224&amp;" Equity","ask")</f>
        <v>26.3</v>
      </c>
      <c r="M224" s="40">
        <f>(L224/K224-1)</f>
        <v>1.5444015444015635E-2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-129500</v>
      </c>
      <c r="Q224" s="58">
        <f>P224/'Master P&amp;L'!$AD$5*10000</f>
        <v>-0.57657158539075848</v>
      </c>
      <c r="R224" s="37" cm="1">
        <f t="array" ref="R224">_xll.BDP($C224&amp;" Equity","EST_PE_NXT_YR")*(T224/S224)</f>
        <v>21.478625119471314</v>
      </c>
      <c r="S224" s="36" cm="1">
        <f t="array" ref="S224">_xll.BDP(C224&amp;" Equity","LAST_PRICE")</f>
        <v>328.8</v>
      </c>
      <c r="T224" s="53" cm="1">
        <f t="array" ref="T224">_xll.BDP(B224&amp;" Equity","OPT_STRIKE_PX")</f>
        <v>300</v>
      </c>
      <c r="U224" s="40">
        <f>T224/S224-1</f>
        <v>-8.7591240875912413E-2</v>
      </c>
      <c r="V224" s="37" cm="1">
        <f t="array" ref="V224">_xll.BDP(B224&amp;" Equity","ivol_mid")</f>
        <v>51.037909999999997</v>
      </c>
      <c r="W224" s="38" cm="1">
        <f t="array" ref="W224">_xll.BDP(B224&amp;" Equity","DELTA_MID_RT")</f>
        <v>-0.31507167220115662</v>
      </c>
      <c r="X224" s="48">
        <f>Y224/'Master P&amp;L'!$AE$5</f>
        <v>2.3061876302756884E-4</v>
      </c>
      <c r="Y224" s="15">
        <f>IF(G224="Sell", S224*W224*-H224*O224/N224, S224*W224*H224*O224/N224)</f>
        <v>517977.82909870148</v>
      </c>
      <c r="Z224" s="15" cm="1">
        <f t="array" ref="Z224">_xll.BDP($B224&amp;" Equity","opt_theta")*H224*O224/N224</f>
        <v>-634.42999999999995</v>
      </c>
      <c r="AA224" s="19" cm="1">
        <f t="array" ref="AA224">_xll.BDP($B224&amp;" Equity","opt_theta")/I224</f>
        <v>-4.899073359073359E-3</v>
      </c>
      <c r="AB224" s="36" t="str" cm="1">
        <f t="array" ref="AB224">_xll.BDP($C224&amp;" Equity","EXPECTED_REPORT_DT")</f>
        <v>06/03/2026</v>
      </c>
      <c r="AC224" s="15">
        <f>S224*H224*O224/N224</f>
        <v>1644000</v>
      </c>
      <c r="AD224" s="19">
        <f>AC224/'Master P&amp;L'!$AE$5</f>
        <v>7.3195651458100917E-4</v>
      </c>
      <c r="AE224" t="s">
        <v>1879</v>
      </c>
      <c r="AK224" t="s">
        <v>1793</v>
      </c>
    </row>
    <row r="225" spans="1:37">
      <c r="A225" s="237"/>
      <c r="B225" s="59" t="s">
        <v>2121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148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15.95</v>
      </c>
      <c r="J225" s="19">
        <f>I225/S225</f>
        <v>4.850973236009732E-2</v>
      </c>
      <c r="K225" s="36" cm="1">
        <f t="array" ref="K225">_xll.BDP($B225&amp;" Equity","bid")</f>
        <v>15.45</v>
      </c>
      <c r="L225" s="36" cm="1">
        <f t="array" ref="L225">_xll.BDP($B225&amp;" Equity","ask")</f>
        <v>15.95</v>
      </c>
      <c r="M225" s="40">
        <f>(L225/K225-1)</f>
        <v>3.2362459546925626E-2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79750</v>
      </c>
      <c r="Q225" s="58">
        <f>P225/'Master P&amp;L'!$AD$5*10000</f>
        <v>0.35507014621554434</v>
      </c>
      <c r="R225" s="37" cm="1">
        <f t="array" ref="R225">_xll.BDP($C225&amp;" Equity","EST_PE_NXT_YR")*(T225/S225)</f>
        <v>19.330762607524179</v>
      </c>
      <c r="S225" s="36" cm="1">
        <f t="array" ref="S225">_xll.BDP(C225&amp;" Equity","LAST_PRICE")</f>
        <v>328.8</v>
      </c>
      <c r="T225" s="53" cm="1">
        <f t="array" ref="T225">_xll.BDP(B225&amp;" Equity","OPT_STRIKE_PX")</f>
        <v>270</v>
      </c>
      <c r="U225" s="40">
        <f>T225/S225-1</f>
        <v>-0.17883211678832123</v>
      </c>
      <c r="V225" s="37" cm="1">
        <f t="array" ref="V225">_xll.BDP(B225&amp;" Equity","ivol_mid")</f>
        <v>52.527059999999999</v>
      </c>
      <c r="W225" s="38" cm="1">
        <f t="array" ref="W225">_xll.BDP(B225&amp;" Equity","DELTA_MID_RT")</f>
        <v>-0.21286797523498535</v>
      </c>
      <c r="X225" s="48">
        <f>Y225/'Master P&amp;L'!$AE$5</f>
        <v>-1.5581010121891648E-4</v>
      </c>
      <c r="Y225" s="15">
        <f>IF(G225="Sell", S225*W225*-H225*O225/N225, S225*W225*H225*O225/N225)</f>
        <v>-349954.95128631598</v>
      </c>
      <c r="Z225" s="15" cm="1">
        <f t="array" ref="Z225">_xll.BDP($B225&amp;" Equity","opt_theta")*H225*O225/N225</f>
        <v>-530.505</v>
      </c>
      <c r="AA225" s="19" cm="1">
        <f t="array" ref="AA225">_xll.BDP($B225&amp;" Equity","opt_theta")/I225</f>
        <v>-6.6521003134796244E-3</v>
      </c>
      <c r="AB225" s="36" t="str" cm="1">
        <f t="array" ref="AB225">_xll.BDP($C225&amp;" Equity","EXPECTED_REPORT_DT")</f>
        <v>06/03/2026</v>
      </c>
      <c r="AC225" s="15">
        <f>S225*H225*O225/N225</f>
        <v>1644000</v>
      </c>
      <c r="AD225" s="19">
        <f>AC225/'Master P&amp;L'!$AE$5</f>
        <v>7.3195651458100917E-4</v>
      </c>
      <c r="AE225" t="s">
        <v>1879</v>
      </c>
      <c r="AK225" t="s">
        <v>1793</v>
      </c>
    </row>
    <row r="226" spans="1:37">
      <c r="H226" s="100" t="s">
        <v>116</v>
      </c>
      <c r="I226" s="102">
        <f>I223+I225-I224-I222</f>
        <v>8.0500000000000043</v>
      </c>
      <c r="J226" s="100" t="s">
        <v>249</v>
      </c>
      <c r="K226" s="101">
        <f>K225/L223</f>
        <v>0.4382978723404255</v>
      </c>
      <c r="P226" s="130">
        <f>P223+P225+P222+P224</f>
        <v>40250</v>
      </c>
      <c r="Q226" s="58">
        <f>P226/'Master P&amp;L'!$AD$5*10000</f>
        <v>0.1792046819457763</v>
      </c>
      <c r="S226" s="100" t="s">
        <v>251</v>
      </c>
      <c r="T226" s="102"/>
      <c r="W226" s="100" t="s">
        <v>252</v>
      </c>
      <c r="X226" s="122">
        <f>X223+X225+X222+X224</f>
        <v>2.1770792660751214E-4</v>
      </c>
      <c r="AC226" s="100" t="s">
        <v>229</v>
      </c>
      <c r="AD226" s="122">
        <f>AD223</f>
        <v>7.3195651458100917E-4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7.1999999999999957</v>
      </c>
      <c r="P227" s="100"/>
      <c r="Q227" s="108"/>
      <c r="S227" s="100"/>
      <c r="T227" s="102"/>
      <c r="W227" s="100"/>
      <c r="X227" s="122"/>
      <c r="Y227" s="13">
        <f>(Y222+Y223+Y224)/S223</f>
        <v>2551.5042245388031</v>
      </c>
      <c r="AC227" s="100"/>
      <c r="AD227" s="104"/>
    </row>
    <row r="228" spans="1:37">
      <c r="D228" s="64"/>
      <c r="H228" s="96"/>
      <c r="I228" s="64">
        <f>I223-I222</f>
        <v>18</v>
      </c>
      <c r="K228" s="64">
        <f>(I222/25*A222)+(I223/25*A223)-(I225/25*A225)</f>
        <v>10.439999999999998</v>
      </c>
      <c r="N228" s="36"/>
      <c r="O228" s="162"/>
      <c r="P228" s="15"/>
      <c r="Q228" s="58"/>
    </row>
    <row r="229" spans="1:37">
      <c r="I229" s="64">
        <f>I224-I225</f>
        <v>9.9499999999999993</v>
      </c>
      <c r="K229">
        <v>11.59</v>
      </c>
      <c r="M229" s="267">
        <f>(I226-K227)*500*100</f>
        <v>42500.000000000429</v>
      </c>
      <c r="P229">
        <v>-7500</v>
      </c>
      <c r="S229">
        <v>521.79999999999995</v>
      </c>
    </row>
    <row r="230" spans="1:37">
      <c r="I230" s="40">
        <f>I229/I228</f>
        <v>0.5527777777777777</v>
      </c>
    </row>
    <row r="231" spans="1:37">
      <c r="I231" s="64"/>
    </row>
    <row r="232" spans="1:37">
      <c r="I232" s="64"/>
    </row>
    <row r="233" spans="1:37">
      <c r="A233" s="460">
        <f>P233/Y233</f>
        <v>0.18301772227452273</v>
      </c>
      <c r="B233" s="59" t="s">
        <v>2326</v>
      </c>
      <c r="C233" t="str" cm="1">
        <f t="array" ref="C233">_xll.BDP(B233&amp;" Equity","OPT_UNDL_TICKER")</f>
        <v>META US</v>
      </c>
      <c r="D233" s="43">
        <f>J233+U233</f>
        <v>0.11377577655964492</v>
      </c>
      <c r="E233" cm="1">
        <f t="array" ref="E233">_xll.BDP($B233&amp;" Index","opt_days_expire")</f>
        <v>177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62.7</v>
      </c>
      <c r="J233" s="19">
        <f>I233/S233</f>
        <v>0.10229052466718873</v>
      </c>
      <c r="K233" s="36" cm="1">
        <f t="array" ref="K233">_xll.BDP($B233&amp;" Equity","bid")</f>
        <v>62.35</v>
      </c>
      <c r="L233" s="36" cm="1">
        <f t="array" ref="L233">_xll.BDP($B233&amp;" Equity","ask")</f>
        <v>62.7</v>
      </c>
      <c r="M233" s="40">
        <f>(L233/K233-1)</f>
        <v>5.6134723336007664E-3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250800</v>
      </c>
      <c r="Q233" s="58">
        <f>P233/'Master P&amp;L'!$AD$5*10000</f>
        <v>1.1166343908571601</v>
      </c>
      <c r="R233" s="37" cm="1">
        <f t="array" ref="R233">_xll.BDP($C233&amp;" Equity","EST_PE_NXT_YR")*(T233/S233)</f>
        <v>18.42252243009235</v>
      </c>
      <c r="S233" s="36" cm="1">
        <f t="array" ref="S233">_xll.BDP(C233&amp;" Equity","LAST_PRICE")</f>
        <v>612.96</v>
      </c>
      <c r="T233" s="53" cm="1">
        <f t="array" ref="T233">_xll.BDP(B233&amp;" Equity","OPT_STRIKE_PX")</f>
        <v>620</v>
      </c>
      <c r="U233" s="40">
        <f>T233/S233-1</f>
        <v>1.1485251892456194E-2</v>
      </c>
      <c r="V233" s="37" cm="1">
        <f t="array" ref="V233">_xll.BDP($B233&amp;" Equity","ivol_mid")</f>
        <v>36.02908</v>
      </c>
      <c r="W233" s="38" cm="1">
        <f t="array" ref="W233">_xll.BDP(B233&amp;" Equity","DELTA_MID_RT")</f>
        <v>0.55891048908233643</v>
      </c>
      <c r="X233" s="48">
        <f>Y233/'Master P&amp;L'!$AE$5</f>
        <v>6.1012364102216933E-4</v>
      </c>
      <c r="Y233" s="15">
        <f>IF(G233="Sell", S233*W233*-H233*O233/N233, S233*W233*H233*O233/N233)</f>
        <v>1370359.0935516357</v>
      </c>
      <c r="Z233" s="15" cm="1">
        <f t="array" ref="Z233">_xll.BDP($B233&amp;" Equity","opt_theta")*H233*O233/N233</f>
        <v>-661.928</v>
      </c>
      <c r="AA233" s="19" cm="1">
        <f t="array" ref="AA233">_xll.BDP($B233&amp;" Equity","opt_theta")/I233</f>
        <v>-2.6392663476874001E-3</v>
      </c>
      <c r="AB233" s="36" t="str" cm="1">
        <f t="array" ref="AB233">_xll.BDP($C233&amp;" Equity","EXPECTED_REPORT_DT")</f>
        <v>28/01/2026</v>
      </c>
      <c r="AC233" s="15">
        <f>S233*H233*O233/N233</f>
        <v>2451840</v>
      </c>
      <c r="AD233" s="48">
        <f>AC233/'Master P&amp;L'!$AE$5</f>
        <v>1.0916303288992103E-3</v>
      </c>
      <c r="AE233" t="str">
        <f>B233&amp;" -&gt; Buy to open "&amp;H233&amp;"x"</f>
        <v>META US 07/17/26 C620 -&gt; Buy to open 40x</v>
      </c>
    </row>
    <row r="234" spans="1:37">
      <c r="A234" s="460">
        <f t="shared" ref="A234:A235" si="0">P234/Y234</f>
        <v>0.1831808533704356</v>
      </c>
      <c r="B234" s="59" t="s">
        <v>2344</v>
      </c>
      <c r="C234" t="str" cm="1">
        <f t="array" ref="C234">_xll.BDP(B234&amp;" Equity","OPT_UNDL_TICKER")</f>
        <v>AMZN US</v>
      </c>
      <c r="D234" s="43">
        <f>J234+U234</f>
        <v>0.10159965412883691</v>
      </c>
      <c r="E234" cm="1">
        <f t="array" ref="E234">_xll.BDP($B234&amp;" Index","opt_days_expire")</f>
        <v>177</v>
      </c>
      <c r="F234" t="str" cm="1">
        <f t="array" ref="F234">_xll.BDP(B234&amp;" Equity","QUOTED_CURRENCY_REALTIME")</f>
        <v>USD</v>
      </c>
      <c r="G234" s="105" t="s">
        <v>247</v>
      </c>
      <c r="H234" s="131">
        <v>100</v>
      </c>
      <c r="I234" s="97">
        <f>IF(G234="Buy",L234,K234)</f>
        <v>24.8</v>
      </c>
      <c r="J234" s="19">
        <f>I234/S234</f>
        <v>0.10722006052745352</v>
      </c>
      <c r="K234" s="36" cm="1">
        <f t="array" ref="K234">_xll.BDP($B234&amp;" Equity","bid")</f>
        <v>24.6</v>
      </c>
      <c r="L234" s="36" cm="1">
        <f t="array" ref="L234">_xll.BDP($B234&amp;" Equity","ask")</f>
        <v>24.8</v>
      </c>
      <c r="M234" s="40">
        <f>(L234/K234-1)</f>
        <v>8.1300813008129413E-3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248000</v>
      </c>
      <c r="Q234" s="58">
        <f>P234/'Master P&amp;L'!$AD$5*10000</f>
        <v>1.1041679782000624</v>
      </c>
      <c r="R234" s="37" cm="1">
        <f t="array" ref="R234">_xll.BDP($C234&amp;" Equity","EST_PE_NXT_YR")*(T234/S234)</f>
        <v>24.728200992875962</v>
      </c>
      <c r="S234" s="36" cm="1">
        <f t="array" ref="S234">_xll.BDP(C234&amp;" Equity","LAST_PRICE")</f>
        <v>231.3</v>
      </c>
      <c r="T234" s="53" cm="1">
        <f t="array" ref="T234">_xll.BDP(B234&amp;" Equity","OPT_STRIKE_PX")</f>
        <v>230</v>
      </c>
      <c r="U234" s="40">
        <f>T234/S234-1</f>
        <v>-5.6204063986166064E-3</v>
      </c>
      <c r="V234" s="37" cm="1">
        <f t="array" ref="V234">_xll.BDP(B234&amp;" Equity","ivol_mid")</f>
        <v>34.996780000000001</v>
      </c>
      <c r="W234" s="38" cm="1">
        <f t="array" ref="W234">_xll.BDP(B234&amp;" Equity","DELTA_MID_RT")</f>
        <v>0.5853235125541687</v>
      </c>
      <c r="X234" s="48">
        <f>Y234/'Master P&amp;L'!$AE$5</f>
        <v>6.027747757933904E-4</v>
      </c>
      <c r="Y234" s="15">
        <f>IF(G234="Sell", S234*W234*-H234*O234/N234, S234*W234*H234*O234/N234)</f>
        <v>1353853.2845377924</v>
      </c>
      <c r="Z234" s="15" cm="1">
        <f t="array" ref="Z234">_xll.BDP($B234&amp;" Equity","opt_theta")*H234*O234/N234</f>
        <v>-594.48</v>
      </c>
      <c r="AA234" s="19" cm="1">
        <f t="array" ref="AA234">_xll.BDP($B234&amp;" Equity","opt_theta")/I234</f>
        <v>-2.3970967741935483E-3</v>
      </c>
      <c r="AB234" s="36" t="str" cm="1">
        <f t="array" ref="AB234">_xll.BDP($C234&amp;" Equity","EXPECTED_REPORT_DT")</f>
        <v>06/02/2026</v>
      </c>
      <c r="AC234" s="15">
        <f>S234*H234*O234/N234</f>
        <v>2313000</v>
      </c>
      <c r="AD234" s="19">
        <f>AC234/'Master P&amp;L'!$AE$5</f>
        <v>1.0298147312809455E-3</v>
      </c>
      <c r="AE234" t="str">
        <f>B234  &amp; " -&gt; Sell to open " &amp;   H234 &amp;"x"</f>
        <v>AMZN US 07/17/26 C230 -&gt; Sell to open 100x</v>
      </c>
    </row>
    <row r="235" spans="1:37">
      <c r="A235" s="460">
        <f t="shared" si="0"/>
        <v>0.14529969561852471</v>
      </c>
      <c r="B235" s="59" t="s">
        <v>2345</v>
      </c>
      <c r="C235" t="str" cm="1">
        <f t="array" ref="C235">_xll.BDP(B235&amp;" Equity","OPT_UNDL_TICKER")</f>
        <v>MSFT US</v>
      </c>
      <c r="D235" s="43">
        <f>J235+U235</f>
        <v>9.2296953457476766E-2</v>
      </c>
      <c r="E235" cm="1">
        <f t="array" ref="E235">_xll.BDP($B235&amp;" Index","opt_days_expire")</f>
        <v>177</v>
      </c>
      <c r="F235" t="str" cm="1">
        <f t="array" ref="F235">_xll.BDP(B235&amp;" Equity","QUOTED_CURRENCY_REALTIME")</f>
        <v>USD</v>
      </c>
      <c r="G235" s="105" t="s">
        <v>247</v>
      </c>
      <c r="H235" s="131">
        <v>50</v>
      </c>
      <c r="I235" s="97">
        <f t="shared" ref="I235" si="1">IF(G235="Buy",L235,K235)</f>
        <v>35.1</v>
      </c>
      <c r="J235" s="19">
        <f t="shared" ref="J235" si="2">I235/S235</f>
        <v>7.9034473441264547E-2</v>
      </c>
      <c r="K235" s="36" cm="1">
        <f t="array" ref="K235">_xll.BDP($B235&amp;" Equity","bid")</f>
        <v>34.9</v>
      </c>
      <c r="L235" s="36" cm="1">
        <f t="array" ref="L235">_xll.BDP($B235&amp;" Equity","ask")</f>
        <v>35.1</v>
      </c>
      <c r="M235" s="40">
        <f t="shared" ref="M235" si="3">(L235/K235-1)</f>
        <v>5.7306590257879542E-3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175500</v>
      </c>
      <c r="Q235" s="58">
        <f>P235/'Master P&amp;L'!$AD$5*10000</f>
        <v>0.78137693618593129</v>
      </c>
      <c r="R235" s="37" cm="1">
        <f t="array" ref="R235">_xll.BDP($C235&amp;" Equity","EST_PE_NXT_YR")*(T235/S235)</f>
        <v>24.045337806922877</v>
      </c>
      <c r="S235" s="36" cm="1">
        <f t="array" ref="S235">_xll.BDP(C235&amp;" Equity","LAST_PRICE")</f>
        <v>444.11</v>
      </c>
      <c r="T235" s="53" cm="1">
        <f t="array" ref="T235">_xll.BDP(B235&amp;" Equity","OPT_STRIKE_PX")</f>
        <v>450</v>
      </c>
      <c r="U235" s="40">
        <f t="shared" ref="U235" si="5">T235/S235-1</f>
        <v>1.3262480016212219E-2</v>
      </c>
      <c r="V235" s="37" cm="1">
        <f t="array" ref="V235">_xll.BDP(B235&amp;" Equity","ivol_mid")</f>
        <v>28.0745</v>
      </c>
      <c r="W235" s="38" cm="1">
        <f t="array" ref="W235">_xll.BDP(B235&amp;" Equity","DELTA_MID_RT")</f>
        <v>0.54394108057022095</v>
      </c>
      <c r="X235" s="48">
        <f>Y235/'Master P&amp;L'!$AE$5</f>
        <v>5.3776914869621453E-4</v>
      </c>
      <c r="Y235" s="15">
        <f t="shared" ref="Y235" si="6">IF(G235="Sell", S235*W235*-H235*O235/N235, S235*W235*H235*O235/N235)</f>
        <v>1207848.3664602044</v>
      </c>
      <c r="Z235" s="15" cm="1">
        <f t="array" ref="Z235">_xll.BDP($B235&amp;" Equity","opt_theta")*H235*O235/N235</f>
        <v>-473.37</v>
      </c>
      <c r="AA235" s="19" cm="1">
        <f t="array" ref="AA235">_xll.BDP($B235&amp;" Equity","opt_theta")/I235</f>
        <v>-2.697264957264957E-3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2220550</v>
      </c>
      <c r="AD235" s="19">
        <f>AC235/'Master P&amp;L'!$AE$5</f>
        <v>9.8865330806135045E-4</v>
      </c>
      <c r="AE235" t="str">
        <f t="shared" ref="AE235" si="8">B235  &amp; " -&gt; Sell to open " &amp;   H235 &amp;"x"</f>
        <v>MSFT US 07/17/26 C450 -&gt; Sell to open 50x</v>
      </c>
    </row>
    <row r="236" spans="1:37">
      <c r="A236" s="237"/>
      <c r="B236" s="59"/>
      <c r="D236" s="64"/>
      <c r="G236" s="105"/>
      <c r="H236" s="131"/>
      <c r="I236" s="97"/>
      <c r="J236" s="19"/>
      <c r="K236" s="36"/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19"/>
    </row>
    <row r="237" spans="1:37">
      <c r="A237" s="237"/>
      <c r="B237" s="59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/>
      <c r="B239" s="73"/>
      <c r="D239" s="64"/>
      <c r="G239" s="105"/>
      <c r="H239" s="131"/>
      <c r="I239" s="97">
        <f>I234-I233</f>
        <v>-37.900000000000006</v>
      </c>
      <c r="J239" s="19"/>
      <c r="K239" s="109">
        <f>AVERAGE(K233:L233)-AVERAGE(K234:L234)</f>
        <v>37.825000000000003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2" spans="1:35">
      <c r="A242" s="237">
        <v>2</v>
      </c>
      <c r="B242" t="s">
        <v>1839</v>
      </c>
      <c r="C242" t="str" cm="1">
        <f t="array" ref="C242">_xll.BDP(B242&amp;" Equity","OPT_UNDL_TICKER")</f>
        <v>MP US</v>
      </c>
      <c r="D242" s="64" t="e">
        <f>A242*AVERAGE(K242:L242)</f>
        <v>#DIV/0!</v>
      </c>
      <c r="E242" t="str" cm="1">
        <f t="array" ref="E242">_xll.BDP($B242&amp;" Index","opt_days_expire")</f>
        <v>#N/A N/A</v>
      </c>
      <c r="F242" t="str" cm="1">
        <f t="array" ref="F242">_xll.BDP(B242&amp;" Equity","QUOTED_CURRENCY_REALTIME")</f>
        <v>#N/A Real Time</v>
      </c>
      <c r="G242" s="105" t="s">
        <v>248</v>
      </c>
      <c r="H242" s="131">
        <v>150</v>
      </c>
      <c r="I242" s="97" t="str">
        <f>IF(G242="Buy",L242,K242)</f>
        <v>#N/A Real Time</v>
      </c>
      <c r="J242" s="19" t="e">
        <f>I242/S242</f>
        <v>#VALUE!</v>
      </c>
      <c r="K242" s="36" t="str" cm="1">
        <f t="array" ref="K242">_xll.BDP($B242&amp;" Equity","bid")</f>
        <v>#N/A Real Time</v>
      </c>
      <c r="L242" s="36" t="str" cm="1">
        <f t="array" ref="L242">_xll.BDP($B242&amp;" Equity","ask")</f>
        <v>#N/A Real Time</v>
      </c>
      <c r="M242" s="40" t="e">
        <f>(L242/K242-1)</f>
        <v>#VALUE!</v>
      </c>
      <c r="N242" s="36" t="str" cm="1">
        <f t="array" ref="N242">_xll.BDP(F242&amp;" Curncy","PX_LAST")</f>
        <v>#N/A Real Time Curncy</v>
      </c>
      <c r="O242" s="162" cm="1">
        <f t="array" ref="O242">_xll.BDP(B242&amp;" Equity","OPT_MULTIPLIER")</f>
        <v>100</v>
      </c>
      <c r="P242" s="15" t="e">
        <f>IF(G242="Buy",((I242/N242)*H242*O242),((I242/N242)*-H242*O242))</f>
        <v>#VALUE!</v>
      </c>
      <c r="Q242" s="58" t="e">
        <f>P242/'Master P&amp;L'!$AD$5*10000</f>
        <v>#VALUE!</v>
      </c>
      <c r="R242" s="37" cm="1">
        <f t="array" ref="R242">_xll.BDP($C242&amp;" Equity","EST_PE_NXT_YR")*(T242/S242)</f>
        <v>82.580711140086777</v>
      </c>
      <c r="S242" s="36" cm="1">
        <f t="array" ref="S242">_xll.BDP(C242&amp;" Equity","LAST_PRICE")</f>
        <v>64.650000000000006</v>
      </c>
      <c r="T242" s="53" cm="1">
        <f t="array" ref="T242">_xll.BDP(B242&amp;" Equity","OPT_STRIKE_PX")</f>
        <v>50</v>
      </c>
      <c r="U242" s="40">
        <f>T242/S242-1</f>
        <v>-0.22660479505027076</v>
      </c>
      <c r="V242" s="37" t="str" cm="1">
        <f t="array" ref="V242">_xll.BDP($B242&amp;" Equity","ivol_mid")</f>
        <v>#N/A N/A</v>
      </c>
      <c r="W242" s="38" t="str" cm="1">
        <f t="array" ref="W242">_xll.BDP(B242&amp;" Equity","DELTA_MID_RT")</f>
        <v>#N/A Real Time</v>
      </c>
      <c r="X242" s="48" t="e">
        <f>Y242/'Master P&amp;L'!$AE$5</f>
        <v>#VALUE!</v>
      </c>
      <c r="Y242" s="15" t="e">
        <f>IF(G242="Sell", S242*W242*-H242*O242/N242, S242*W242*H242*O242/N242)</f>
        <v>#VALUE!</v>
      </c>
      <c r="Z242" s="15" t="e" cm="1">
        <f t="array" ref="Z242">_xll.BDP($B242&amp;" Equity","opt_theta")*H242*O242/N242</f>
        <v>#VALUE!</v>
      </c>
      <c r="AA242" s="19" t="e" cm="1">
        <f t="array" ref="AA242">_xll.BDP($B242&amp;" Equity","opt_theta")/I242</f>
        <v>#VALUE!</v>
      </c>
      <c r="AB242" s="36" t="str" cm="1">
        <f t="array" ref="AB242">_xll.BDP($C242&amp;" Equity","EXPECTED_REPORT_DT")</f>
        <v>20/02/2026</v>
      </c>
      <c r="AC242" s="15" t="e">
        <f>S242*H242*O242/N242</f>
        <v>#VALUE!</v>
      </c>
      <c r="AD242" s="48" t="e">
        <f>AC242/'Master P&amp;L'!$AE$5</f>
        <v>#VALUE!</v>
      </c>
      <c r="AE242" t="str">
        <f>B242&amp;" -&gt; Buy to open "&amp;H242&amp;"x"</f>
        <v>MP US 09/19/25 C50 -&gt; Buy to open 150x</v>
      </c>
    </row>
    <row r="243" spans="1:35">
      <c r="A243" s="237">
        <v>2</v>
      </c>
      <c r="B243" t="s">
        <v>1840</v>
      </c>
      <c r="C243" t="str" cm="1">
        <f t="array" ref="C243">_xll.BDP(B243&amp;" Equity","OPT_UNDL_TICKER")</f>
        <v>MP US</v>
      </c>
      <c r="D243" s="64" t="e">
        <f>A243*AVERAGE(K243:L243)</f>
        <v>#DIV/0!</v>
      </c>
      <c r="E243" t="str" cm="1">
        <f t="array" ref="E243">_xll.BDP($B243&amp;" Index","opt_days_expire")</f>
        <v>#N/A N/A</v>
      </c>
      <c r="F243" t="str" cm="1">
        <f t="array" ref="F243">_xll.BDP(B243&amp;" Equity","QUOTED_CURRENCY_REALTIME")</f>
        <v>#N/A Real Time</v>
      </c>
      <c r="G243" s="105" t="s">
        <v>247</v>
      </c>
      <c r="H243" s="131">
        <f>H242</f>
        <v>150</v>
      </c>
      <c r="I243" s="97" t="str">
        <f>IF(G243="Buy",L243,K243)</f>
        <v>#N/A Real Time</v>
      </c>
      <c r="J243" s="19" t="e">
        <f>I243/S243</f>
        <v>#VALUE!</v>
      </c>
      <c r="K243" s="36" t="str" cm="1">
        <f t="array" ref="K243">_xll.BDP($B243&amp;" Equity","bid")</f>
        <v>#N/A Real Time</v>
      </c>
      <c r="L243" s="36" t="str" cm="1">
        <f t="array" ref="L243">_xll.BDP($B243&amp;" Equity","ask")</f>
        <v>#N/A Real Time</v>
      </c>
      <c r="M243" s="40" t="e">
        <f>(L243/K243-1)</f>
        <v>#VALUE!</v>
      </c>
      <c r="N243" s="36" t="str" cm="1">
        <f t="array" ref="N243">_xll.BDP(F243&amp;" Curncy","PX_LAST")</f>
        <v>#N/A Real Time Curncy</v>
      </c>
      <c r="O243" s="162" cm="1">
        <f t="array" ref="O243">_xll.BDP(B243&amp;" Equity","OPT_MULTIPLIER")</f>
        <v>100</v>
      </c>
      <c r="P243" s="15" t="e">
        <f>IF(G243="Buy",((I243/N243)*H243*O243),((I243/N243)*-H243*O243))</f>
        <v>#VALUE!</v>
      </c>
      <c r="Q243" s="58" t="e">
        <f>P243/'Master P&amp;L'!$AD$5*10000</f>
        <v>#VALUE!</v>
      </c>
      <c r="R243" s="37" cm="1">
        <f t="array" ref="R243">_xll.BDP($C243&amp;" Equity","EST_PE_NXT_YR")*(T243/S243)</f>
        <v>75.974254248879831</v>
      </c>
      <c r="S243" s="36" cm="1">
        <f t="array" ref="S243">_xll.BDP(C243&amp;" Equity","LAST_PRICE")</f>
        <v>64.650000000000006</v>
      </c>
      <c r="T243" s="53" cm="1">
        <f t="array" ref="T243">_xll.BDP(B243&amp;" Equity","OPT_STRIKE_PX")</f>
        <v>46</v>
      </c>
      <c r="U243" s="40">
        <f>T243/S243-1</f>
        <v>-0.28847641144624914</v>
      </c>
      <c r="V243" s="37" t="str" cm="1">
        <f t="array" ref="V243">_xll.BDP(B243&amp;" Equity","ivol_mid")</f>
        <v>#N/A N/A</v>
      </c>
      <c r="W243" s="38" t="str" cm="1">
        <f t="array" ref="W243">_xll.BDP(B243&amp;" Equity","DELTA_MID_RT")</f>
        <v>#N/A Real Time</v>
      </c>
      <c r="X243" s="48" t="e">
        <f>Y243/'Master P&amp;L'!$AE$5</f>
        <v>#VALUE!</v>
      </c>
      <c r="Y243" s="15" t="e">
        <f>IF(G243="Sell", S243*W243*-H243*O243/N243, S243*W243*H243*O243/N243)</f>
        <v>#VALUE!</v>
      </c>
      <c r="Z243" s="15" t="e" cm="1">
        <f t="array" ref="Z243">_xll.BDP($B243&amp;" Equity","opt_theta")*H243*O243/N243</f>
        <v>#VALUE!</v>
      </c>
      <c r="AA243" s="19" t="e" cm="1">
        <f t="array" ref="AA243">_xll.BDP($B243&amp;" Equity","opt_theta")/I243</f>
        <v>#VALUE!</v>
      </c>
      <c r="AB243" s="36" t="str" cm="1">
        <f t="array" ref="AB243">_xll.BDP($C243&amp;" Equity","EXPECTED_REPORT_DT")</f>
        <v>20/02/2026</v>
      </c>
      <c r="AC243" s="15" t="e">
        <f>S243*H243*O243/N243</f>
        <v>#VALUE!</v>
      </c>
      <c r="AD243" s="19" t="e">
        <f>AC243/'Master P&amp;L'!$AE$5</f>
        <v>#VALUE!</v>
      </c>
      <c r="AE243" t="str">
        <f>B243  &amp; " -&gt; Sell to open " &amp;   H243 &amp;"x"</f>
        <v>MP US 09/19/25 P46 -&gt; Sell to open 150x</v>
      </c>
    </row>
    <row r="244" spans="1:35">
      <c r="I244" t="e">
        <f>I243/I242</f>
        <v>#VALUE!</v>
      </c>
    </row>
    <row r="245" spans="1:35">
      <c r="A245" s="237"/>
      <c r="B245" s="73"/>
      <c r="D245" s="64"/>
      <c r="G245" s="105"/>
      <c r="H245" s="131"/>
      <c r="I245" s="97" t="e">
        <f>I243-I242</f>
        <v>#VALUE!</v>
      </c>
      <c r="J245" s="19"/>
      <c r="K245" s="109" t="e">
        <f>AVERAGE(K242:L242)-AVERAGE(K243:L243)</f>
        <v>#DIV/0!</v>
      </c>
      <c r="L245" s="36"/>
      <c r="M245" s="40"/>
      <c r="N245" s="36"/>
      <c r="O245" s="162"/>
      <c r="P245" s="15"/>
      <c r="Q245" s="58"/>
      <c r="R245" s="37"/>
      <c r="S245" s="36"/>
      <c r="T245" s="53"/>
      <c r="U245" s="40"/>
      <c r="V245" s="37"/>
      <c r="W245" s="38"/>
      <c r="X245" s="48"/>
      <c r="Y245" s="15"/>
      <c r="Z245" s="15"/>
      <c r="AA245" s="19"/>
      <c r="AB245" s="36"/>
      <c r="AC245" s="15"/>
      <c r="AD245" s="48"/>
    </row>
    <row r="248" spans="1:35">
      <c r="I248" t="e">
        <f>I249/I250</f>
        <v>#VALUE!</v>
      </c>
    </row>
    <row r="249" spans="1:35">
      <c r="A249" s="237" t="str">
        <f>'Master P&amp;L'!B12</f>
        <v>BABA</v>
      </c>
      <c r="B249" t="s">
        <v>1908</v>
      </c>
      <c r="C249" t="str" cm="1">
        <f t="array" ref="C249">_xll.BDP(B249&amp;" Equity","OPT_UNDL_TICKER")</f>
        <v>MSFT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100</v>
      </c>
      <c r="I249" s="97" t="str">
        <f t="shared" ref="I249:I254" si="9">IF(G249="Buy",L249,K249)</f>
        <v>#N/A Real Time</v>
      </c>
      <c r="J249" s="19" t="e">
        <f t="shared" ref="J249:J254" si="10">I249/S249</f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ref="M249:M254" si="11">(L249/K249-1)</f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ref="P249:P254" si="12">IF(G249="Buy",((I249/N249)*H249*O249),((I249/N249)*-H249*O249))</f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25.915530747461322</v>
      </c>
      <c r="S249" s="36" cm="1">
        <f t="array" ref="S249">_xll.BDP(C249&amp;" Equity","LAST_PRICE")</f>
        <v>444.11</v>
      </c>
      <c r="T249" s="53" cm="1">
        <f t="array" ref="T249">_xll.BDP(B249&amp;" Equity","OPT_STRIKE_PX")</f>
        <v>485</v>
      </c>
      <c r="U249" s="40">
        <f t="shared" ref="U249:U254" si="13">T249/S249-1</f>
        <v>9.2071784017473179E-2</v>
      </c>
      <c r="V249" s="37" t="str" cm="1">
        <f t="array" ref="V249">_xll.BDP($B249&amp;"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ref="Y249:Y254" si="14">IF(G249="Sell", S249*W249*-H249*O249/N249, S249*W249*H249*O249/N249)</f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28/01/2026</v>
      </c>
      <c r="AC249" s="15" t="e">
        <f t="shared" ref="AC249:AC254" si="15">S249*H249*O249/N249</f>
        <v>#VALUE!</v>
      </c>
      <c r="AD249" s="48" t="e">
        <f>AC249/'Master P&amp;L'!$AE$5</f>
        <v>#VALUE!</v>
      </c>
      <c r="AE249" t="str">
        <f>B249&amp;" -&gt; Buy to open "&amp;H249&amp;"x"</f>
        <v>MSFT US 10/03/25 P485 -&gt; Buy to open 100x</v>
      </c>
      <c r="AH249" s="64" t="e">
        <f t="shared" ref="AH249:AH254" si="16">AVERAGE(K249:L249)</f>
        <v>#DIV/0!</v>
      </c>
      <c r="AI249" s="15" t="e">
        <f t="shared" ref="AI249:AI254" si="17">IF(G249="Buy",((AH249/N249)*H249*O249),((I249/N249)*-H249*O249))</f>
        <v>#DIV/0!</v>
      </c>
    </row>
    <row r="250" spans="1:35">
      <c r="A250" s="237" t="str">
        <f>'Master P&amp;L'!B31</f>
        <v>AVGO</v>
      </c>
      <c r="B250" t="s">
        <v>1909</v>
      </c>
      <c r="C250" t="str" cm="1">
        <f t="array" ref="C250">_xll.BDP(B250&amp;" Equity","OPT_UNDL_TICKER")</f>
        <v>ORCL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100</v>
      </c>
      <c r="I250" s="97" t="str">
        <f t="shared" si="9"/>
        <v>#N/A Real Time</v>
      </c>
      <c r="J250" s="19" t="e">
        <f t="shared" si="1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1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1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35.500658917228023</v>
      </c>
      <c r="S250" s="36" cm="1">
        <f t="array" ref="S250">_xll.BDP(C250&amp;" Equity","LAST_PRICE")</f>
        <v>173.88</v>
      </c>
      <c r="T250" s="53" cm="1">
        <f t="array" ref="T250">_xll.BDP(B250&amp;" Equity","OPT_STRIKE_PX")</f>
        <v>285</v>
      </c>
      <c r="U250" s="40">
        <f t="shared" si="13"/>
        <v>0.63906142167011737</v>
      </c>
      <c r="V250" s="37" t="str" cm="1">
        <f t="array" ref="V250">_xll.BDP(B250&amp;"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1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10/03/2026</v>
      </c>
      <c r="AC250" s="15" t="e">
        <f t="shared" si="15"/>
        <v>#VALUE!</v>
      </c>
      <c r="AD250" s="19" t="e">
        <f>AC250/'Master P&amp;L'!$AE$5</f>
        <v>#VALUE!</v>
      </c>
      <c r="AE250" t="str">
        <f>B250  &amp; " -&gt; Sell to open " &amp;   H250 &amp;"x"</f>
        <v>ORCL US 10/03/25 P285 -&gt; Sell to open 100x</v>
      </c>
      <c r="AH250" s="64" t="e">
        <f t="shared" si="16"/>
        <v>#DIV/0!</v>
      </c>
      <c r="AI250" s="15" t="e">
        <f t="shared" si="17"/>
        <v>#DIV/0!</v>
      </c>
    </row>
    <row r="251" spans="1:35">
      <c r="A251" s="237" t="e">
        <f>'Master P&amp;L'!#REF!</f>
        <v>#REF!</v>
      </c>
      <c r="B251" t="s">
        <v>1910</v>
      </c>
      <c r="C251" t="str" cm="1">
        <f t="array" ref="C251">_xll.BDP(B251&amp;" Equity","OPT_UNDL_TICKER")</f>
        <v>AMZN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200</v>
      </c>
      <c r="I251" s="97" t="str">
        <f t="shared" si="9"/>
        <v>#N/A Real Time</v>
      </c>
      <c r="J251" s="19" t="e">
        <f t="shared" si="1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1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1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23.653061819272661</v>
      </c>
      <c r="S251" s="36" cm="1">
        <f t="array" ref="S251">_xll.BDP(C251&amp;" Equity","LAST_PRICE")</f>
        <v>231.3</v>
      </c>
      <c r="T251" s="53" cm="1">
        <f t="array" ref="T251">_xll.BDP(B251&amp;" Equity","OPT_STRIKE_PX")</f>
        <v>220</v>
      </c>
      <c r="U251" s="40">
        <f t="shared" si="13"/>
        <v>-4.8854301772589759E-2</v>
      </c>
      <c r="V251" s="37" t="str" cm="1">
        <f t="array" ref="V251">_xll.BDP($B251&amp;"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1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06/02/2026</v>
      </c>
      <c r="AC251" s="15" t="e">
        <f t="shared" si="15"/>
        <v>#VALUE!</v>
      </c>
      <c r="AD251" s="48" t="e">
        <f>AC251/'Master P&amp;L'!$AE$5</f>
        <v>#VALUE!</v>
      </c>
      <c r="AE251" t="str">
        <f>B251&amp;" -&gt; Buy to open "&amp;H251&amp;"x"</f>
        <v>AMZN US 10/03/25 P220 -&gt; Buy to open 200x</v>
      </c>
      <c r="AH251" s="64" t="e">
        <f t="shared" si="16"/>
        <v>#DIV/0!</v>
      </c>
      <c r="AI251" s="15" t="e">
        <f t="shared" si="17"/>
        <v>#DIV/0!</v>
      </c>
    </row>
    <row r="252" spans="1:35">
      <c r="A252" s="237" t="e">
        <f>'Master P&amp;L'!#REF!</f>
        <v>#REF!</v>
      </c>
      <c r="B252" t="s">
        <v>1913</v>
      </c>
      <c r="C252" t="str" cm="1">
        <f t="array" ref="C252">_xll.BDP(B252&amp;" Equity","OPT_UNDL_TICKER")</f>
        <v>META US</v>
      </c>
      <c r="D252" s="64"/>
      <c r="E252" t="str" cm="1">
        <f t="array" ref="E252">_xll.BDP($B252&amp;" Index","opt_days_expire")</f>
        <v>#N/A N/A</v>
      </c>
      <c r="F252" t="str" cm="1">
        <f t="array" ref="F252">_xll.BDP(B252&amp;" Equity","QUOTED_CURRENCY_REALTIME")</f>
        <v>#N/A Real Time</v>
      </c>
      <c r="G252" s="105" t="s">
        <v>247</v>
      </c>
      <c r="H252" s="131">
        <v>70</v>
      </c>
      <c r="I252" s="97" t="str">
        <f t="shared" si="9"/>
        <v>#N/A Real Time</v>
      </c>
      <c r="J252" s="19" t="e">
        <f t="shared" si="10"/>
        <v>#VALUE!</v>
      </c>
      <c r="K252" s="36" t="str" cm="1">
        <f t="array" ref="K252">_xll.BDP($B252&amp;" Equity","bid")</f>
        <v>#N/A Real Time</v>
      </c>
      <c r="L252" s="36" t="str" cm="1">
        <f t="array" ref="L252">_xll.BDP($B252&amp;" Equity","ask")</f>
        <v>#N/A Real Time</v>
      </c>
      <c r="M252" s="40" t="e">
        <f t="shared" si="11"/>
        <v>#VALUE!</v>
      </c>
      <c r="N252" s="36" t="str" cm="1">
        <f t="array" ref="N252">_xll.BDP(F252&amp;" Curncy","PX_LAST")</f>
        <v>#N/A Real Time Curncy</v>
      </c>
      <c r="O252" s="162" cm="1">
        <f t="array" ref="O252">_xll.BDP(B252&amp;" Equity","OPT_MULTIPLIER")</f>
        <v>100</v>
      </c>
      <c r="P252" s="15" t="e">
        <f t="shared" si="12"/>
        <v>#VALUE!</v>
      </c>
      <c r="Q252" s="58" t="e">
        <f>P252/'Master P&amp;L'!$AD$5*10000</f>
        <v>#VALUE!</v>
      </c>
      <c r="R252" s="37" cm="1">
        <f t="array" ref="R252">_xll.BDP($C252&amp;" Equity","EST_PE_NXT_YR")*(T252/S252)</f>
        <v>21.691034474140995</v>
      </c>
      <c r="S252" s="36" cm="1">
        <f t="array" ref="S252">_xll.BDP(C252&amp;" Equity","LAST_PRICE")</f>
        <v>612.96</v>
      </c>
      <c r="T252" s="53" cm="1">
        <f t="array" ref="T252">_xll.BDP(B252&amp;" Equity","OPT_STRIKE_PX")</f>
        <v>730</v>
      </c>
      <c r="U252" s="40">
        <f t="shared" si="13"/>
        <v>0.1909423127120855</v>
      </c>
      <c r="V252" s="37" t="str" cm="1">
        <f t="array" ref="V252">_xll.BDP(B252&amp;" Equity","ivol_mid")</f>
        <v>#N/A N/A</v>
      </c>
      <c r="W252" s="38" t="str" cm="1">
        <f t="array" ref="W252">_xll.BDP(B252&amp;" Equity","DELTA_MID_RT")</f>
        <v>#N/A Real Time</v>
      </c>
      <c r="X252" s="48" t="e">
        <f>Y252/'Master P&amp;L'!$AE$5</f>
        <v>#VALUE!</v>
      </c>
      <c r="Y252" s="15" t="e">
        <f t="shared" si="14"/>
        <v>#VALUE!</v>
      </c>
      <c r="Z252" s="15" t="e" cm="1">
        <f t="array" ref="Z252">_xll.BDP($B252&amp;" Equity","opt_theta")*H252*O252/N252</f>
        <v>#VALUE!</v>
      </c>
      <c r="AA252" s="19" t="e" cm="1">
        <f t="array" ref="AA252">_xll.BDP($B252&amp;" Equity","opt_theta")/I252</f>
        <v>#VALUE!</v>
      </c>
      <c r="AB252" s="36" t="str" cm="1">
        <f t="array" ref="AB252">_xll.BDP($C252&amp;" Equity","EXPECTED_REPORT_DT")</f>
        <v>28/01/2026</v>
      </c>
      <c r="AC252" s="15" t="e">
        <f t="shared" si="15"/>
        <v>#VALUE!</v>
      </c>
      <c r="AD252" s="19" t="e">
        <f>AC252/'Master P&amp;L'!$AE$5</f>
        <v>#VALUE!</v>
      </c>
      <c r="AE252" t="str">
        <f>B252  &amp; " -&gt; Sell to open " &amp;   H252 &amp;"x"</f>
        <v>META US 10/03/25 P730 -&gt; Sell to open 70x</v>
      </c>
      <c r="AH252" s="64" t="e">
        <f t="shared" si="16"/>
        <v>#DIV/0!</v>
      </c>
      <c r="AI252" s="15" t="e">
        <f t="shared" si="17"/>
        <v>#DIV/0!</v>
      </c>
    </row>
    <row r="253" spans="1:35">
      <c r="A253" s="237" t="s">
        <v>94</v>
      </c>
      <c r="B253" t="s">
        <v>1911</v>
      </c>
      <c r="C253" t="str" cm="1">
        <f t="array" ref="C253">_xll.BDP(B253&amp;" Equity","OPT_UNDL_TICKER")</f>
        <v>NVDA US</v>
      </c>
      <c r="D253" s="64"/>
      <c r="E253" t="str" cm="1">
        <f t="array" ref="E253">_xll.BDP($B253&amp;" Index","opt_days_expire")</f>
        <v>#N/A N/A</v>
      </c>
      <c r="F253" t="str" cm="1">
        <f t="array" ref="F253">_xll.BDP(B253&amp;" Equity","QUOTED_CURRENCY_REALTIME")</f>
        <v>#N/A Real Time</v>
      </c>
      <c r="G253" s="105" t="s">
        <v>247</v>
      </c>
      <c r="H253" s="131">
        <v>250</v>
      </c>
      <c r="I253" s="97" t="str">
        <f t="shared" si="9"/>
        <v>#N/A Real Time</v>
      </c>
      <c r="J253" s="19" t="e">
        <f t="shared" si="10"/>
        <v>#VALUE!</v>
      </c>
      <c r="K253" s="36" t="str" cm="1">
        <f t="array" ref="K253">_xll.BDP($B253&amp;" Equity","bid")</f>
        <v>#N/A Real Time</v>
      </c>
      <c r="L253" s="36" t="str" cm="1">
        <f t="array" ref="L253">_xll.BDP($B253&amp;" Equity","ask")</f>
        <v>#N/A Real Time</v>
      </c>
      <c r="M253" s="40" t="e">
        <f t="shared" si="11"/>
        <v>#VALUE!</v>
      </c>
      <c r="N253" s="36" t="str" cm="1">
        <f t="array" ref="N253">_xll.BDP(F253&amp;" Curncy","PX_LAST")</f>
        <v>#N/A Real Time Curncy</v>
      </c>
      <c r="O253" s="162" cm="1">
        <f t="array" ref="O253">_xll.BDP(B253&amp;" Equity","OPT_MULTIPLIER")</f>
        <v>100</v>
      </c>
      <c r="P253" s="15" t="e">
        <f t="shared" si="12"/>
        <v>#VALUE!</v>
      </c>
      <c r="Q253" s="58" t="e">
        <f>P253/'Master P&amp;L'!$AD$5*10000</f>
        <v>#VALUE!</v>
      </c>
      <c r="R253" s="37" cm="1">
        <f t="array" ref="R253">_xll.BDP($C253&amp;" Equity","EST_PE_NXT_YR")*(T253/S253)</f>
        <v>20.902452782781612</v>
      </c>
      <c r="S253" s="36" cm="1">
        <f t="array" ref="S253">_xll.BDP(C253&amp;" Equity","LAST_PRICE")</f>
        <v>183.18</v>
      </c>
      <c r="T253" s="53" cm="1">
        <f t="array" ref="T253">_xll.BDP(B253&amp;" Equity","OPT_STRIKE_PX")</f>
        <v>160</v>
      </c>
      <c r="U253" s="40">
        <f t="shared" si="13"/>
        <v>-0.12654219893001417</v>
      </c>
      <c r="V253" s="37" t="str" cm="1">
        <f t="array" ref="V253">_xll.BDP($B253&amp;" Equity","ivol_mid")</f>
        <v>#N/A N/A</v>
      </c>
      <c r="W253" s="38" t="str" cm="1">
        <f t="array" ref="W253">_xll.BDP(B253&amp;" Equity","DELTA_MID_RT")</f>
        <v>#N/A Real Time</v>
      </c>
      <c r="X253" s="48" t="e">
        <f>Y253/'Master P&amp;L'!$AE$5</f>
        <v>#VALUE!</v>
      </c>
      <c r="Y253" s="15" t="e">
        <f t="shared" si="14"/>
        <v>#VALUE!</v>
      </c>
      <c r="Z253" s="15" t="e" cm="1">
        <f t="array" ref="Z253">_xll.BDP($B253&amp;" Equity","opt_theta")*H253*O253/N253</f>
        <v>#VALUE!</v>
      </c>
      <c r="AA253" s="19" t="e" cm="1">
        <f t="array" ref="AA253">_xll.BDP($B253&amp;" Equity","opt_theta")/I253</f>
        <v>#VALUE!</v>
      </c>
      <c r="AB253" s="36" t="str" cm="1">
        <f t="array" ref="AB253">_xll.BDP($C253&amp;" Equity","EXPECTED_REPORT_DT")</f>
        <v>25/02/2026</v>
      </c>
      <c r="AC253" s="15" t="e">
        <f t="shared" si="15"/>
        <v>#VALUE!</v>
      </c>
      <c r="AD253" s="48" t="e">
        <f>AC253/'Master P&amp;L'!$AE$5</f>
        <v>#VALUE!</v>
      </c>
      <c r="AE253" t="str">
        <f>B253&amp;" -&gt; Buy to open "&amp;H253&amp;"x"</f>
        <v>NVDA US 10/03/25 P160 -&gt; Buy to open 250x</v>
      </c>
      <c r="AH253" s="64" t="e">
        <f t="shared" si="16"/>
        <v>#DIV/0!</v>
      </c>
      <c r="AI253" s="15" t="e">
        <f t="shared" si="17"/>
        <v>#DIV/0!</v>
      </c>
    </row>
    <row r="254" spans="1:35">
      <c r="A254" s="237" t="s">
        <v>137</v>
      </c>
      <c r="B254" t="s">
        <v>1912</v>
      </c>
      <c r="C254" t="str" cm="1">
        <f t="array" ref="C254">_xll.BDP(B254&amp;" Equity","OPT_UNDL_TICKER")</f>
        <v>AVGO US</v>
      </c>
      <c r="D254" s="64"/>
      <c r="E254" t="str" cm="1">
        <f t="array" ref="E254">_xll.BDP($B254&amp;" Index","opt_days_expire")</f>
        <v>#N/A N/A</v>
      </c>
      <c r="F254" t="str" cm="1">
        <f t="array" ref="F254">_xll.BDP(B254&amp;" Equity","QUOTED_CURRENCY_REALTIME")</f>
        <v>#N/A Real Time</v>
      </c>
      <c r="G254" s="105" t="s">
        <v>247</v>
      </c>
      <c r="H254" s="131">
        <v>100</v>
      </c>
      <c r="I254" s="97" t="str">
        <f t="shared" si="9"/>
        <v>#N/A Real Time</v>
      </c>
      <c r="J254" s="19" t="e">
        <f t="shared" si="10"/>
        <v>#VALUE!</v>
      </c>
      <c r="K254" s="36" t="str" cm="1">
        <f t="array" ref="K254">_xll.BDP($B254&amp;" Equity","bid")</f>
        <v>#N/A Real Time</v>
      </c>
      <c r="L254" s="36" t="str" cm="1">
        <f t="array" ref="L254">_xll.BDP($B254&amp;" Equity","ask")</f>
        <v>#N/A Real Time</v>
      </c>
      <c r="M254" s="40" t="e">
        <f t="shared" si="11"/>
        <v>#VALUE!</v>
      </c>
      <c r="N254" s="36" t="str" cm="1">
        <f t="array" ref="N254">_xll.BDP(F254&amp;" Curncy","PX_LAST")</f>
        <v>#N/A Real Time Curncy</v>
      </c>
      <c r="O254" s="162" cm="1">
        <f t="array" ref="O254">_xll.BDP(B254&amp;" Equity","OPT_MULTIPLIER")</f>
        <v>100</v>
      </c>
      <c r="P254" s="15" t="e">
        <f t="shared" si="12"/>
        <v>#VALUE!</v>
      </c>
      <c r="Q254" s="58" t="e">
        <f>P254/'Master P&amp;L'!$AD$5*10000</f>
        <v>#VALUE!</v>
      </c>
      <c r="R254" s="37" cm="1">
        <f t="array" ref="R254">_xll.BDP($C254&amp;" Equity","EST_PE_NXT_YR")*(T254/S254)</f>
        <v>23.626487631418442</v>
      </c>
      <c r="S254" s="36" cm="1">
        <f t="array" ref="S254">_xll.BDP(C254&amp;" Equity","LAST_PRICE")</f>
        <v>328.8</v>
      </c>
      <c r="T254" s="53" cm="1">
        <f t="array" ref="T254">_xll.BDP(B254&amp;" Equity","OPT_STRIKE_PX")</f>
        <v>330</v>
      </c>
      <c r="U254" s="40">
        <f t="shared" si="13"/>
        <v>3.6496350364962904E-3</v>
      </c>
      <c r="V254" s="37" t="str" cm="1">
        <f t="array" ref="V254">_xll.BDP(B254&amp;" Equity","ivol_mid")</f>
        <v>#N/A N/A</v>
      </c>
      <c r="W254" s="38" t="str" cm="1">
        <f t="array" ref="W254">_xll.BDP(B254&amp;" Equity","DELTA_MID_RT")</f>
        <v>#N/A Real Time</v>
      </c>
      <c r="X254" s="48" t="e">
        <f>Y254/'Master P&amp;L'!$AE$5</f>
        <v>#VALUE!</v>
      </c>
      <c r="Y254" s="15" t="e">
        <f t="shared" si="14"/>
        <v>#VALUE!</v>
      </c>
      <c r="Z254" s="15" t="e" cm="1">
        <f t="array" ref="Z254">_xll.BDP($B254&amp;" Equity","opt_theta")*H254*O254/N254</f>
        <v>#VALUE!</v>
      </c>
      <c r="AA254" s="19" t="e" cm="1">
        <f t="array" ref="AA254">_xll.BDP($B254&amp;" Equity","opt_theta")/I254</f>
        <v>#VALUE!</v>
      </c>
      <c r="AB254" s="36" t="str" cm="1">
        <f t="array" ref="AB254">_xll.BDP($C254&amp;" Equity","EXPECTED_REPORT_DT")</f>
        <v>06/03/2026</v>
      </c>
      <c r="AC254" s="15" t="e">
        <f t="shared" si="15"/>
        <v>#VALUE!</v>
      </c>
      <c r="AD254" s="19" t="e">
        <f>AC254/'Master P&amp;L'!$AE$5</f>
        <v>#VALUE!</v>
      </c>
      <c r="AE254" t="str">
        <f>B254  &amp; " -&gt; Sell to open " &amp;   H254 &amp;"x"</f>
        <v>AVGO US 10/03/25 P330 -&gt; Sell to open 100x</v>
      </c>
      <c r="AH254" s="64" t="e">
        <f t="shared" si="16"/>
        <v>#DIV/0!</v>
      </c>
      <c r="AI254" s="15" t="e">
        <f t="shared" si="17"/>
        <v>#DIV/0!</v>
      </c>
    </row>
    <row r="256" spans="1:35">
      <c r="P256" s="13" t="e">
        <f>SUM(P249:P254)</f>
        <v>#VALUE!</v>
      </c>
      <c r="X256" s="48" t="e">
        <f>SUM(X249:X254)</f>
        <v>#VALUE!</v>
      </c>
      <c r="AI256" s="13" t="e">
        <f>SUM(AI249:AI254)</f>
        <v>#DIV/0!</v>
      </c>
    </row>
    <row r="258" spans="16:35">
      <c r="Y258" s="13" t="e">
        <f>SUM(Y249:Y254)</f>
        <v>#VALUE!</v>
      </c>
    </row>
    <row r="259" spans="16:35">
      <c r="Y259" s="64" t="e">
        <f>Y258/S254</f>
        <v>#VALUE!</v>
      </c>
    </row>
    <row r="261" spans="16:35">
      <c r="P261">
        <v>262700</v>
      </c>
      <c r="S261">
        <v>112.9</v>
      </c>
      <c r="AI261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B10" sqref="B10:M10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IF(B5="","",IF(LEN(B5)&gt;9,SUMIFS(Options!$H$3:$H$32,Options!$B$3:$B$32,Check!B5),SUMIFS('Master P&amp;L'!$H$11:$H$88,'Master P&amp;L'!$B$11:$B$88,Check!B5)))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2322</v>
      </c>
      <c r="P5" s="217">
        <f>IF(O5="","",IF(OR(LEFT(O5,4)="Cash",LEFT(O5,4)="Prov"),0,SUMIFS(Input_APM!N:N,Input_APM!L:L,Check!O5)))</f>
        <v>27</v>
      </c>
      <c r="Q5" s="22">
        <f>IF(O5="","",IF(LEN(O5)&gt;9,SUMIFS(Options!$H$3:$H$32,Options!$B$3:$B$32,Check!O5),SUMIFS('Master P&amp;L'!$H$11:$H$88,'Master P&amp;L'!$B$11:$B$88,Check!O5)))</f>
        <v>10</v>
      </c>
      <c r="R5" s="217">
        <f>IF(O5="","",P5-Q5)</f>
        <v>17</v>
      </c>
      <c r="S5" s="361">
        <f>IF(O5="","",IF((P5+Q5)=0,"Ok",IF(OR(P5=0,Q5=0),"Erro",P5/Q5)))</f>
        <v>2.7</v>
      </c>
      <c r="V5" s="13"/>
    </row>
    <row r="6" spans="2:22">
      <c r="B6" t="s">
        <v>461</v>
      </c>
      <c r="C6" s="233">
        <f>IF(B6="","",IF(LEN(B6)&gt;9,SUMIFS(Options!$H$3:$H$32,Options!$B$3:$B$32,Check!B6),SUMIFS('Master P&amp;L'!$H$11:$H$88,'Master P&amp;L'!$B$11:$B$88,Check!B6)))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2296</v>
      </c>
      <c r="P6" s="217">
        <f>IF(O6="","",IF(OR(LEFT(O6,4)="Cash",LEFT(O6,4)="Prov"),0,SUMIFS(Input_APM!N:N,Input_APM!L:L,Check!O6)))</f>
        <v>0</v>
      </c>
      <c r="Q6" s="22">
        <f>IF(O6="","",IF(LEN(O6)&gt;9,SUMIFS(Options!$H$3:$H$32,Options!$B$3:$B$32,Check!O6),SUMIFS('Master P&amp;L'!$H$11:$H$88,'Master P&amp;L'!$B$11:$B$88,Check!O6)))</f>
        <v>0</v>
      </c>
      <c r="R6" s="217">
        <f t="shared" ref="R6:R69" si="1">IF(O6="","",P6-Q6)</f>
        <v>0</v>
      </c>
      <c r="S6" s="361" t="str">
        <f t="shared" ref="S6:S69" si="2">IF(O6="","",IF((P6+Q6)=0,"Ok",IF(OR(P6=0,Q6=0),"Erro",P6/Q6)))</f>
        <v>Ok</v>
      </c>
      <c r="V6" s="13"/>
    </row>
    <row r="7" spans="2:22">
      <c r="B7" t="s">
        <v>2166</v>
      </c>
      <c r="C7" s="233">
        <f>IF(B7="","",IF(LEN(B7)&gt;9,SUMIFS(Options!$H$3:$H$32,Options!$B$3:$B$32,Check!B7),SUMIFS('Master P&amp;L'!$H$11:$H$88,'Master P&amp;L'!$B$11:$B$88,Check!B7)))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2294</v>
      </c>
      <c r="P7" s="217">
        <f>IF(O7="","",IF(OR(LEFT(O7,4)="Cash",LEFT(O7,4)="Prov"),0,SUMIFS(Input_APM!N:N,Input_APM!L:L,Check!O7)))</f>
        <v>-23</v>
      </c>
      <c r="Q7" s="22">
        <f>IF(O7="","",IF(LEN(O7)&gt;9,SUMIFS(Options!$H$3:$H$32,Options!$B$3:$B$32,Check!O7),SUMIFS('Master P&amp;L'!$H$11:$H$88,'Master P&amp;L'!$B$11:$B$88,Check!O7)))</f>
        <v>-25</v>
      </c>
      <c r="R7" s="217">
        <f t="shared" si="1"/>
        <v>2</v>
      </c>
      <c r="S7" s="361">
        <f t="shared" si="2"/>
        <v>0.92</v>
      </c>
      <c r="V7" s="13"/>
    </row>
    <row r="8" spans="2:22">
      <c r="B8" t="s">
        <v>38</v>
      </c>
      <c r="C8" s="233">
        <f>IF(B8="","",IF(LEN(B8)&gt;9,SUMIFS(Options!$H$3:$H$32,Options!$B$3:$B$32,Check!B8),SUMIFS('Master P&amp;L'!$H$11:$H$88,'Master P&amp;L'!$B$11:$B$88,Check!B8)))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2295</v>
      </c>
      <c r="P8" s="217">
        <f>IF(O8="","",IF(OR(LEFT(O8,4)="Cash",LEFT(O8,4)="Prov"),0,SUMIFS(Input_APM!N:N,Input_APM!L:L,Check!O8)))</f>
        <v>117</v>
      </c>
      <c r="Q8" s="22">
        <f>IF(O8="","",IF(LEN(O8)&gt;9,SUMIFS(Options!$H$3:$H$32,Options!$B$3:$B$32,Check!O8),SUMIFS('Master P&amp;L'!$H$11:$H$88,'Master P&amp;L'!$B$11:$B$88,Check!O8)))</f>
        <v>125</v>
      </c>
      <c r="R8" s="217">
        <f t="shared" si="1"/>
        <v>-8</v>
      </c>
      <c r="S8" s="361">
        <f t="shared" si="2"/>
        <v>0.93600000000000005</v>
      </c>
      <c r="V8" s="13"/>
    </row>
    <row r="9" spans="2:22">
      <c r="B9" t="s">
        <v>2324</v>
      </c>
      <c r="C9" s="233">
        <f>IF(B9="","",IF(LEN(B9)&gt;9,SUMIFS(Options!$H$3:$H$32,Options!$B$3:$B$32,Check!B9),SUMIFS('Master P&amp;L'!$H$11:$H$88,'Master P&amp;L'!$B$11:$B$88,Check!B9)))</f>
        <v>0</v>
      </c>
      <c r="D9" s="233">
        <f>IF(B9="","",SUMIFS(Input_APM!N:N,Input_APM!L:L,Check!B9,Input_APM!M:M,Check!$F$1))</f>
        <v>0</v>
      </c>
      <c r="E9" s="219">
        <f>IF(B9="","",C9-M9)</f>
        <v>0</v>
      </c>
      <c r="F9" s="233">
        <f>IF(B9="","",SUMIFS(Input_APM!N:N,Input_APM!M:M,Check!$F$1,Input_APM!L:L,Check!B9))</f>
        <v>0</v>
      </c>
      <c r="G9" s="233">
        <f>IF(B9="","",SUMIFS(Input_APM!N:N,Input_APM!M:M,Check!$G$1,Input_APM!L:L,Check!B9))</f>
        <v>0</v>
      </c>
      <c r="H9" s="217">
        <f t="shared" si="0"/>
        <v>0</v>
      </c>
      <c r="I9" s="217">
        <f>SUMIFS(Input_APM!N:N,Input_APM!L:L,Check!B9)</f>
        <v>0</v>
      </c>
      <c r="J9" s="219">
        <f t="shared" si="3"/>
        <v>0</v>
      </c>
      <c r="K9" s="22">
        <f>IF(B9="","",SUMIFS('Input_APM (Zenith)'!N:N,'Input_APM (Zenith)'!L:L,Check!B9,'Input_APM (Zenith)'!M:M,Check!$F$1))</f>
        <v>0</v>
      </c>
      <c r="L9" s="22">
        <f>IF(B9="","",SUMIFS('Input_APM (Zenith)'!N:N,'Input_APM (Zenith)'!L:L,Check!B9,'Input_APM (Zenith)'!M:M,Check!$G$1))</f>
        <v>0</v>
      </c>
      <c r="M9" s="240">
        <f t="shared" si="4"/>
        <v>0</v>
      </c>
      <c r="O9" t="s">
        <v>399</v>
      </c>
      <c r="P9" s="217">
        <f>IF(O9="","",IF(OR(LEFT(O9,4)="Cash",LEFT(O9,4)="Prov"),0,SUMIFS(Input_APM!N:N,Input_APM!L:L,Check!O9)))</f>
        <v>10709</v>
      </c>
      <c r="Q9" s="22">
        <f>IF(O9="","",IF(LEN(O9)&gt;9,SUMIFS(Options!$H$3:$H$32,Options!$B$3:$B$32,Check!O9),SUMIFS('Master P&amp;L'!$H$11:$H$88,'Master P&amp;L'!$B$11:$B$88,Check!O9)))</f>
        <v>11435</v>
      </c>
      <c r="R9" s="217">
        <f t="shared" si="1"/>
        <v>-726</v>
      </c>
      <c r="S9" s="361">
        <f t="shared" si="2"/>
        <v>0.9365107127240927</v>
      </c>
      <c r="V9" s="13"/>
    </row>
    <row r="10" spans="2:22">
      <c r="B10" t="s">
        <v>131</v>
      </c>
      <c r="C10" s="233">
        <f>IF(B10="","",IF(LEN(B10)&gt;9,SUMIFS(Options!$H$3:$H$32,Options!$B$3:$B$32,Check!B10),SUMIFS('Master P&amp;L'!$H$11:$H$88,'Master P&amp;L'!$B$11:$B$88,Check!B10)))</f>
        <v>14800</v>
      </c>
      <c r="D10" s="233">
        <f>IF(B10="","",SUMIFS(Input_APM!N:N,Input_APM!L:L,Check!B10,Input_APM!M:M,Check!$F$1))</f>
        <v>0</v>
      </c>
      <c r="E10" s="217">
        <f t="shared" ref="E10:E65" si="5">IF(B10="","",C10-M10)</f>
        <v>14800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2267</v>
      </c>
      <c r="P10" s="217">
        <f>IF(O10="","",IF(OR(LEFT(O10,4)="Cash",LEFT(O10,4)="Prov"),0,SUMIFS(Input_APM!N:N,Input_APM!L:L,Check!O10)))</f>
        <v>1405</v>
      </c>
      <c r="Q10" s="22">
        <f>IF(O10="","",IF(LEN(O10)&gt;9,SUMIFS(Options!$H$3:$H$32,Options!$B$3:$B$32,Check!O10),SUMIFS('Master P&amp;L'!$H$11:$H$88,'Master P&amp;L'!$B$11:$B$88,Check!O10)))</f>
        <v>2000</v>
      </c>
      <c r="R10" s="217">
        <f t="shared" si="1"/>
        <v>-595</v>
      </c>
      <c r="S10" s="361">
        <f t="shared" si="2"/>
        <v>0.70250000000000001</v>
      </c>
      <c r="V10" s="13"/>
    </row>
    <row r="11" spans="2:22">
      <c r="B11" t="s">
        <v>2175</v>
      </c>
      <c r="C11" s="233">
        <f>IF(B11="","",IF(LEN(B11)&gt;9,SUMIFS(Options!$H$3:$H$32,Options!$B$3:$B$32,Check!B11),SUMIFS('Master P&amp;L'!$H$11:$H$88,'Master P&amp;L'!$B$11:$B$88,Check!B11)))</f>
        <v>14800</v>
      </c>
      <c r="D11" s="233">
        <f>IF(B11="","",SUMIFS(Input_APM!N:N,Input_APM!L:L,Check!B11,Input_APM!M:M,Check!$F$1))</f>
        <v>6937</v>
      </c>
      <c r="E11" s="217">
        <f t="shared" si="5"/>
        <v>7400</v>
      </c>
      <c r="F11" s="233">
        <f>IF(B11="","",SUMIFS(Input_APM!N:N,Input_APM!M:M,Check!$F$1,Input_APM!L:L,Check!B11))</f>
        <v>6937</v>
      </c>
      <c r="G11" s="233">
        <f>IF(B11="","",SUMIFS(Input_APM!N:N,Input_APM!M:M,Check!$G$1,Input_APM!L:L,Check!B11))</f>
        <v>0</v>
      </c>
      <c r="H11" s="217">
        <f t="shared" si="0"/>
        <v>6937</v>
      </c>
      <c r="I11" s="217">
        <f>SUMIFS(Input_APM!N:N,Input_APM!L:L,Check!B11)</f>
        <v>6937</v>
      </c>
      <c r="J11" s="219">
        <f t="shared" si="3"/>
        <v>0</v>
      </c>
      <c r="K11" s="22">
        <f>IF(B11="","",SUMIFS('Input_APM (Zenith)'!N:N,'Input_APM (Zenith)'!L:L,Check!B11,'Input_APM (Zenith)'!M:M,Check!$F$1))</f>
        <v>463</v>
      </c>
      <c r="L11" s="22">
        <f>IF(B11="","",SUMIFS('Input_APM (Zenith)'!N:N,'Input_APM (Zenith)'!L:L,Check!B11,'Input_APM (Zenith)'!M:M,Check!$G$1))</f>
        <v>0</v>
      </c>
      <c r="M11" s="240">
        <f t="shared" si="4"/>
        <v>7400</v>
      </c>
      <c r="O11" t="s">
        <v>2323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IF(O11="","",IF(LEN(O11)&gt;9,SUMIFS(Options!$H$3:$H$32,Options!$B$3:$B$32,Check!O11),SUMIFS('Master P&amp;L'!$H$11:$H$88,'Master P&amp;L'!$B$11:$B$88,Check!O11)))</f>
        <v>0</v>
      </c>
      <c r="R11" s="217">
        <f t="shared" si="1"/>
        <v>0</v>
      </c>
      <c r="S11" s="361" t="str">
        <f t="shared" si="2"/>
        <v>Ok</v>
      </c>
      <c r="V11" s="13"/>
    </row>
    <row r="12" spans="2:22">
      <c r="B12" t="s">
        <v>399</v>
      </c>
      <c r="C12" s="233">
        <f>IF(B12="","",IF(LEN(B12)&gt;9,SUMIFS(Options!$H$3:$H$32,Options!$B$3:$B$32,Check!B12),SUMIFS('Master P&amp;L'!$H$11:$H$88,'Master P&amp;L'!$B$11:$B$88,Check!B12)))</f>
        <v>11435</v>
      </c>
      <c r="D12" s="233">
        <f>IF(B12="","",SUMIFS(Input_APM!N:N,Input_APM!L:L,Check!B12,Input_APM!M:M,Check!$F$1))</f>
        <v>10709</v>
      </c>
      <c r="E12" s="217">
        <f t="shared" si="5"/>
        <v>0</v>
      </c>
      <c r="F12" s="233">
        <f>IF(B12="","",SUMIFS(Input_APM!N:N,Input_APM!M:M,Check!$F$1,Input_APM!L:L,Check!B12))</f>
        <v>10709</v>
      </c>
      <c r="G12" s="233">
        <f>IF(B12="","",SUMIFS(Input_APM!N:N,Input_APM!M:M,Check!$G$1,Input_APM!L:L,Check!B12))</f>
        <v>0</v>
      </c>
      <c r="H12" s="217">
        <f t="shared" si="0"/>
        <v>10709</v>
      </c>
      <c r="I12" s="217">
        <f>SUMIFS(Input_APM!N:N,Input_APM!L:L,Check!B12)</f>
        <v>10709</v>
      </c>
      <c r="J12" s="219">
        <f t="shared" si="3"/>
        <v>0</v>
      </c>
      <c r="K12" s="22">
        <f>IF(B12="","",SUMIFS('Input_APM (Zenith)'!N:N,'Input_APM (Zenith)'!L:L,Check!B12,'Input_APM (Zenith)'!M:M,Check!$F$1))</f>
        <v>726</v>
      </c>
      <c r="L12" s="22">
        <f>IF(B12="","",SUMIFS('Input_APM (Zenith)'!N:N,'Input_APM (Zenith)'!L:L,Check!B12,'Input_APM (Zenith)'!M:M,Check!$G$1))</f>
        <v>0</v>
      </c>
      <c r="M12" s="240">
        <f t="shared" si="4"/>
        <v>11435</v>
      </c>
      <c r="O12" t="s">
        <v>137</v>
      </c>
      <c r="P12" s="217">
        <f>IF(O12="","",IF(OR(LEFT(O12,4)="Cash",LEFT(O12,4)="Prov"),0,SUMIFS(Input_APM!N:N,Input_APM!L:L,Check!O12)))</f>
        <v>11404</v>
      </c>
      <c r="Q12" s="22">
        <f>IF(O12="","",IF(LEN(O12)&gt;9,SUMIFS(Options!$H$3:$H$32,Options!$B$3:$B$32,Check!O12),SUMIFS('Master P&amp;L'!$H$11:$H$88,'Master P&amp;L'!$B$11:$B$88,Check!O12)))</f>
        <v>7000</v>
      </c>
      <c r="R12" s="217">
        <f t="shared" si="1"/>
        <v>4404</v>
      </c>
      <c r="S12" s="361">
        <f t="shared" si="2"/>
        <v>1.6291428571428572</v>
      </c>
      <c r="V12" s="13"/>
    </row>
    <row r="13" spans="2:22">
      <c r="B13" t="s">
        <v>81</v>
      </c>
      <c r="C13" s="233">
        <f>IF(B13="","",IF(LEN(B13)&gt;9,SUMIFS(Options!$H$3:$H$32,Options!$B$3:$B$32,Check!B13),SUMIFS('Master P&amp;L'!$H$11:$H$88,'Master P&amp;L'!$B$11:$B$88,Check!B13)))</f>
        <v>6000</v>
      </c>
      <c r="D13" s="233">
        <f>IF(B13="","",SUMIFS(Input_APM!N:N,Input_APM!L:L,Check!B13,Input_APM!M:M,Check!$F$1))</f>
        <v>5618</v>
      </c>
      <c r="E13" s="219">
        <f t="shared" si="5"/>
        <v>0</v>
      </c>
      <c r="F13" s="233">
        <f>IF(B13="","",SUMIFS(Input_APM!N:N,Input_APM!M:M,Check!$F$1,Input_APM!L:L,Check!B13))</f>
        <v>5618</v>
      </c>
      <c r="G13" s="233">
        <f>IF(B13="","",SUMIFS(Input_APM!N:N,Input_APM!M:M,Check!$G$1,Input_APM!L:L,Check!B13))</f>
        <v>0</v>
      </c>
      <c r="H13" s="217">
        <f t="shared" si="0"/>
        <v>5618</v>
      </c>
      <c r="I13" s="217">
        <f>SUMIFS(Input_APM!N:N,Input_APM!L:L,Check!B13)</f>
        <v>5618</v>
      </c>
      <c r="J13" s="219">
        <f t="shared" si="3"/>
        <v>0</v>
      </c>
      <c r="K13" s="22">
        <f>IF(B13="","",SUMIFS('Input_APM (Zenith)'!N:N,'Input_APM (Zenith)'!L:L,Check!B13,'Input_APM (Zenith)'!M:M,Check!$F$1))</f>
        <v>382</v>
      </c>
      <c r="L13" s="22">
        <f>IF(B13="","",SUMIFS('Input_APM (Zenith)'!N:N,'Input_APM (Zenith)'!L:L,Check!B13,'Input_APM (Zenith)'!M:M,Check!$G$1))</f>
        <v>0</v>
      </c>
      <c r="M13" s="240">
        <f t="shared" si="4"/>
        <v>6000</v>
      </c>
      <c r="O13" t="s">
        <v>2120</v>
      </c>
      <c r="P13" s="217">
        <f>IF(O13="","",IF(OR(LEFT(O13,4)="Cash",LEFT(O13,4)="Prov"),0,SUMIFS(Input_APM!N:N,Input_APM!L:L,Check!O13)))</f>
        <v>48</v>
      </c>
      <c r="Q13" s="22">
        <f>IF(O13="","",IF(LEN(O13)&gt;9,SUMIFS(Options!$H$3:$H$32,Options!$B$3:$B$32,Check!O13),SUMIFS('Master P&amp;L'!$H$11:$H$88,'Master P&amp;L'!$B$11:$B$88,Check!O13)))</f>
        <v>50</v>
      </c>
      <c r="R13" s="217">
        <f t="shared" si="1"/>
        <v>-2</v>
      </c>
      <c r="S13" s="361">
        <f t="shared" si="2"/>
        <v>0.96</v>
      </c>
      <c r="V13" s="13"/>
    </row>
    <row r="14" spans="2:22">
      <c r="B14" t="s">
        <v>90</v>
      </c>
      <c r="C14" s="233">
        <f>IF(B14="","",IF(LEN(B14)&gt;9,SUMIFS(Options!$H$3:$H$32,Options!$B$3:$B$32,Check!B14),SUMIFS('Master P&amp;L'!$H$11:$H$88,'Master P&amp;L'!$B$11:$B$88,Check!B14)))</f>
        <v>3500</v>
      </c>
      <c r="D14" s="233">
        <f>IF(B14="","",SUMIFS(Input_APM!N:N,Input_APM!L:L,Check!B14,Input_APM!M:M,Check!$F$1))</f>
        <v>4310</v>
      </c>
      <c r="E14" s="217">
        <f t="shared" si="5"/>
        <v>-1110</v>
      </c>
      <c r="F14" s="233">
        <f>IF(B14="","",SUMIFS(Input_APM!N:N,Input_APM!M:M,Check!$F$1,Input_APM!L:L,Check!B14))</f>
        <v>4310</v>
      </c>
      <c r="G14" s="233">
        <f>IF(B14="","",SUMIFS(Input_APM!N:N,Input_APM!M:M,Check!$G$1,Input_APM!L:L,Check!B14))</f>
        <v>0</v>
      </c>
      <c r="H14" s="217">
        <f t="shared" si="0"/>
        <v>4310</v>
      </c>
      <c r="I14" s="217">
        <f>SUMIFS(Input_APM!N:N,Input_APM!L:L,Check!B14)</f>
        <v>4310</v>
      </c>
      <c r="J14" s="219">
        <f t="shared" si="3"/>
        <v>0</v>
      </c>
      <c r="K14" s="22">
        <f>IF(B14="","",SUMIFS('Input_APM (Zenith)'!N:N,'Input_APM (Zenith)'!L:L,Check!B14,'Input_APM (Zenith)'!M:M,Check!$F$1))</f>
        <v>300</v>
      </c>
      <c r="L14" s="22">
        <f>IF(B14="","",SUMIFS('Input_APM (Zenith)'!N:N,'Input_APM (Zenith)'!L:L,Check!B14,'Input_APM (Zenith)'!M:M,Check!$G$1))</f>
        <v>0</v>
      </c>
      <c r="M14" s="240">
        <f t="shared" si="4"/>
        <v>4610</v>
      </c>
      <c r="O14" t="s">
        <v>2122</v>
      </c>
      <c r="P14" s="217">
        <f>IF(O14="","",IF(OR(LEFT(O14,4)="Cash",LEFT(O14,4)="Prov"),0,SUMIFS(Input_APM!N:N,Input_APM!L:L,Check!O14)))</f>
        <v>-39</v>
      </c>
      <c r="Q14" s="22">
        <f>IF(O14="","",IF(LEN(O14)&gt;9,SUMIFS(Options!$H$3:$H$32,Options!$B$3:$B$32,Check!O14),SUMIFS('Master P&amp;L'!$H$11:$H$88,'Master P&amp;L'!$B$11:$B$88,Check!O14)))</f>
        <v>-25</v>
      </c>
      <c r="R14" s="217">
        <f t="shared" si="1"/>
        <v>-14</v>
      </c>
      <c r="S14" s="361">
        <f t="shared" si="2"/>
        <v>1.56</v>
      </c>
      <c r="V14" s="13"/>
    </row>
    <row r="15" spans="2:22">
      <c r="B15" t="s">
        <v>1761</v>
      </c>
      <c r="C15" s="233">
        <f>IF(B15="","",IF(LEN(B15)&gt;9,SUMIFS(Options!$H$3:$H$32,Options!$B$3:$B$32,Check!B15),SUMIFS('Master P&amp;L'!$H$11:$H$88,'Master P&amp;L'!$B$11:$B$88,Check!B15)))</f>
        <v>0</v>
      </c>
      <c r="D15" s="233">
        <f>IF(B15="","",SUMIFS(Input_APM!N:N,Input_APM!L:L,Check!B15,Input_APM!M:M,Check!$F$1))</f>
        <v>1400</v>
      </c>
      <c r="E15" s="219">
        <f t="shared" si="5"/>
        <v>-1500</v>
      </c>
      <c r="F15" s="233">
        <f>IF(B15="","",SUMIFS(Input_APM!N:N,Input_APM!M:M,Check!$F$1,Input_APM!L:L,Check!B15))</f>
        <v>1400</v>
      </c>
      <c r="G15" s="233">
        <f>IF(B15="","",SUMIFS(Input_APM!N:N,Input_APM!M:M,Check!$G$1,Input_APM!L:L,Check!B15))</f>
        <v>0</v>
      </c>
      <c r="H15" s="217">
        <f t="shared" si="0"/>
        <v>1400</v>
      </c>
      <c r="I15" s="217">
        <f>SUMIFS(Input_APM!N:N,Input_APM!L:L,Check!B15)</f>
        <v>1400</v>
      </c>
      <c r="J15" s="219">
        <f t="shared" si="3"/>
        <v>0</v>
      </c>
      <c r="K15" s="22">
        <f>IF(B15="","",SUMIFS('Input_APM (Zenith)'!N:N,'Input_APM (Zenith)'!L:L,Check!B15,'Input_APM (Zenith)'!M:M,Check!$F$1))</f>
        <v>100</v>
      </c>
      <c r="L15" s="22">
        <f>IF(B15="","",SUMIFS('Input_APM (Zenith)'!N:N,'Input_APM (Zenith)'!L:L,Check!B15,'Input_APM (Zenith)'!M:M,Check!$G$1))</f>
        <v>0</v>
      </c>
      <c r="M15" s="240">
        <f t="shared" si="4"/>
        <v>1500</v>
      </c>
      <c r="O15" t="s">
        <v>461</v>
      </c>
      <c r="P15" s="217">
        <f>IF(O15="","",IF(OR(LEFT(O15,4)="Cash",LEFT(O15,4)="Prov"),0,SUMIFS(Input_APM!N:N,Input_APM!L:L,Check!O15)))</f>
        <v>3163</v>
      </c>
      <c r="Q15" s="22">
        <f>IF(O15="","",IF(LEN(O15)&gt;9,SUMIFS(Options!$H$3:$H$32,Options!$B$3:$B$32,Check!O15),SUMIFS('Master P&amp;L'!$H$11:$H$88,'Master P&amp;L'!$B$11:$B$88,Check!O15)))</f>
        <v>3378</v>
      </c>
      <c r="R15" s="217">
        <f t="shared" si="1"/>
        <v>-215</v>
      </c>
      <c r="S15" s="361">
        <f t="shared" si="2"/>
        <v>0.9363528715216104</v>
      </c>
      <c r="V15" s="13"/>
    </row>
    <row r="16" spans="2:22">
      <c r="B16" t="s">
        <v>1754</v>
      </c>
      <c r="C16" s="233">
        <f>IF(B16="","",IF(LEN(B16)&gt;9,SUMIFS(Options!$H$3:$H$32,Options!$B$3:$B$32,Check!B16),SUMIFS('Master P&amp;L'!$H$11:$H$88,'Master P&amp;L'!$B$11:$B$88,Check!B16)))</f>
        <v>42000</v>
      </c>
      <c r="D16" s="233">
        <f>IF(B16="","",SUMIFS(Input_APM!N:N,Input_APM!L:L,Check!B16,Input_APM!M:M,Check!$F$1))</f>
        <v>39308</v>
      </c>
      <c r="E16" s="217">
        <f t="shared" si="5"/>
        <v>0</v>
      </c>
      <c r="F16" s="233">
        <f>IF(B16="","",SUMIFS(Input_APM!N:N,Input_APM!M:M,Check!$F$1,Input_APM!L:L,Check!B16))</f>
        <v>39308</v>
      </c>
      <c r="G16" s="233">
        <f>IF(B16="","",SUMIFS(Input_APM!N:N,Input_APM!M:M,Check!$G$1,Input_APM!L:L,Check!B16))</f>
        <v>0</v>
      </c>
      <c r="H16" s="217">
        <f t="shared" si="0"/>
        <v>39308</v>
      </c>
      <c r="I16" s="217">
        <f>SUMIFS(Input_APM!N:N,Input_APM!L:L,Check!B16)</f>
        <v>39308</v>
      </c>
      <c r="J16" s="219">
        <f t="shared" si="3"/>
        <v>0</v>
      </c>
      <c r="K16" s="22">
        <f>IF(B16="","",SUMIFS('Input_APM (Zenith)'!N:N,'Input_APM (Zenith)'!L:L,Check!B16,'Input_APM (Zenith)'!M:M,Check!$F$1))</f>
        <v>2692</v>
      </c>
      <c r="L16" s="22">
        <f>IF(B16="","",SUMIFS('Input_APM (Zenith)'!N:N,'Input_APM (Zenith)'!L:L,Check!B16,'Input_APM (Zenith)'!M:M,Check!$G$1))</f>
        <v>0</v>
      </c>
      <c r="M16" s="240">
        <f t="shared" si="4"/>
        <v>42000</v>
      </c>
      <c r="O16" t="s">
        <v>2166</v>
      </c>
      <c r="P16" s="217">
        <f>IF(O16="","",IF(OR(LEFT(O16,4)="Cash",LEFT(O16,4)="Prov"),0,SUMIFS(Input_APM!N:N,Input_APM!L:L,Check!O16)))</f>
        <v>3285</v>
      </c>
      <c r="Q16" s="22">
        <f>IF(O16="","",IF(LEN(O16)&gt;9,SUMIFS(Options!$H$3:$H$32,Options!$B$3:$B$32,Check!O16),SUMIFS('Master P&amp;L'!$H$11:$H$88,'Master P&amp;L'!$B$11:$B$88,Check!O16)))</f>
        <v>3510</v>
      </c>
      <c r="R16" s="217">
        <f t="shared" si="1"/>
        <v>-225</v>
      </c>
      <c r="S16" s="361">
        <f t="shared" si="2"/>
        <v>0.9358974358974359</v>
      </c>
      <c r="V16" s="13"/>
    </row>
    <row r="17" spans="2:22">
      <c r="B17" t="s">
        <v>2072</v>
      </c>
      <c r="C17" s="233">
        <f>IF(B17="","",IF(LEN(B17)&gt;9,SUMIFS(Options!$H$3:$H$32,Options!$B$3:$B$32,Check!B17),SUMIFS('Master P&amp;L'!$H$11:$H$88,'Master P&amp;L'!$B$11:$B$88,Check!B17)))</f>
        <v>1200</v>
      </c>
      <c r="D17" s="233">
        <f>IF(B17="","",SUMIFS(Input_APM!N:N,Input_APM!L:L,Check!B17,Input_APM!M:M,Check!$F$1))</f>
        <v>-1760</v>
      </c>
      <c r="E17" s="219">
        <f t="shared" si="5"/>
        <v>3076</v>
      </c>
      <c r="F17" s="233">
        <f>IF(B17="","",SUMIFS(Input_APM!N:N,Input_APM!M:M,Check!$F$1,Input_APM!L:L,Check!B17))</f>
        <v>-1760</v>
      </c>
      <c r="G17" s="233">
        <f>IF(B17="","",SUMIFS(Input_APM!N:N,Input_APM!M:M,Check!$G$1,Input_APM!L:L,Check!B17))</f>
        <v>0</v>
      </c>
      <c r="H17" s="217">
        <f t="shared" si="0"/>
        <v>-1760</v>
      </c>
      <c r="I17" s="217">
        <f>SUMIFS(Input_APM!N:N,Input_APM!L:L,Check!B17)</f>
        <v>-1760</v>
      </c>
      <c r="J17" s="219">
        <f t="shared" si="3"/>
        <v>0</v>
      </c>
      <c r="K17" s="22">
        <f>IF(B17="","",SUMIFS('Input_APM (Zenith)'!N:N,'Input_APM (Zenith)'!L:L,Check!B17,'Input_APM (Zenith)'!M:M,Check!$F$1))</f>
        <v>-116</v>
      </c>
      <c r="L17" s="22">
        <f>IF(B17="","",SUMIFS('Input_APM (Zenith)'!N:N,'Input_APM (Zenith)'!L:L,Check!B17,'Input_APM (Zenith)'!M:M,Check!$G$1))</f>
        <v>0</v>
      </c>
      <c r="M17" s="240">
        <f t="shared" si="4"/>
        <v>-1876</v>
      </c>
      <c r="O17" t="s">
        <v>295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IF(O17="","",IF(LEN(O17)&gt;9,SUMIFS(Options!$H$3:$H$32,Options!$B$3:$B$32,Check!O17),SUMIFS('Master P&amp;L'!$H$11:$H$88,'Master P&amp;L'!$B$11:$B$88,Check!O17)))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137</v>
      </c>
      <c r="C18" s="233">
        <f>IF(B18="","",IF(LEN(B18)&gt;9,SUMIFS(Options!$H$3:$H$32,Options!$B$3:$B$32,Check!B18),SUMIFS('Master P&amp;L'!$H$11:$H$88,'Master P&amp;L'!$B$11:$B$88,Check!B18)))</f>
        <v>7000</v>
      </c>
      <c r="D18" s="233">
        <f>IF(B18="","",SUMIFS(Input_APM!N:N,Input_APM!L:L,Check!B18,Input_APM!M:M,Check!$F$1))</f>
        <v>11404</v>
      </c>
      <c r="E18" s="219">
        <f t="shared" si="5"/>
        <v>-5000</v>
      </c>
      <c r="F18" s="233">
        <f>IF(B18="","",SUMIFS(Input_APM!N:N,Input_APM!M:M,Check!$F$1,Input_APM!L:L,Check!B18))</f>
        <v>11404</v>
      </c>
      <c r="G18" s="233">
        <f>IF(B18="","",SUMIFS(Input_APM!N:N,Input_APM!M:M,Check!$G$1,Input_APM!L:L,Check!B18))</f>
        <v>0</v>
      </c>
      <c r="H18" s="217">
        <f t="shared" si="0"/>
        <v>11404</v>
      </c>
      <c r="I18" s="217">
        <f>SUMIFS(Input_APM!N:N,Input_APM!L:L,Check!B18)</f>
        <v>11404</v>
      </c>
      <c r="J18" s="219">
        <f t="shared" si="3"/>
        <v>0</v>
      </c>
      <c r="K18" s="22">
        <f>IF(B18="","",SUMIFS('Input_APM (Zenith)'!N:N,'Input_APM (Zenith)'!L:L,Check!B18,'Input_APM (Zenith)'!M:M,Check!$F$1))</f>
        <v>596</v>
      </c>
      <c r="L18" s="22">
        <f>IF(B18="","",SUMIFS('Input_APM (Zenith)'!N:N,'Input_APM (Zenith)'!L:L,Check!B18,'Input_APM (Zenith)'!M:M,Check!$G$1))</f>
        <v>0</v>
      </c>
      <c r="M18" s="240">
        <f t="shared" si="4"/>
        <v>12000</v>
      </c>
      <c r="O18" t="s">
        <v>296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IF(O18="","",IF(LEN(O18)&gt;9,SUMIFS(Options!$H$3:$H$32,Options!$B$3:$B$32,Check!O18),SUMIFS('Master P&amp;L'!$H$11:$H$88,'Master P&amp;L'!$B$11:$B$88,Check!O18)))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96</v>
      </c>
      <c r="C19" s="233">
        <f>IF(B19="","",IF(LEN(B19)&gt;9,SUMIFS(Options!$H$3:$H$32,Options!$B$3:$B$32,Check!B19),SUMIFS('Master P&amp;L'!$H$11:$H$88,'Master P&amp;L'!$B$11:$B$88,Check!B19)))</f>
        <v>9500</v>
      </c>
      <c r="D19" s="233">
        <f>IF(B19="","",SUMIFS(Input_APM!N:N,Input_APM!L:L,Check!B19,Input_APM!M:M,Check!$F$1))</f>
        <v>8403</v>
      </c>
      <c r="E19" s="219">
        <f t="shared" si="5"/>
        <v>500</v>
      </c>
      <c r="F19" s="233">
        <f>IF(B19="","",SUMIFS(Input_APM!N:N,Input_APM!M:M,Check!$F$1,Input_APM!L:L,Check!B19))</f>
        <v>8403</v>
      </c>
      <c r="G19" s="233">
        <f>IF(B19="","",SUMIFS(Input_APM!N:N,Input_APM!M:M,Check!$G$1,Input_APM!L:L,Check!B19))</f>
        <v>0</v>
      </c>
      <c r="H19" s="217">
        <f t="shared" si="0"/>
        <v>8403</v>
      </c>
      <c r="I19" s="217">
        <f>SUMIFS(Input_APM!N:N,Input_APM!L:L,Check!B19)</f>
        <v>8403</v>
      </c>
      <c r="J19" s="219">
        <f t="shared" si="3"/>
        <v>0</v>
      </c>
      <c r="K19" s="22">
        <f>IF(B19="","",SUMIFS('Input_APM (Zenith)'!N:N,'Input_APM (Zenith)'!L:L,Check!B19,'Input_APM (Zenith)'!M:M,Check!$F$1))</f>
        <v>597</v>
      </c>
      <c r="L19" s="22">
        <f>IF(B19="","",SUMIFS('Input_APM (Zenith)'!N:N,'Input_APM (Zenith)'!L:L,Check!B19,'Input_APM (Zenith)'!M:M,Check!$G$1))</f>
        <v>0</v>
      </c>
      <c r="M19" s="240">
        <f t="shared" si="4"/>
        <v>9000</v>
      </c>
      <c r="O19" t="s">
        <v>297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IF(O19="","",IF(LEN(O19)&gt;9,SUMIFS(Options!$H$3:$H$32,Options!$B$3:$B$32,Check!O19),SUMIFS('Master P&amp;L'!$H$11:$H$88,'Master P&amp;L'!$B$11:$B$88,Check!O19)))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94</v>
      </c>
      <c r="C20" s="233">
        <f>IF(B20="","",IF(LEN(B20)&gt;9,SUMIFS(Options!$H$3:$H$32,Options!$B$3:$B$32,Check!B20),SUMIFS('Master P&amp;L'!$H$11:$H$88,'Master P&amp;L'!$B$11:$B$88,Check!B20)))</f>
        <v>25392</v>
      </c>
      <c r="D20" s="233">
        <f>IF(B20="","",SUMIFS(Input_APM!N:N,Input_APM!L:L,Check!B20,Input_APM!M:M,Check!$F$1))</f>
        <v>23756</v>
      </c>
      <c r="E20" s="219">
        <f>IF(B20="","",C20-M20)</f>
        <v>0</v>
      </c>
      <c r="F20" s="233">
        <f>IF(B20="","",SUMIFS(Input_APM!N:N,Input_APM!M:M,Check!$F$1,Input_APM!L:L,Check!B20))</f>
        <v>23756</v>
      </c>
      <c r="G20" s="233">
        <f>IF(B20="","",SUMIFS(Input_APM!N:N,Input_APM!M:M,Check!$G$1,Input_APM!L:L,Check!B20))</f>
        <v>0</v>
      </c>
      <c r="H20" s="217">
        <f t="shared" si="0"/>
        <v>23756</v>
      </c>
      <c r="I20" s="217">
        <f>SUMIFS(Input_APM!N:N,Input_APM!L:L,Check!B20)</f>
        <v>23756</v>
      </c>
      <c r="J20" s="219">
        <f t="shared" si="3"/>
        <v>0</v>
      </c>
      <c r="K20" s="22">
        <f>IF(B20="","",SUMIFS('Input_APM (Zenith)'!N:N,'Input_APM (Zenith)'!L:L,Check!B20,'Input_APM (Zenith)'!M:M,Check!$F$1))</f>
        <v>1636</v>
      </c>
      <c r="L20" s="22">
        <f>IF(B20="","",SUMIFS('Input_APM (Zenith)'!N:N,'Input_APM (Zenith)'!L:L,Check!B20,'Input_APM (Zenith)'!M:M,Check!$G$1))</f>
        <v>0</v>
      </c>
      <c r="M20" s="240">
        <f t="shared" si="4"/>
        <v>25392</v>
      </c>
      <c r="O20" t="s">
        <v>2141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IF(O20="","",IF(LEN(O20)&gt;9,SUMIFS(Options!$H$3:$H$32,Options!$B$3:$B$32,Check!O20),SUMIFS('Master P&amp;L'!$H$11:$H$88,'Master P&amp;L'!$B$11:$B$88,Check!O20)))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138</v>
      </c>
      <c r="C21" s="233">
        <f>IF(B21="","",IF(LEN(B21)&gt;9,SUMIFS(Options!$H$3:$H$32,Options!$B$3:$B$32,Check!B21),SUMIFS('Master P&amp;L'!$H$11:$H$88,'Master P&amp;L'!$B$11:$B$88,Check!B21)))</f>
        <v>-49</v>
      </c>
      <c r="D21" s="233">
        <f>IF(B21="","",SUMIFS(Input_APM!N:N,Input_APM!L:L,Check!B21,Input_APM!M:M,Check!$F$1))</f>
        <v>-1406</v>
      </c>
      <c r="E21" s="217">
        <f t="shared" si="5"/>
        <v>1451</v>
      </c>
      <c r="F21" s="233">
        <f>IF(B21="","",SUMIFS(Input_APM!N:N,Input_APM!M:M,Check!$F$1,Input_APM!L:L,Check!B21))</f>
        <v>-1406</v>
      </c>
      <c r="G21" s="233">
        <f>IF(B21="","",SUMIFS(Input_APM!N:N,Input_APM!M:M,Check!$G$1,Input_APM!L:L,Check!B21))</f>
        <v>0</v>
      </c>
      <c r="H21" s="217">
        <f t="shared" si="0"/>
        <v>-1406</v>
      </c>
      <c r="I21" s="217">
        <f>SUMIFS(Input_APM!N:N,Input_APM!L:L,Check!B21)</f>
        <v>-1406</v>
      </c>
      <c r="J21" s="219">
        <f t="shared" si="3"/>
        <v>0</v>
      </c>
      <c r="K21" s="22">
        <f>IF(B21="","",SUMIFS('Input_APM (Zenith)'!N:N,'Input_APM (Zenith)'!L:L,Check!B21,'Input_APM (Zenith)'!M:M,Check!$F$1))</f>
        <v>-94</v>
      </c>
      <c r="L21" s="22">
        <f>IF(B21="","",SUMIFS('Input_APM (Zenith)'!N:N,'Input_APM (Zenith)'!L:L,Check!B21,'Input_APM (Zenith)'!M:M,Check!$G$1))</f>
        <v>0</v>
      </c>
      <c r="M21" s="240">
        <f t="shared" si="4"/>
        <v>-1500</v>
      </c>
      <c r="O21" t="s">
        <v>298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IF(O21="","",IF(LEN(O21)&gt;9,SUMIFS(Options!$H$3:$H$32,Options!$B$3:$B$32,Check!O21),SUMIFS('Master P&amp;L'!$H$11:$H$88,'Master P&amp;L'!$B$11:$B$88,Check!O21)))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2150</v>
      </c>
      <c r="C22" s="233">
        <f>IF(B22="","",IF(LEN(B22)&gt;9,SUMIFS(Options!$H$3:$H$32,Options!$B$3:$B$32,Check!B22),SUMIFS('Master P&amp;L'!$H$11:$H$88,'Master P&amp;L'!$B$11:$B$88,Check!B22)))</f>
        <v>24092</v>
      </c>
      <c r="D22" s="233">
        <f>IF(B22="","",SUMIFS(Input_APM!N:N,Input_APM!L:L,Check!B22,Input_APM!M:M,Check!$F$1))</f>
        <v>20567</v>
      </c>
      <c r="E22" s="217">
        <f t="shared" si="5"/>
        <v>2092</v>
      </c>
      <c r="F22" s="233">
        <f>IF(B22="","",SUMIFS(Input_APM!N:N,Input_APM!M:M,Check!$F$1,Input_APM!L:L,Check!B22))</f>
        <v>20567</v>
      </c>
      <c r="G22" s="233">
        <f>IF(B22="","",SUMIFS(Input_APM!N:N,Input_APM!M:M,Check!$G$1,Input_APM!L:L,Check!B22))</f>
        <v>0</v>
      </c>
      <c r="H22" s="217">
        <f t="shared" si="0"/>
        <v>20567</v>
      </c>
      <c r="I22" s="217">
        <f>SUMIFS(Input_APM!N:N,Input_APM!L:L,Check!B22)</f>
        <v>20567</v>
      </c>
      <c r="J22" s="219">
        <f t="shared" si="3"/>
        <v>0</v>
      </c>
      <c r="K22" s="22">
        <f>IF(B22="","",SUMIFS('Input_APM (Zenith)'!N:N,'Input_APM (Zenith)'!L:L,Check!B22,'Input_APM (Zenith)'!M:M,Check!$F$1))</f>
        <v>1433</v>
      </c>
      <c r="L22" s="22">
        <f>IF(B22="","",SUMIFS('Input_APM (Zenith)'!N:N,'Input_APM (Zenith)'!L:L,Check!B22,'Input_APM (Zenith)'!M:M,Check!$G$1))</f>
        <v>0</v>
      </c>
      <c r="M22" s="240">
        <f t="shared" si="4"/>
        <v>22000</v>
      </c>
      <c r="O22" t="s">
        <v>299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IF(O22="","",IF(LEN(O22)&gt;9,SUMIFS(Options!$H$3:$H$32,Options!$B$3:$B$32,Check!O22),SUMIFS('Master P&amp;L'!$H$11:$H$88,'Master P&amp;L'!$B$11:$B$88,Check!O22)))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88</v>
      </c>
      <c r="C23" s="233">
        <f>IF(B23="","",IF(LEN(B23)&gt;9,SUMIFS(Options!$H$3:$H$32,Options!$B$3:$B$32,Check!B23),SUMIFS('Master P&amp;L'!$H$11:$H$88,'Master P&amp;L'!$B$11:$B$88,Check!B23)))</f>
        <v>45750</v>
      </c>
      <c r="D23" s="233">
        <f>IF(B23="","",SUMIFS(Input_APM!N:N,Input_APM!L:L,Check!B23,Input_APM!M:M,Check!$F$1))</f>
        <v>38694</v>
      </c>
      <c r="E23" s="217">
        <f t="shared" si="5"/>
        <v>4450</v>
      </c>
      <c r="F23" s="233">
        <f>IF(B23="","",SUMIFS(Input_APM!N:N,Input_APM!M:M,Check!$F$1,Input_APM!L:L,Check!B23))</f>
        <v>38694</v>
      </c>
      <c r="G23" s="233">
        <f>IF(B23="","",SUMIFS(Input_APM!N:N,Input_APM!M:M,Check!$G$1,Input_APM!L:L,Check!B23))</f>
        <v>0</v>
      </c>
      <c r="H23" s="217">
        <f t="shared" si="0"/>
        <v>38694</v>
      </c>
      <c r="I23" s="217">
        <f>SUMIFS(Input_APM!N:N,Input_APM!L:L,Check!B23)</f>
        <v>38694</v>
      </c>
      <c r="J23" s="219">
        <f t="shared" si="3"/>
        <v>0</v>
      </c>
      <c r="K23" s="22">
        <f>IF(B23="","",SUMIFS('Input_APM (Zenith)'!N:N,'Input_APM (Zenith)'!L:L,Check!B23,'Input_APM (Zenith)'!M:M,Check!$F$1))</f>
        <v>2606</v>
      </c>
      <c r="L23" s="22">
        <f>IF(B23="","",SUMIFS('Input_APM (Zenith)'!N:N,'Input_APM (Zenith)'!L:L,Check!B23,'Input_APM (Zenith)'!M:M,Check!$G$1))</f>
        <v>0</v>
      </c>
      <c r="M23" s="240">
        <f t="shared" si="4"/>
        <v>41300</v>
      </c>
      <c r="O23" t="s">
        <v>300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IF(O23="","",IF(LEN(O23)&gt;9,SUMIFS(Options!$H$3:$H$32,Options!$B$3:$B$32,Check!O23),SUMIFS('Master P&amp;L'!$H$11:$H$88,'Master P&amp;L'!$B$11:$B$88,Check!O23)))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2330</v>
      </c>
      <c r="C24" s="233">
        <f>IF(B24="","",IF(LEN(B24)&gt;9,SUMIFS(Options!$H$3:$H$32,Options!$B$3:$B$32,Check!B24),SUMIFS('Master P&amp;L'!$H$11:$H$88,'Master P&amp;L'!$B$11:$B$88,Check!B24)))</f>
        <v>-10000</v>
      </c>
      <c r="D24" s="233">
        <f>IF(B24="","",SUMIFS(Input_APM!N:N,Input_APM!L:L,Check!B24,Input_APM!M:M,Check!$F$1))</f>
        <v>-9374</v>
      </c>
      <c r="E24" s="217">
        <f t="shared" si="5"/>
        <v>0</v>
      </c>
      <c r="F24" s="233">
        <f>IF(B24="","",SUMIFS(Input_APM!N:N,Input_APM!M:M,Check!$F$1,Input_APM!L:L,Check!B24))</f>
        <v>-9374</v>
      </c>
      <c r="G24" s="233">
        <f>IF(B24="","",SUMIFS(Input_APM!N:N,Input_APM!M:M,Check!$G$1,Input_APM!L:L,Check!B24))</f>
        <v>0</v>
      </c>
      <c r="H24" s="217">
        <f t="shared" si="0"/>
        <v>-9374</v>
      </c>
      <c r="I24" s="217">
        <f>SUMIFS(Input_APM!N:N,Input_APM!L:L,Check!B24)</f>
        <v>-9374</v>
      </c>
      <c r="J24" s="219">
        <f t="shared" si="3"/>
        <v>0</v>
      </c>
      <c r="K24" s="22">
        <f>IF(B24="","",SUMIFS('Input_APM (Zenith)'!N:N,'Input_APM (Zenith)'!L:L,Check!B24,'Input_APM (Zenith)'!M:M,Check!$F$1))</f>
        <v>-626</v>
      </c>
      <c r="L24" s="22">
        <f>IF(B24="","",SUMIFS('Input_APM (Zenith)'!N:N,'Input_APM (Zenith)'!L:L,Check!B24,'Input_APM (Zenith)'!M:M,Check!$G$1))</f>
        <v>0</v>
      </c>
      <c r="M24" s="240">
        <f t="shared" si="4"/>
        <v>-10000</v>
      </c>
      <c r="O24" t="s">
        <v>301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IF(O24="","",IF(LEN(O24)&gt;9,SUMIFS(Options!$H$3:$H$32,Options!$B$3:$B$32,Check!O24),SUMIFS('Master P&amp;L'!$H$11:$H$88,'Master P&amp;L'!$B$11:$B$88,Check!O24)))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4</v>
      </c>
      <c r="C25" s="233">
        <f>IF(B25="","",IF(LEN(B25)&gt;9,SUMIFS(Options!$H$3:$H$32,Options!$B$3:$B$32,Check!B25),SUMIFS('Master P&amp;L'!$H$11:$H$88,'Master P&amp;L'!$B$11:$B$88,Check!B25)))</f>
        <v>-27500</v>
      </c>
      <c r="D25" s="233">
        <f>IF(B25="","",SUMIFS(Input_APM!N:N,Input_APM!L:L,Check!B25,Input_APM!M:M,Check!$F$1))</f>
        <v>-25765</v>
      </c>
      <c r="E25" s="217">
        <f t="shared" si="5"/>
        <v>0</v>
      </c>
      <c r="F25" s="233">
        <f>IF(B25="","",SUMIFS(Input_APM!N:N,Input_APM!M:M,Check!$F$1,Input_APM!L:L,Check!B25))</f>
        <v>-25765</v>
      </c>
      <c r="G25" s="233">
        <f>IF(B25="","",SUMIFS(Input_APM!N:N,Input_APM!M:M,Check!$G$1,Input_APM!L:L,Check!B25))</f>
        <v>0</v>
      </c>
      <c r="H25" s="217">
        <f t="shared" si="0"/>
        <v>-25765</v>
      </c>
      <c r="I25" s="217">
        <f>SUMIFS(Input_APM!N:N,Input_APM!L:L,Check!B25)</f>
        <v>-25765</v>
      </c>
      <c r="J25" s="219">
        <f t="shared" si="3"/>
        <v>0</v>
      </c>
      <c r="K25" s="22">
        <f>IF(B25="","",SUMIFS('Input_APM (Zenith)'!N:N,'Input_APM (Zenith)'!L:L,Check!B25,'Input_APM (Zenith)'!M:M,Check!$F$1))</f>
        <v>-1735</v>
      </c>
      <c r="L25" s="22">
        <f>IF(B25="","",SUMIFS('Input_APM (Zenith)'!N:N,'Input_APM (Zenith)'!L:L,Check!B25,'Input_APM (Zenith)'!M:M,Check!$G$1))</f>
        <v>0</v>
      </c>
      <c r="M25" s="240">
        <f t="shared" si="4"/>
        <v>-27500</v>
      </c>
      <c r="O25" t="s">
        <v>302</v>
      </c>
      <c r="P25" s="217">
        <f>IF(O25="","",IF(OR(LEFT(O25,4)="Cash",LEFT(O25,4)="Prov"),0,SUMIFS(Input_APM!N:N,Input_APM!L:L,Check!O25)))</f>
        <v>0</v>
      </c>
      <c r="Q25" s="22">
        <f>IF(O25="","",IF(LEN(O25)&gt;9,SUMIFS(Options!$H$3:$H$32,Options!$B$3:$B$32,Check!O25),SUMIFS('Master P&amp;L'!$H$11:$H$88,'Master P&amp;L'!$B$11:$B$88,Check!O25)))</f>
        <v>0</v>
      </c>
      <c r="R25" s="217">
        <f t="shared" si="1"/>
        <v>0</v>
      </c>
      <c r="S25" s="361" t="str">
        <f t="shared" si="2"/>
        <v>Ok</v>
      </c>
      <c r="V25" s="13"/>
    </row>
    <row r="26" spans="2:22">
      <c r="B26" t="s">
        <v>2267</v>
      </c>
      <c r="C26" s="233">
        <f>IF(B26="","",IF(LEN(B26)&gt;9,SUMIFS(Options!$H$3:$H$32,Options!$B$3:$B$32,Check!B26),SUMIFS('Master P&amp;L'!$H$11:$H$88,'Master P&amp;L'!$B$11:$B$88,Check!B26)))</f>
        <v>2000</v>
      </c>
      <c r="D26" s="233">
        <f>IF(B26="","",SUMIFS(Input_APM!N:N,Input_APM!L:L,Check!B26,Input_APM!M:M,Check!$F$1))</f>
        <v>1405</v>
      </c>
      <c r="E26" s="219">
        <f>IF(B26="","",C26-M26)</f>
        <v>500</v>
      </c>
      <c r="F26" s="233">
        <f>IF(B26="","",SUMIFS(Input_APM!N:N,Input_APM!M:M,Check!$F$1,Input_APM!L:L,Check!B26))</f>
        <v>1405</v>
      </c>
      <c r="G26" s="233">
        <f>IF(B26="","",SUMIFS(Input_APM!N:N,Input_APM!M:M,Check!$G$1,Input_APM!L:L,Check!B26))</f>
        <v>0</v>
      </c>
      <c r="H26" s="217">
        <f t="shared" si="0"/>
        <v>1405</v>
      </c>
      <c r="I26" s="217">
        <f>SUMIFS(Input_APM!N:N,Input_APM!L:L,Check!B26)</f>
        <v>1405</v>
      </c>
      <c r="J26" s="219">
        <f t="shared" si="3"/>
        <v>0</v>
      </c>
      <c r="K26" s="22">
        <f>IF(B26="","",SUMIFS('Input_APM (Zenith)'!N:N,'Input_APM (Zenith)'!L:L,Check!B26,'Input_APM (Zenith)'!M:M,Check!$F$1))</f>
        <v>95</v>
      </c>
      <c r="L26" s="22">
        <f>IF(B26="","",SUMIFS('Input_APM (Zenith)'!N:N,'Input_APM (Zenith)'!L:L,Check!B26,'Input_APM (Zenith)'!M:M,Check!$G$1))</f>
        <v>0</v>
      </c>
      <c r="M26" s="240">
        <f t="shared" si="4"/>
        <v>1500</v>
      </c>
      <c r="O26" t="s">
        <v>1914</v>
      </c>
      <c r="P26" s="217">
        <f>IF(O26="","",IF(OR(LEFT(O26,4)="Cash",LEFT(O26,4)="Prov"),0,SUMIFS(Input_APM!N:N,Input_APM!L:L,Check!O26)))</f>
        <v>4625000</v>
      </c>
      <c r="Q26" s="22">
        <f>IF(O26="","",IF(LEN(O26)&gt;9,SUMIFS(Options!$H$3:$H$32,Options!$B$3:$B$32,Check!O26),SUMIFS('Master P&amp;L'!$H$11:$H$88,'Master P&amp;L'!$B$11:$B$88,Check!O26)))</f>
        <v>0</v>
      </c>
      <c r="R26" s="217">
        <f t="shared" si="1"/>
        <v>4625000</v>
      </c>
      <c r="S26" s="361" t="str">
        <f t="shared" si="2"/>
        <v>Erro</v>
      </c>
      <c r="V26" s="13"/>
    </row>
    <row r="27" spans="2:22">
      <c r="B27" t="s">
        <v>2122</v>
      </c>
      <c r="C27" s="233">
        <f>IF(B27="","",IF(LEN(B27)&gt;9,SUMIFS(Options!$H$3:$H$32,Options!$B$3:$B$32,Check!B27),SUMIFS('Master P&amp;L'!$H$11:$H$88,'Master P&amp;L'!$B$11:$B$88,Check!B27)))</f>
        <v>-25</v>
      </c>
      <c r="D27" s="233">
        <f>IF(B27="","",SUMIFS(Input_APM!N:N,Input_APM!L:L,Check!B27,Input_APM!M:M,Check!$F$1))</f>
        <v>-39</v>
      </c>
      <c r="E27" s="219">
        <f t="shared" si="5"/>
        <v>15</v>
      </c>
      <c r="F27" s="233">
        <f>IF(B27="","",SUMIFS(Input_APM!N:N,Input_APM!M:M,Check!$F$1,Input_APM!L:L,Check!B27))</f>
        <v>-39</v>
      </c>
      <c r="G27" s="233">
        <f>IF(B27="","",SUMIFS(Input_APM!N:N,Input_APM!M:M,Check!$G$1,Input_APM!L:L,Check!B27))</f>
        <v>0</v>
      </c>
      <c r="H27" s="217">
        <f t="shared" si="0"/>
        <v>-39</v>
      </c>
      <c r="I27" s="217">
        <f>SUMIFS(Input_APM!N:N,Input_APM!L:L,Check!B27)</f>
        <v>-39</v>
      </c>
      <c r="J27" s="219">
        <f t="shared" si="3"/>
        <v>0</v>
      </c>
      <c r="K27" s="22">
        <f>IF(B27="","",SUMIFS('Input_APM (Zenith)'!N:N,'Input_APM (Zenith)'!L:L,Check!B27,'Input_APM (Zenith)'!M:M,Check!$F$1))</f>
        <v>-1</v>
      </c>
      <c r="L27" s="22">
        <f>IF(B27="","",SUMIFS('Input_APM (Zenith)'!N:N,'Input_APM (Zenith)'!L:L,Check!B27,'Input_APM (Zenith)'!M:M,Check!$G$1))</f>
        <v>0</v>
      </c>
      <c r="M27" s="240">
        <f t="shared" si="4"/>
        <v>-40</v>
      </c>
      <c r="O27" t="s">
        <v>2167</v>
      </c>
      <c r="P27" s="217">
        <f>IF(O27="","",IF(OR(LEFT(O27,4)="Cash",LEFT(O27,4)="Prov"),0,SUMIFS(Input_APM!N:N,Input_APM!L:L,Check!O27)))</f>
        <v>0</v>
      </c>
      <c r="Q27" s="22">
        <f>IF(O27="","",IF(LEN(O27)&gt;9,SUMIFS(Options!$H$3:$H$32,Options!$B$3:$B$32,Check!O27),SUMIFS('Master P&amp;L'!$H$11:$H$88,'Master P&amp;L'!$B$11:$B$88,Check!O27)))</f>
        <v>0</v>
      </c>
      <c r="R27" s="217">
        <f t="shared" si="1"/>
        <v>0</v>
      </c>
      <c r="S27" s="361" t="str">
        <f t="shared" si="2"/>
        <v>Ok</v>
      </c>
      <c r="V27" s="13"/>
    </row>
    <row r="28" spans="2:22">
      <c r="B28" t="s">
        <v>2120</v>
      </c>
      <c r="C28" s="233">
        <f>IF(B28="","",IF(LEN(B28)&gt;9,SUMIFS(Options!$H$3:$H$32,Options!$B$3:$B$32,Check!B28),SUMIFS('Master P&amp;L'!$H$11:$H$88,'Master P&amp;L'!$B$11:$B$88,Check!B28)))</f>
        <v>50</v>
      </c>
      <c r="D28" s="233">
        <f>IF(B28="","",SUMIFS(Input_APM!N:N,Input_APM!L:L,Check!B28,Input_APM!M:M,Check!$F$1))</f>
        <v>48</v>
      </c>
      <c r="E28" s="219">
        <f>IF(B28="","",C28-M28)</f>
        <v>0</v>
      </c>
      <c r="F28" s="233">
        <f>IF(B28="","",SUMIFS(Input_APM!N:N,Input_APM!M:M,Check!$F$1,Input_APM!L:L,Check!B28))</f>
        <v>48</v>
      </c>
      <c r="G28" s="233">
        <f>IF(B28="","",SUMIFS(Input_APM!N:N,Input_APM!M:M,Check!$G$1,Input_APM!L:L,Check!B28))</f>
        <v>0</v>
      </c>
      <c r="H28" s="217">
        <f t="shared" si="0"/>
        <v>48</v>
      </c>
      <c r="I28" s="217">
        <f>SUMIFS(Input_APM!N:N,Input_APM!L:L,Check!B28)</f>
        <v>48</v>
      </c>
      <c r="J28" s="219">
        <f t="shared" si="3"/>
        <v>0</v>
      </c>
      <c r="K28" s="22">
        <f>IF(B28="","",SUMIFS('Input_APM (Zenith)'!N:N,'Input_APM (Zenith)'!L:L,Check!B28,'Input_APM (Zenith)'!M:M,Check!$F$1))</f>
        <v>2</v>
      </c>
      <c r="L28" s="22">
        <f>IF(B28="","",SUMIFS('Input_APM (Zenith)'!N:N,'Input_APM (Zenith)'!L:L,Check!B28,'Input_APM (Zenith)'!M:M,Check!$G$1))</f>
        <v>0</v>
      </c>
      <c r="M28" s="240">
        <f t="shared" si="4"/>
        <v>50</v>
      </c>
      <c r="O28" t="s">
        <v>1754</v>
      </c>
      <c r="P28" s="217">
        <f>IF(O28="","",IF(OR(LEFT(O28,4)="Cash",LEFT(O28,4)="Prov"),0,SUMIFS(Input_APM!N:N,Input_APM!L:L,Check!O28)))</f>
        <v>39308</v>
      </c>
      <c r="Q28" s="22">
        <f>IF(O28="","",IF(LEN(O28)&gt;9,SUMIFS(Options!$H$3:$H$32,Options!$B$3:$B$32,Check!O28),SUMIFS('Master P&amp;L'!$H$11:$H$88,'Master P&amp;L'!$B$11:$B$88,Check!O28)))</f>
        <v>42000</v>
      </c>
      <c r="R28" s="217">
        <f t="shared" si="1"/>
        <v>-2692</v>
      </c>
      <c r="S28" s="361">
        <f t="shared" si="2"/>
        <v>0.93590476190476191</v>
      </c>
      <c r="V28" s="13"/>
    </row>
    <row r="29" spans="2:22">
      <c r="B29" t="s">
        <v>2084</v>
      </c>
      <c r="C29" s="233">
        <f>IF(B29="","",IF(LEN(B29)&gt;9,SUMIFS(Options!$H$3:$H$32,Options!$B$3:$B$32,Check!B29),SUMIFS('Master P&amp;L'!$H$11:$H$88,'Master P&amp;L'!$B$11:$B$88,Check!B29)))</f>
        <v>60</v>
      </c>
      <c r="D29" s="233">
        <f>IF(B29="","",SUMIFS(Input_APM!N:N,Input_APM!L:L,Check!B29,Input_APM!M:M,Check!$F$1))</f>
        <v>84</v>
      </c>
      <c r="E29" s="219">
        <f t="shared" si="5"/>
        <v>-30</v>
      </c>
      <c r="F29" s="233">
        <f>IF(B29="","",SUMIFS(Input_APM!N:N,Input_APM!M:M,Check!$F$1,Input_APM!L:L,Check!B29))</f>
        <v>84</v>
      </c>
      <c r="G29" s="233">
        <f>IF(B29="","",SUMIFS(Input_APM!N:N,Input_APM!M:M,Check!$G$1,Input_APM!L:L,Check!B29))</f>
        <v>0</v>
      </c>
      <c r="H29" s="217">
        <f t="shared" si="0"/>
        <v>84</v>
      </c>
      <c r="I29" s="217">
        <f>SUMIFS(Input_APM!N:N,Input_APM!L:L,Check!B29)</f>
        <v>84</v>
      </c>
      <c r="J29" s="219">
        <f t="shared" si="3"/>
        <v>0</v>
      </c>
      <c r="K29" s="22">
        <f>IF(B29="","",SUMIFS('Input_APM (Zenith)'!N:N,'Input_APM (Zenith)'!L:L,Check!B29,'Input_APM (Zenith)'!M:M,Check!$F$1))</f>
        <v>6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90</v>
      </c>
      <c r="O29" t="s">
        <v>2160</v>
      </c>
      <c r="P29" s="217">
        <f>IF(O29="","",IF(OR(LEFT(O29,4)="Cash",LEFT(O29,4)="Prov"),0,SUMIFS(Input_APM!N:N,Input_APM!L:L,Check!O29)))</f>
        <v>11499</v>
      </c>
      <c r="Q29" s="22">
        <f>IF(O29="","",IF(LEN(O29)&gt;9,SUMIFS(Options!$H$3:$H$32,Options!$B$3:$B$32,Check!O29),SUMIFS('Master P&amp;L'!$H$11:$H$88,'Master P&amp;L'!$B$11:$B$88,Check!O29)))</f>
        <v>0</v>
      </c>
      <c r="R29" s="217">
        <f t="shared" si="1"/>
        <v>11499</v>
      </c>
      <c r="S29" s="361" t="str">
        <f t="shared" si="2"/>
        <v>Erro</v>
      </c>
      <c r="V29" s="13"/>
    </row>
    <row r="30" spans="2:22">
      <c r="B30" t="s">
        <v>2078</v>
      </c>
      <c r="C30" s="233">
        <f>IF(B30="","",IF(LEN(B30)&gt;9,SUMIFS(Options!$H$3:$H$32,Options!$B$3:$B$32,Check!B30),SUMIFS('Master P&amp;L'!$H$11:$H$88,'Master P&amp;L'!$B$11:$B$88,Check!B30)))</f>
        <v>60</v>
      </c>
      <c r="D30" s="233">
        <f>IF(B30="","",SUMIFS(Input_APM!N:N,Input_APM!L:L,Check!B30,Input_APM!M:M,Check!$F$1))</f>
        <v>57</v>
      </c>
      <c r="E30" s="219">
        <f t="shared" si="5"/>
        <v>0</v>
      </c>
      <c r="F30" s="233">
        <f>IF(B30="","",SUMIFS(Input_APM!N:N,Input_APM!M:M,Check!$F$1,Input_APM!L:L,Check!B30))</f>
        <v>57</v>
      </c>
      <c r="G30" s="233">
        <f>IF(B30="","",SUMIFS(Input_APM!N:N,Input_APM!M:M,Check!$G$1,Input_APM!L:L,Check!B30))</f>
        <v>0</v>
      </c>
      <c r="H30" s="217">
        <f t="shared" si="0"/>
        <v>57</v>
      </c>
      <c r="I30" s="217">
        <f>SUMIFS(Input_APM!N:N,Input_APM!L:L,Check!B30)</f>
        <v>57</v>
      </c>
      <c r="J30" s="219">
        <f t="shared" si="3"/>
        <v>0</v>
      </c>
      <c r="K30" s="22">
        <f>IF(B30="","",SUMIFS('Input_APM (Zenith)'!N:N,'Input_APM (Zenith)'!L:L,Check!B30,'Input_APM (Zenith)'!M:M,Check!$F$1))</f>
        <v>3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60</v>
      </c>
      <c r="O30" t="s">
        <v>2327</v>
      </c>
      <c r="P30" s="217">
        <f>IF(O30="","",IF(OR(LEFT(O30,4)="Cash",LEFT(O30,4)="Prov"),0,SUMIFS(Input_APM!N:N,Input_APM!L:L,Check!O30)))</f>
        <v>1031</v>
      </c>
      <c r="Q30" s="22">
        <f>IF(O30="","",IF(LEN(O30)&gt;9,SUMIFS(Options!$H$3:$H$32,Options!$B$3:$B$32,Check!O30),SUMIFS('Master P&amp;L'!$H$11:$H$88,'Master P&amp;L'!$B$11:$B$88,Check!O30)))</f>
        <v>1100</v>
      </c>
      <c r="R30" s="217">
        <f t="shared" si="1"/>
        <v>-69</v>
      </c>
      <c r="S30" s="361">
        <f t="shared" si="2"/>
        <v>0.93727272727272726</v>
      </c>
      <c r="V30" s="13"/>
    </row>
    <row r="31" spans="2:22">
      <c r="B31" t="s">
        <v>2123</v>
      </c>
      <c r="C31" s="233">
        <f>IF(B31="","",IF(LEN(B31)&gt;9,SUMIFS(Options!$H$3:$H$32,Options!$B$3:$B$32,Check!B31),SUMIFS('Master P&amp;L'!$H$11:$H$88,'Master P&amp;L'!$B$11:$B$88,Check!B31)))</f>
        <v>-20</v>
      </c>
      <c r="D31" s="233">
        <f>IF(B31="","",SUMIFS(Input_APM!N:N,Input_APM!L:L,Check!B31,Input_APM!M:M,Check!$F$1))</f>
        <v>-19</v>
      </c>
      <c r="E31" s="219">
        <f>IF(B31="","",C31-M31)</f>
        <v>0</v>
      </c>
      <c r="F31" s="233">
        <f>IF(B31="","",SUMIFS(Input_APM!N:N,Input_APM!M:M,Check!$F$1,Input_APM!L:L,Check!B31))</f>
        <v>-19</v>
      </c>
      <c r="G31" s="233">
        <f>IF(B31="","",SUMIFS(Input_APM!N:N,Input_APM!M:M,Check!$G$1,Input_APM!L:L,Check!B31))</f>
        <v>0</v>
      </c>
      <c r="H31" s="217">
        <f t="shared" si="0"/>
        <v>-19</v>
      </c>
      <c r="I31" s="217">
        <f>SUMIFS(Input_APM!N:N,Input_APM!L:L,Check!B31)</f>
        <v>-19</v>
      </c>
      <c r="J31" s="219">
        <f t="shared" si="3"/>
        <v>0</v>
      </c>
      <c r="K31" s="22">
        <f>IF(B31="","",SUMIFS('Input_APM (Zenith)'!N:N,'Input_APM (Zenith)'!L:L,Check!B31,'Input_APM (Zenith)'!M:M,Check!$F$1))</f>
        <v>-1</v>
      </c>
      <c r="L31" s="22">
        <f>IF(B31="","",SUMIFS('Input_APM (Zenith)'!N:N,'Input_APM (Zenith)'!L:L,Check!B31,'Input_APM (Zenith)'!M:M,Check!$G$1))</f>
        <v>0</v>
      </c>
      <c r="M31" s="240">
        <f t="shared" si="4"/>
        <v>-20</v>
      </c>
      <c r="O31" t="s">
        <v>2328</v>
      </c>
      <c r="P31" s="217">
        <f>IF(O31="","",IF(OR(LEFT(O31,4)="Cash",LEFT(O31,4)="Prov"),0,SUMIFS(Input_APM!N:N,Input_APM!L:L,Check!O31)))</f>
        <v>-1031</v>
      </c>
      <c r="Q31" s="22">
        <f>IF(O31="","",IF(LEN(O31)&gt;9,SUMIFS(Options!$H$3:$H$32,Options!$B$3:$B$32,Check!O31),SUMIFS('Master P&amp;L'!$H$11:$H$88,'Master P&amp;L'!$B$11:$B$88,Check!O31)))</f>
        <v>-1100</v>
      </c>
      <c r="R31" s="217">
        <f t="shared" si="1"/>
        <v>69</v>
      </c>
      <c r="S31" s="361">
        <f t="shared" si="2"/>
        <v>0.93727272727272726</v>
      </c>
      <c r="V31" s="13"/>
    </row>
    <row r="32" spans="2:22">
      <c r="B32" t="s">
        <v>2124</v>
      </c>
      <c r="C32" s="233">
        <f>IF(B32="","",IF(LEN(B32)&gt;9,SUMIFS(Options!$H$3:$H$32,Options!$B$3:$B$32,Check!B32),SUMIFS('Master P&amp;L'!$H$11:$H$88,'Master P&amp;L'!$B$11:$B$88,Check!B32)))</f>
        <v>20</v>
      </c>
      <c r="D32" s="233">
        <f>IF(B32="","",SUMIFS(Input_APM!N:N,Input_APM!L:L,Check!B32,Input_APM!M:M,Check!$F$1))</f>
        <v>19</v>
      </c>
      <c r="E32" s="219">
        <f t="shared" si="5"/>
        <v>0</v>
      </c>
      <c r="F32" s="233">
        <f>IF(B32="","",SUMIFS(Input_APM!N:N,Input_APM!M:M,Check!$F$1,Input_APM!L:L,Check!B32))</f>
        <v>19</v>
      </c>
      <c r="G32" s="233">
        <f>IF(B32="","",SUMIFS(Input_APM!N:N,Input_APM!M:M,Check!$G$1,Input_APM!L:L,Check!B32))</f>
        <v>0</v>
      </c>
      <c r="H32" s="217">
        <f t="shared" si="0"/>
        <v>19</v>
      </c>
      <c r="I32" s="217">
        <f>SUMIFS(Input_APM!N:N,Input_APM!L:L,Check!B32)</f>
        <v>19</v>
      </c>
      <c r="J32" s="219">
        <f t="shared" si="3"/>
        <v>0</v>
      </c>
      <c r="K32" s="22">
        <f>IF(B32="","",SUMIFS('Input_APM (Zenith)'!N:N,'Input_APM (Zenith)'!L:L,Check!B32,'Input_APM (Zenith)'!M:M,Check!$F$1))</f>
        <v>1</v>
      </c>
      <c r="L32" s="22">
        <f>IF(B32="","",SUMIFS('Input_APM (Zenith)'!N:N,'Input_APM (Zenith)'!L:L,Check!B32,'Input_APM (Zenith)'!M:M,Check!$G$1))</f>
        <v>0</v>
      </c>
      <c r="M32" s="240">
        <f t="shared" si="4"/>
        <v>20</v>
      </c>
      <c r="O32" t="s">
        <v>2175</v>
      </c>
      <c r="P32" s="217">
        <f>IF(O32="","",IF(OR(LEFT(O32,4)="Cash",LEFT(O32,4)="Prov"),0,SUMIFS(Input_APM!N:N,Input_APM!L:L,Check!O32)))</f>
        <v>6937</v>
      </c>
      <c r="Q32" s="22">
        <f>IF(O32="","",IF(LEN(O32)&gt;9,SUMIFS(Options!$H$3:$H$32,Options!$B$3:$B$32,Check!O32),SUMIFS('Master P&amp;L'!$H$11:$H$88,'Master P&amp;L'!$B$11:$B$88,Check!O32)))</f>
        <v>14800</v>
      </c>
      <c r="R32" s="217">
        <f t="shared" si="1"/>
        <v>-7863</v>
      </c>
      <c r="S32" s="361">
        <f t="shared" si="2"/>
        <v>0.46871621621621623</v>
      </c>
      <c r="V32" s="13"/>
    </row>
    <row r="33" spans="1:22">
      <c r="B33" t="s">
        <v>2107</v>
      </c>
      <c r="C33" s="233">
        <f>IF(B33="","",IF(LEN(B33)&gt;9,SUMIFS(Options!$H$3:$H$32,Options!$B$3:$B$32,Check!B33),SUMIFS('Master P&amp;L'!$H$11:$H$88,'Master P&amp;L'!$B$11:$B$88,Check!B33)))</f>
        <v>200</v>
      </c>
      <c r="D33" s="233">
        <f>IF(B33="","",SUMIFS(Input_APM!N:N,Input_APM!L:L,Check!B33,Input_APM!M:M,Check!$F$1))</f>
        <v>186</v>
      </c>
      <c r="E33" s="217">
        <f t="shared" si="5"/>
        <v>0</v>
      </c>
      <c r="F33" s="233">
        <f>IF(B33="","",SUMIFS(Input_APM!N:N,Input_APM!M:M,Check!$F$1,Input_APM!L:L,Check!B33))</f>
        <v>186</v>
      </c>
      <c r="G33" s="233">
        <f>IF(B33="","",SUMIFS(Input_APM!N:N,Input_APM!M:M,Check!$G$1,Input_APM!L:L,Check!B33))</f>
        <v>0</v>
      </c>
      <c r="H33" s="217">
        <f t="shared" si="0"/>
        <v>186</v>
      </c>
      <c r="I33" s="217">
        <f>SUMIFS(Input_APM!N:N,Input_APM!L:L,Check!B33)</f>
        <v>186</v>
      </c>
      <c r="J33" s="219">
        <f t="shared" si="3"/>
        <v>0</v>
      </c>
      <c r="K33" s="22">
        <f>IF(B33="","",SUMIFS('Input_APM (Zenith)'!N:N,'Input_APM (Zenith)'!L:L,Check!B33,'Input_APM (Zenith)'!M:M,Check!$F$1))</f>
        <v>14</v>
      </c>
      <c r="L33" s="22">
        <f>IF(B33="","",SUMIFS('Input_APM (Zenith)'!N:N,'Input_APM (Zenith)'!L:L,Check!B33,'Input_APM (Zenith)'!M:M,Check!$G$1))</f>
        <v>0</v>
      </c>
      <c r="M33" s="240">
        <f t="shared" si="4"/>
        <v>200</v>
      </c>
      <c r="O33" t="s">
        <v>1898</v>
      </c>
      <c r="P33" s="217">
        <f>IF(O33="","",IF(OR(LEFT(O33,4)="Cash",LEFT(O33,4)="Prov"),0,SUMIFS(Input_APM!N:N,Input_APM!L:L,Check!O33)))</f>
        <v>276451</v>
      </c>
      <c r="Q33" s="22">
        <f>IF(O33="","",IF(LEN(O33)&gt;9,SUMIFS(Options!$H$3:$H$32,Options!$B$3:$B$32,Check!O33),SUMIFS('Master P&amp;L'!$H$11:$H$88,'Master P&amp;L'!$B$11:$B$88,Check!O33)))</f>
        <v>0</v>
      </c>
      <c r="R33" s="217">
        <f t="shared" si="1"/>
        <v>276451</v>
      </c>
      <c r="S33" s="361" t="str">
        <f t="shared" si="2"/>
        <v>Erro</v>
      </c>
      <c r="V33" s="13"/>
    </row>
    <row r="34" spans="1:22">
      <c r="B34" t="s">
        <v>2108</v>
      </c>
      <c r="C34" s="233">
        <f>IF(B34="","",IF(LEN(B34)&gt;9,SUMIFS(Options!$H$3:$H$32,Options!$B$3:$B$32,Check!B34),SUMIFS('Master P&amp;L'!$H$11:$H$88,'Master P&amp;L'!$B$11:$B$88,Check!B34)))</f>
        <v>-200</v>
      </c>
      <c r="D34" s="233">
        <f>IF(B34="","",SUMIFS(Input_APM!N:N,Input_APM!L:L,Check!B34,Input_APM!M:M,Check!$F$1))</f>
        <v>-188</v>
      </c>
      <c r="E34" s="217">
        <f t="shared" si="5"/>
        <v>0</v>
      </c>
      <c r="F34" s="233">
        <f>IF(B34="","",SUMIFS(Input_APM!N:N,Input_APM!M:M,Check!$F$1,Input_APM!L:L,Check!B34))</f>
        <v>-188</v>
      </c>
      <c r="G34" s="233">
        <f>IF(B34="","",SUMIFS(Input_APM!N:N,Input_APM!M:M,Check!$G$1,Input_APM!L:L,Check!B34))</f>
        <v>0</v>
      </c>
      <c r="H34" s="217">
        <f t="shared" si="0"/>
        <v>-188</v>
      </c>
      <c r="I34" s="217">
        <f>SUMIFS(Input_APM!N:N,Input_APM!L:L,Check!B34)</f>
        <v>-188</v>
      </c>
      <c r="J34" s="219">
        <f t="shared" si="3"/>
        <v>0</v>
      </c>
      <c r="K34" s="22">
        <f>IF(B34="","",SUMIFS('Input_APM (Zenith)'!N:N,'Input_APM (Zenith)'!L:L,Check!B34,'Input_APM (Zenith)'!M:M,Check!$F$1))</f>
        <v>-12</v>
      </c>
      <c r="L34" s="22">
        <f>IF(B34="","",SUMIFS('Input_APM (Zenith)'!N:N,'Input_APM (Zenith)'!L:L,Check!B34,'Input_APM (Zenith)'!M:M,Check!$G$1))</f>
        <v>0</v>
      </c>
      <c r="M34" s="240">
        <f t="shared" si="4"/>
        <v>-200</v>
      </c>
      <c r="O34" t="s">
        <v>1899</v>
      </c>
      <c r="P34" s="217">
        <f>IF(O34="","",IF(OR(LEFT(O34,4)="Cash",LEFT(O34,4)="Prov"),0,SUMIFS(Input_APM!N:N,Input_APM!L:L,Check!O34)))</f>
        <v>-276451</v>
      </c>
      <c r="Q34" s="22">
        <f>IF(O34="","",IF(LEN(O34)&gt;9,SUMIFS(Options!$H$3:$H$32,Options!$B$3:$B$32,Check!O34),SUMIFS('Master P&amp;L'!$H$11:$H$88,'Master P&amp;L'!$B$11:$B$88,Check!O34)))</f>
        <v>0</v>
      </c>
      <c r="R34" s="217">
        <f t="shared" si="1"/>
        <v>-276451</v>
      </c>
      <c r="S34" s="361" t="str">
        <f t="shared" si="2"/>
        <v>Erro</v>
      </c>
      <c r="V34" s="13"/>
    </row>
    <row r="35" spans="1:22">
      <c r="B35" t="s">
        <v>2057</v>
      </c>
      <c r="C35" s="233">
        <f>IF(B35="","",IF(LEN(B35)&gt;9,SUMIFS(Options!$H$3:$H$32,Options!$B$3:$B$32,Check!B35),SUMIFS('Master P&amp;L'!$H$11:$H$88,'Master P&amp;L'!$B$11:$B$88,Check!B35)))</f>
        <v>0</v>
      </c>
      <c r="D35" s="233">
        <f>IF(B35="","",SUMIFS(Input_APM!N:N,Input_APM!L:L,Check!B35,Input_APM!M:M,Check!$F$1))</f>
        <v>118</v>
      </c>
      <c r="E35" s="219">
        <f t="shared" si="5"/>
        <v>-125</v>
      </c>
      <c r="F35" s="233">
        <f>IF(B35="","",SUMIFS(Input_APM!N:N,Input_APM!M:M,Check!$F$1,Input_APM!L:L,Check!B35))</f>
        <v>118</v>
      </c>
      <c r="G35" s="233">
        <f>IF(B35="","",SUMIFS(Input_APM!N:N,Input_APM!M:M,Check!$G$1,Input_APM!L:L,Check!B35))</f>
        <v>0</v>
      </c>
      <c r="H35" s="217">
        <f t="shared" si="0"/>
        <v>118</v>
      </c>
      <c r="I35" s="217">
        <f>SUMIFS(Input_APM!N:N,Input_APM!L:L,Check!B35)</f>
        <v>118</v>
      </c>
      <c r="J35" s="219">
        <f t="shared" si="3"/>
        <v>0</v>
      </c>
      <c r="K35" s="22">
        <f>IF(B35="","",SUMIFS('Input_APM (Zenith)'!N:N,'Input_APM (Zenith)'!L:L,Check!B35,'Input_APM (Zenith)'!M:M,Check!$F$1))</f>
        <v>7</v>
      </c>
      <c r="L35" s="22">
        <f>IF(B35="","",SUMIFS('Input_APM (Zenith)'!N:N,'Input_APM (Zenith)'!L:L,Check!B35,'Input_APM (Zenith)'!M:M,Check!$G$1))</f>
        <v>0</v>
      </c>
      <c r="M35" s="240">
        <f t="shared" si="4"/>
        <v>125</v>
      </c>
      <c r="O35" t="s">
        <v>2330</v>
      </c>
      <c r="P35" s="217">
        <f>IF(O35="","",IF(OR(LEFT(O35,4)="Cash",LEFT(O35,4)="Prov"),0,SUMIFS(Input_APM!N:N,Input_APM!L:L,Check!O35)))</f>
        <v>-9374</v>
      </c>
      <c r="Q35" s="22">
        <f>IF(O35="","",IF(LEN(O35)&gt;9,SUMIFS(Options!$H$3:$H$32,Options!$B$3:$B$32,Check!O35),SUMIFS('Master P&amp;L'!$H$11:$H$88,'Master P&amp;L'!$B$11:$B$88,Check!O35)))</f>
        <v>-10000</v>
      </c>
      <c r="R35" s="217">
        <f t="shared" si="1"/>
        <v>626</v>
      </c>
      <c r="S35" s="361">
        <f t="shared" si="2"/>
        <v>0.93740000000000001</v>
      </c>
      <c r="V35" s="13"/>
    </row>
    <row r="36" spans="1:22">
      <c r="B36" t="s">
        <v>2058</v>
      </c>
      <c r="C36" s="233">
        <f>IF(B36="","",IF(LEN(B36)&gt;9,SUMIFS(Options!$H$3:$H$32,Options!$B$3:$B$32,Check!B36),SUMIFS('Master P&amp;L'!$H$11:$H$88,'Master P&amp;L'!$B$11:$B$88,Check!B36)))</f>
        <v>-50</v>
      </c>
      <c r="D36" s="233">
        <f>IF(B36="","",SUMIFS(Input_APM!N:N,Input_APM!L:L,Check!B36,Input_APM!M:M,Check!$F$1))</f>
        <v>-46</v>
      </c>
      <c r="E36" s="219">
        <f>IF(B36="","",C36-M36)</f>
        <v>0</v>
      </c>
      <c r="F36" s="233">
        <f>IF(B36="","",SUMIFS(Input_APM!N:N,Input_APM!M:M,Check!$F$1,Input_APM!L:L,Check!B36))</f>
        <v>-46</v>
      </c>
      <c r="G36" s="233">
        <f>IF(B36="","",SUMIFS(Input_APM!N:N,Input_APM!M:M,Check!$G$1,Input_APM!L:L,Check!B36))</f>
        <v>0</v>
      </c>
      <c r="H36" s="217">
        <f t="shared" si="0"/>
        <v>-46</v>
      </c>
      <c r="I36" s="217">
        <f>SUMIFS(Input_APM!N:N,Input_APM!L:L,Check!B36)</f>
        <v>-46</v>
      </c>
      <c r="J36" s="219">
        <f t="shared" si="3"/>
        <v>0</v>
      </c>
      <c r="K36" s="22">
        <f>IF(B36="","",SUMIFS('Input_APM (Zenith)'!N:N,'Input_APM (Zenith)'!L:L,Check!B36,'Input_APM (Zenith)'!M:M,Check!$F$1))</f>
        <v>-4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-50</v>
      </c>
      <c r="O36" t="s">
        <v>2072</v>
      </c>
      <c r="P36" s="217">
        <f>IF(O36="","",IF(OR(LEFT(O36,4)="Cash",LEFT(O36,4)="Prov"),0,SUMIFS(Input_APM!N:N,Input_APM!L:L,Check!O36)))</f>
        <v>-1760</v>
      </c>
      <c r="Q36" s="22">
        <f>IF(O36="","",IF(LEN(O36)&gt;9,SUMIFS(Options!$H$3:$H$32,Options!$B$3:$B$32,Check!O36),SUMIFS('Master P&amp;L'!$H$11:$H$88,'Master P&amp;L'!$B$11:$B$88,Check!O36)))</f>
        <v>1200</v>
      </c>
      <c r="R36" s="217">
        <f t="shared" si="1"/>
        <v>-2960</v>
      </c>
      <c r="S36" s="361">
        <f t="shared" si="2"/>
        <v>-1.4666666666666666</v>
      </c>
      <c r="V36" s="13"/>
    </row>
    <row r="37" spans="1:22">
      <c r="B37" t="s">
        <v>2295</v>
      </c>
      <c r="C37" s="233">
        <f>IF(B37="","",IF(LEN(B37)&gt;9,SUMIFS(Options!$H$3:$H$32,Options!$B$3:$B$32,Check!B37),SUMIFS('Master P&amp;L'!$H$11:$H$88,'Master P&amp;L'!$B$11:$B$88,Check!B37)))</f>
        <v>125</v>
      </c>
      <c r="D37" s="233">
        <f>IF(B37="","",SUMIFS(Input_APM!N:N,Input_APM!L:L,Check!B37,Input_APM!M:M,Check!$F$1))</f>
        <v>117</v>
      </c>
      <c r="E37" s="219">
        <f>IF(B37="","",C37-M37)</f>
        <v>0</v>
      </c>
      <c r="F37" s="233">
        <f>IF(B37="","",SUMIFS(Input_APM!N:N,Input_APM!M:M,Check!$F$1,Input_APM!L:L,Check!B37))</f>
        <v>117</v>
      </c>
      <c r="G37" s="233">
        <f>IF(B37="","",SUMIFS(Input_APM!N:N,Input_APM!M:M,Check!$G$1,Input_APM!L:L,Check!B37))</f>
        <v>0</v>
      </c>
      <c r="H37" s="217">
        <f t="shared" si="0"/>
        <v>117</v>
      </c>
      <c r="I37" s="217">
        <f>SUMIFS(Input_APM!N:N,Input_APM!L:L,Check!B37)</f>
        <v>117</v>
      </c>
      <c r="J37" s="219">
        <f t="shared" si="3"/>
        <v>0</v>
      </c>
      <c r="K37" s="22">
        <f>IF(B37="","",SUMIFS('Input_APM (Zenith)'!N:N,'Input_APM (Zenith)'!L:L,Check!B37,'Input_APM (Zenith)'!M:M,Check!$F$1))</f>
        <v>8</v>
      </c>
      <c r="L37" s="22">
        <f>IF(B37="","",SUMIFS('Input_APM (Zenith)'!N:N,'Input_APM (Zenith)'!L:L,Check!B37,'Input_APM (Zenith)'!M:M,Check!$G$1))</f>
        <v>0</v>
      </c>
      <c r="M37" s="240">
        <f t="shared" si="4"/>
        <v>125</v>
      </c>
      <c r="O37" t="s">
        <v>2084</v>
      </c>
      <c r="P37" s="217">
        <f>IF(O37="","",IF(OR(LEFT(O37,4)="Cash",LEFT(O37,4)="Prov"),0,SUMIFS(Input_APM!N:N,Input_APM!L:L,Check!O37)))</f>
        <v>84</v>
      </c>
      <c r="Q37" s="22">
        <f>IF(O37="","",IF(LEN(O37)&gt;9,SUMIFS(Options!$H$3:$H$32,Options!$B$3:$B$32,Check!O37),SUMIFS('Master P&amp;L'!$H$11:$H$88,'Master P&amp;L'!$B$11:$B$88,Check!O37)))</f>
        <v>60</v>
      </c>
      <c r="R37" s="217">
        <f t="shared" si="1"/>
        <v>24</v>
      </c>
      <c r="S37" s="361">
        <f t="shared" si="2"/>
        <v>1.4</v>
      </c>
      <c r="V37" s="13"/>
    </row>
    <row r="38" spans="1:22">
      <c r="B38" t="s">
        <v>2294</v>
      </c>
      <c r="C38" s="233">
        <f>IF(B38="","",IF(LEN(B38)&gt;9,SUMIFS(Options!$H$3:$H$32,Options!$B$3:$B$32,Check!B38),SUMIFS('Master P&amp;L'!$H$11:$H$88,'Master P&amp;L'!$B$11:$B$88,Check!B38)))</f>
        <v>-25</v>
      </c>
      <c r="D38" s="233">
        <f>IF(B38="","",SUMIFS(Input_APM!N:N,Input_APM!L:L,Check!B38,Input_APM!M:M,Check!$F$1))</f>
        <v>-23</v>
      </c>
      <c r="E38" s="217">
        <f t="shared" si="5"/>
        <v>0</v>
      </c>
      <c r="F38" s="233">
        <f>IF(B38="","",SUMIFS(Input_APM!N:N,Input_APM!M:M,Check!$F$1,Input_APM!L:L,Check!B38))</f>
        <v>-23</v>
      </c>
      <c r="G38" s="233">
        <f>IF(B38="","",SUMIFS(Input_APM!N:N,Input_APM!M:M,Check!$G$1,Input_APM!L:L,Check!B38))</f>
        <v>0</v>
      </c>
      <c r="H38" s="217">
        <f t="shared" si="0"/>
        <v>-23</v>
      </c>
      <c r="I38" s="217">
        <f>SUMIFS(Input_APM!N:N,Input_APM!L:L,Check!B38)</f>
        <v>-23</v>
      </c>
      <c r="J38" s="219">
        <f t="shared" si="3"/>
        <v>0</v>
      </c>
      <c r="K38" s="22">
        <f>IF(B38="","",SUMIFS('Input_APM (Zenith)'!N:N,'Input_APM (Zenith)'!L:L,Check!B38,'Input_APM (Zenith)'!M:M,Check!$F$1))</f>
        <v>-2</v>
      </c>
      <c r="L38" s="22">
        <f>IF(B38="","",SUMIFS('Input_APM (Zenith)'!N:N,'Input_APM (Zenith)'!L:L,Check!B38,'Input_APM (Zenith)'!M:M,Check!$G$1))</f>
        <v>0</v>
      </c>
      <c r="M38" s="240">
        <f t="shared" si="4"/>
        <v>-25</v>
      </c>
      <c r="O38" t="s">
        <v>81</v>
      </c>
      <c r="P38" s="217">
        <f>IF(O38="","",IF(OR(LEFT(O38,4)="Cash",LEFT(O38,4)="Prov"),0,SUMIFS(Input_APM!N:N,Input_APM!L:L,Check!O38)))</f>
        <v>5618</v>
      </c>
      <c r="Q38" s="22">
        <f>IF(O38="","",IF(LEN(O38)&gt;9,SUMIFS(Options!$H$3:$H$32,Options!$B$3:$B$32,Check!O38),SUMIFS('Master P&amp;L'!$H$11:$H$88,'Master P&amp;L'!$B$11:$B$88,Check!O38)))</f>
        <v>6000</v>
      </c>
      <c r="R38" s="217">
        <f t="shared" si="1"/>
        <v>-382</v>
      </c>
      <c r="S38" s="361">
        <f t="shared" si="2"/>
        <v>0.93633333333333335</v>
      </c>
      <c r="V38" s="13"/>
    </row>
    <row r="39" spans="1:22">
      <c r="B39" t="s">
        <v>2322</v>
      </c>
      <c r="C39" s="233">
        <f>IF(B39="","",IF(LEN(B39)&gt;9,SUMIFS(Options!$H$3:$H$32,Options!$B$3:$B$32,Check!B39),SUMIFS('Master P&amp;L'!$H$11:$H$88,'Master P&amp;L'!$B$11:$B$88,Check!B39)))</f>
        <v>10</v>
      </c>
      <c r="D39" s="233">
        <f>IF(B39="","",SUMIFS(Input_APM!N:N,Input_APM!L:L,Check!B39,Input_APM!M:M,Check!$F$1))</f>
        <v>27</v>
      </c>
      <c r="E39" s="217">
        <f t="shared" si="5"/>
        <v>-20</v>
      </c>
      <c r="F39" s="233">
        <f>IF(B39="","",SUMIFS(Input_APM!N:N,Input_APM!M:M,Check!$F$1,Input_APM!L:L,Check!B39))</f>
        <v>27</v>
      </c>
      <c r="G39" s="233">
        <f>IF(B39="","",SUMIFS(Input_APM!N:N,Input_APM!M:M,Check!$G$1,Input_APM!L:L,Check!B39))</f>
        <v>0</v>
      </c>
      <c r="H39" s="217">
        <f t="shared" si="0"/>
        <v>27</v>
      </c>
      <c r="I39" s="217">
        <f>SUMIFS(Input_APM!N:N,Input_APM!L:L,Check!B39)</f>
        <v>27</v>
      </c>
      <c r="J39" s="219">
        <f t="shared" si="3"/>
        <v>0</v>
      </c>
      <c r="K39" s="22">
        <f>IF(B39="","",SUMIFS('Input_APM (Zenith)'!N:N,'Input_APM (Zenith)'!L:L,Check!B39,'Input_APM (Zenith)'!M:M,Check!$F$1))</f>
        <v>3</v>
      </c>
      <c r="L39" s="22">
        <f>IF(B39="","",SUMIFS('Input_APM (Zenith)'!N:N,'Input_APM (Zenith)'!L:L,Check!B39,'Input_APM (Zenith)'!M:M,Check!$G$1))</f>
        <v>0</v>
      </c>
      <c r="M39" s="240">
        <f t="shared" si="4"/>
        <v>30</v>
      </c>
      <c r="O39" t="s">
        <v>2078</v>
      </c>
      <c r="P39" s="217">
        <f>IF(O39="","",IF(OR(LEFT(O39,4)="Cash",LEFT(O39,4)="Prov"),0,SUMIFS(Input_APM!N:N,Input_APM!L:L,Check!O39)))</f>
        <v>57</v>
      </c>
      <c r="Q39" s="22">
        <f>IF(O39="","",IF(LEN(O39)&gt;9,SUMIFS(Options!$H$3:$H$32,Options!$B$3:$B$32,Check!O39),SUMIFS('Master P&amp;L'!$H$11:$H$88,'Master P&amp;L'!$B$11:$B$88,Check!O39)))</f>
        <v>60</v>
      </c>
      <c r="R39" s="217">
        <f t="shared" si="1"/>
        <v>-3</v>
      </c>
      <c r="S39" s="361">
        <f t="shared" si="2"/>
        <v>0.95</v>
      </c>
      <c r="V39" s="13"/>
    </row>
    <row r="40" spans="1:22">
      <c r="B40" t="s">
        <v>2327</v>
      </c>
      <c r="C40" s="233">
        <f>IF(B40="","",IF(LEN(B40)&gt;9,SUMIFS(Options!$H$3:$H$32,Options!$B$3:$B$32,Check!B40),SUMIFS('Master P&amp;L'!$H$11:$H$88,'Master P&amp;L'!$B$11:$B$88,Check!B40)))</f>
        <v>1100</v>
      </c>
      <c r="D40" s="233">
        <f>IF(B40="","",SUMIFS(Input_APM!N:N,Input_APM!L:L,Check!B40,Input_APM!M:M,Check!$F$1))</f>
        <v>1031</v>
      </c>
      <c r="E40" s="219">
        <f t="shared" si="5"/>
        <v>0</v>
      </c>
      <c r="F40" s="233">
        <f>IF(B40="","",SUMIFS(Input_APM!N:N,Input_APM!M:M,Check!$F$1,Input_APM!L:L,Check!B40))</f>
        <v>1031</v>
      </c>
      <c r="G40" s="233">
        <f>IF(B40="","",SUMIFS(Input_APM!N:N,Input_APM!M:M,Check!$G$1,Input_APM!L:L,Check!B40))</f>
        <v>0</v>
      </c>
      <c r="H40" s="217">
        <f t="shared" si="0"/>
        <v>1031</v>
      </c>
      <c r="I40" s="217">
        <f>SUMIFS(Input_APM!N:N,Input_APM!L:L,Check!B40)</f>
        <v>1031</v>
      </c>
      <c r="J40" s="219">
        <f t="shared" si="3"/>
        <v>0</v>
      </c>
      <c r="K40" s="22">
        <f>IF(B40="","",SUMIFS('Input_APM (Zenith)'!N:N,'Input_APM (Zenith)'!L:L,Check!B40,'Input_APM (Zenith)'!M:M,Check!$F$1))</f>
        <v>69</v>
      </c>
      <c r="L40" s="22">
        <f>IF(B40="","",SUMIFS('Input_APM (Zenith)'!N:N,'Input_APM (Zenith)'!L:L,Check!B40,'Input_APM (Zenith)'!M:M,Check!$G$1))</f>
        <v>0</v>
      </c>
      <c r="M40" s="240">
        <f t="shared" si="4"/>
        <v>1100</v>
      </c>
      <c r="O40" t="s">
        <v>2124</v>
      </c>
      <c r="P40" s="217">
        <f>IF(O40="","",IF(OR(LEFT(O40,4)="Cash",LEFT(O40,4)="Prov"),0,SUMIFS(Input_APM!N:N,Input_APM!L:L,Check!O40)))</f>
        <v>19</v>
      </c>
      <c r="Q40" s="22">
        <f>IF(O40="","",IF(LEN(O40)&gt;9,SUMIFS(Options!$H$3:$H$32,Options!$B$3:$B$32,Check!O40),SUMIFS('Master P&amp;L'!$H$11:$H$88,'Master P&amp;L'!$B$11:$B$88,Check!O40)))</f>
        <v>20</v>
      </c>
      <c r="R40" s="217">
        <f t="shared" si="1"/>
        <v>-1</v>
      </c>
      <c r="S40" s="361">
        <f t="shared" si="2"/>
        <v>0.95</v>
      </c>
      <c r="V40" s="13"/>
    </row>
    <row r="41" spans="1:22">
      <c r="B41" t="s">
        <v>2328</v>
      </c>
      <c r="C41" s="233">
        <f>IF(B41="","",IF(LEN(B41)&gt;9,SUMIFS(Options!$H$3:$H$32,Options!$B$3:$B$32,Check!B41),SUMIFS('Master P&amp;L'!$H$11:$H$88,'Master P&amp;L'!$B$11:$B$88,Check!B41)))</f>
        <v>-1100</v>
      </c>
      <c r="D41" s="233">
        <f>IF(B41="","",SUMIFS(Input_APM!N:N,Input_APM!L:L,Check!B41,Input_APM!M:M,Check!$F$1))</f>
        <v>-1031</v>
      </c>
      <c r="E41" s="217">
        <f t="shared" si="5"/>
        <v>0</v>
      </c>
      <c r="F41" s="233">
        <f>IF(B41="","",SUMIFS(Input_APM!N:N,Input_APM!M:M,Check!$F$1,Input_APM!L:L,Check!B41))</f>
        <v>-1031</v>
      </c>
      <c r="G41" s="233">
        <f>IF(B41="","",SUMIFS(Input_APM!N:N,Input_APM!M:M,Check!$G$1,Input_APM!L:L,Check!B41))</f>
        <v>0</v>
      </c>
      <c r="H41" s="217">
        <f t="shared" si="0"/>
        <v>-1031</v>
      </c>
      <c r="I41" s="217">
        <f>SUMIFS(Input_APM!N:N,Input_APM!L:L,Check!B41)</f>
        <v>-1031</v>
      </c>
      <c r="J41" s="219">
        <f t="shared" si="3"/>
        <v>0</v>
      </c>
      <c r="K41" s="22">
        <f>IF(B41="","",SUMIFS('Input_APM (Zenith)'!N:N,'Input_APM (Zenith)'!L:L,Check!B41,'Input_APM (Zenith)'!M:M,Check!$F$1))</f>
        <v>-69</v>
      </c>
      <c r="L41" s="22">
        <f>IF(B41="","",SUMIFS('Input_APM (Zenith)'!N:N,'Input_APM (Zenith)'!L:L,Check!B41,'Input_APM (Zenith)'!M:M,Check!$G$1))</f>
        <v>0</v>
      </c>
      <c r="M41" s="240">
        <f t="shared" si="4"/>
        <v>-1100</v>
      </c>
      <c r="O41" t="s">
        <v>2123</v>
      </c>
      <c r="P41" s="217">
        <f>IF(O41="","",IF(OR(LEFT(O41,4)="Cash",LEFT(O41,4)="Prov"),0,SUMIFS(Input_APM!N:N,Input_APM!L:L,Check!O41)))</f>
        <v>-19</v>
      </c>
      <c r="Q41" s="22">
        <f>IF(O41="","",IF(LEN(O41)&gt;9,SUMIFS(Options!$H$3:$H$32,Options!$B$3:$B$32,Check!O41),SUMIFS('Master P&amp;L'!$H$11:$H$88,'Master P&amp;L'!$B$11:$B$88,Check!O41)))</f>
        <v>-20</v>
      </c>
      <c r="R41" s="217">
        <f t="shared" si="1"/>
        <v>1</v>
      </c>
      <c r="S41" s="361">
        <f t="shared" si="2"/>
        <v>0.95</v>
      </c>
      <c r="V41" s="13"/>
    </row>
    <row r="42" spans="1:22">
      <c r="B42" t="s">
        <v>2268</v>
      </c>
      <c r="C42" s="233">
        <f>IF(B42="","",IF(LEN(B42)&gt;9,SUMIFS(Options!$H$3:$H$32,Options!$B$3:$B$32,Check!B42),SUMIFS('Master P&amp;L'!$H$11:$H$88,'Master P&amp;L'!$B$11:$B$88,Check!B42)))</f>
        <v>1250</v>
      </c>
      <c r="D42" s="233">
        <f>IF(B42="","",SUMIFS(Input_APM!N:N,Input_APM!L:L,Check!B42,Input_APM!M:M,Check!$F$1))</f>
        <v>891</v>
      </c>
      <c r="E42" s="219">
        <f t="shared" si="5"/>
        <v>300</v>
      </c>
      <c r="F42" s="233">
        <f>IF(B42="","",SUMIFS(Input_APM!N:N,Input_APM!M:M,Check!$F$1,Input_APM!L:L,Check!B42))</f>
        <v>891</v>
      </c>
      <c r="G42" s="233">
        <f>IF(B42="","",SUMIFS(Input_APM!N:N,Input_APM!M:M,Check!$G$1,Input_APM!L:L,Check!B42))</f>
        <v>0</v>
      </c>
      <c r="H42" s="217">
        <f t="shared" si="0"/>
        <v>891</v>
      </c>
      <c r="I42" s="217">
        <f>SUMIFS(Input_APM!N:N,Input_APM!L:L,Check!B42)</f>
        <v>891</v>
      </c>
      <c r="J42" s="219">
        <f t="shared" si="3"/>
        <v>0</v>
      </c>
      <c r="K42" s="22">
        <f>IF(B42="","",SUMIFS('Input_APM (Zenith)'!N:N,'Input_APM (Zenith)'!L:L,Check!B42,'Input_APM (Zenith)'!M:M,Check!$F$1))</f>
        <v>59</v>
      </c>
      <c r="L42" s="22">
        <f>IF(B42="","",SUMIFS('Input_APM (Zenith)'!N:N,'Input_APM (Zenith)'!L:L,Check!B42,'Input_APM (Zenith)'!M:M,Check!$G$1))</f>
        <v>0</v>
      </c>
      <c r="M42" s="240">
        <f t="shared" si="4"/>
        <v>950</v>
      </c>
      <c r="O42" t="s">
        <v>138</v>
      </c>
      <c r="P42" s="217">
        <f>IF(O42="","",IF(OR(LEFT(O42,4)="Cash",LEFT(O42,4)="Prov"),0,SUMIFS(Input_APM!N:N,Input_APM!L:L,Check!O42)))</f>
        <v>-1406</v>
      </c>
      <c r="Q42" s="22">
        <f>IF(O42="","",IF(LEN(O42)&gt;9,SUMIFS(Options!$H$3:$H$32,Options!$B$3:$B$32,Check!O42),SUMIFS('Master P&amp;L'!$H$11:$H$88,'Master P&amp;L'!$B$11:$B$88,Check!O42)))</f>
        <v>-49</v>
      </c>
      <c r="R42" s="217">
        <f t="shared" si="1"/>
        <v>-1357</v>
      </c>
      <c r="S42" s="361">
        <f t="shared" si="2"/>
        <v>28.693877551020407</v>
      </c>
      <c r="V42" s="13"/>
    </row>
    <row r="43" spans="1:22">
      <c r="A43" t="s">
        <v>1770</v>
      </c>
      <c r="B43" t="s">
        <v>2269</v>
      </c>
      <c r="C43" s="233">
        <f>IF(B43="","",IF(LEN(B43)&gt;9,SUMIFS(Options!$H$3:$H$32,Options!$B$3:$B$32,Check!B43),SUMIFS('Master P&amp;L'!$H$11:$H$88,'Master P&amp;L'!$B$11:$B$88,Check!B43)))</f>
        <v>-1200</v>
      </c>
      <c r="D43" s="233">
        <f>IF(B43="","",SUMIFS(Input_APM!N:N,Input_APM!L:L,Check!B43,Input_APM!M:M,Check!$F$1))</f>
        <v>-844</v>
      </c>
      <c r="E43" s="217">
        <f t="shared" si="5"/>
        <v>-300</v>
      </c>
      <c r="F43" s="233">
        <f>IF(B43="","",SUMIFS(Input_APM!N:N,Input_APM!M:M,Check!$F$1,Input_APM!L:L,Check!B43))</f>
        <v>-844</v>
      </c>
      <c r="G43" s="233">
        <f>IF(B43="","",SUMIFS(Input_APM!N:N,Input_APM!M:M,Check!$G$1,Input_APM!L:L,Check!B43))</f>
        <v>0</v>
      </c>
      <c r="H43" s="217">
        <f t="shared" si="0"/>
        <v>-844</v>
      </c>
      <c r="I43" s="217">
        <f>SUMIFS(Input_APM!N:N,Input_APM!L:L,Check!B43)</f>
        <v>-844</v>
      </c>
      <c r="J43" s="219">
        <f t="shared" si="3"/>
        <v>0</v>
      </c>
      <c r="K43" s="22">
        <f>IF(B43="","",SUMIFS('Input_APM (Zenith)'!N:N,'Input_APM (Zenith)'!L:L,Check!B43,'Input_APM (Zenith)'!M:M,Check!$F$1))</f>
        <v>-56</v>
      </c>
      <c r="L43" s="22">
        <f>IF(B43="","",SUMIFS('Input_APM (Zenith)'!N:N,'Input_APM (Zenith)'!L:L,Check!B43,'Input_APM (Zenith)'!M:M,Check!$G$1))</f>
        <v>0</v>
      </c>
      <c r="M43" s="217">
        <f t="shared" si="4"/>
        <v>-900</v>
      </c>
      <c r="O43" t="s">
        <v>2108</v>
      </c>
      <c r="P43" s="217">
        <f>IF(O43="","",IF(OR(LEFT(O43,4)="Cash",LEFT(O43,4)="Prov"),0,SUMIFS(Input_APM!N:N,Input_APM!L:L,Check!O43)))</f>
        <v>-188</v>
      </c>
      <c r="Q43" s="22">
        <f>IF(O43="","",IF(LEN(O43)&gt;9,SUMIFS(Options!$H$3:$H$32,Options!$B$3:$B$32,Check!O43),SUMIFS('Master P&amp;L'!$H$11:$H$88,'Master P&amp;L'!$B$11:$B$88,Check!O43)))</f>
        <v>-200</v>
      </c>
      <c r="R43" s="217">
        <f t="shared" si="1"/>
        <v>12</v>
      </c>
      <c r="S43" s="361">
        <f t="shared" si="2"/>
        <v>0.94</v>
      </c>
      <c r="V43" s="13"/>
    </row>
    <row r="44" spans="1:22">
      <c r="B44" t="s">
        <v>2109</v>
      </c>
      <c r="C44" s="233">
        <f>IF(B44="","",IF(LEN(B44)&gt;9,SUMIFS(Options!$H$3:$H$32,Options!$B$3:$B$32,Check!B44),SUMIFS('Master P&amp;L'!$H$11:$H$88,'Master P&amp;L'!$B$11:$B$88,Check!B44)))</f>
        <v>50</v>
      </c>
      <c r="D44" s="233">
        <f>IF(B44="","",SUMIFS(Input_APM!N:N,Input_APM!L:L,Check!B44,Input_APM!M:M,Check!$F$1))</f>
        <v>45</v>
      </c>
      <c r="E44" s="217">
        <f>IF(B44="","",C44-M44)</f>
        <v>0</v>
      </c>
      <c r="F44" s="233">
        <f>IF(B44="","",SUMIFS(Input_APM!N:N,Input_APM!M:M,Check!$F$1,Input_APM!L:L,Check!B44))</f>
        <v>45</v>
      </c>
      <c r="G44" s="233">
        <f>IF(B44="","",SUMIFS(Input_APM!N:N,Input_APM!M:M,Check!$G$1,Input_APM!L:L,Check!B44))</f>
        <v>0</v>
      </c>
      <c r="H44" s="217">
        <f t="shared" si="0"/>
        <v>45</v>
      </c>
      <c r="I44" s="217">
        <f>SUMIFS(Input_APM!N:N,Input_APM!L:L,Check!B44)</f>
        <v>45</v>
      </c>
      <c r="J44" s="219">
        <f t="shared" si="3"/>
        <v>0</v>
      </c>
      <c r="K44" s="22">
        <f>IF(B44="","",SUMIFS('Input_APM (Zenith)'!N:N,'Input_APM (Zenith)'!L:L,Check!B44,'Input_APM (Zenith)'!M:M,Check!$F$1))</f>
        <v>5</v>
      </c>
      <c r="L44" s="22">
        <f>IF(B44="","",SUMIFS('Input_APM (Zenith)'!N:N,'Input_APM (Zenith)'!L:L,Check!B44,'Input_APM (Zenith)'!M:M,Check!$G$1))</f>
        <v>0</v>
      </c>
      <c r="M44" s="217">
        <f t="shared" si="4"/>
        <v>50</v>
      </c>
      <c r="O44" t="s">
        <v>2067</v>
      </c>
      <c r="P44" s="217">
        <f>IF(O44="","",IF(OR(LEFT(O44,4)="Cash",LEFT(O44,4)="Prov"),0,SUMIFS(Input_APM!N:N,Input_APM!L:L,Check!O44)))</f>
        <v>0</v>
      </c>
      <c r="Q44" s="22">
        <f>IF(O44="","",IF(LEN(O44)&gt;9,SUMIFS(Options!$H$3:$H$32,Options!$B$3:$B$32,Check!O44),SUMIFS('Master P&amp;L'!$H$11:$H$88,'Master P&amp;L'!$B$11:$B$88,Check!O44)))</f>
        <v>150</v>
      </c>
      <c r="R44" s="217">
        <f t="shared" si="1"/>
        <v>-150</v>
      </c>
      <c r="S44" s="361" t="str">
        <f t="shared" si="2"/>
        <v>Erro</v>
      </c>
      <c r="V44" s="13"/>
    </row>
    <row r="45" spans="1:22">
      <c r="B45"/>
      <c r="C45" s="233" t="str">
        <f>IF(B45="","",IF(LEN(B45)&gt;9,SUMIFS(Options!$H$3:$H$32,Options!$B$3:$B$32,Check!B45),SUMIFS('Master P&amp;L'!$H$11:$H$88,'Master P&amp;L'!$B$11:$B$88,Check!B45)))</f>
        <v/>
      </c>
      <c r="D45" s="233" t="str">
        <f>IF(B45="","",SUMIFS(Input_APM!N:N,Input_APM!L:L,Check!B45,Input_APM!M:M,Check!$F$1))</f>
        <v/>
      </c>
      <c r="E45" s="217" t="str">
        <f t="shared" si="5"/>
        <v/>
      </c>
      <c r="F45" s="233" t="str">
        <f>IF(B45="","",SUMIFS(Input_APM!N:N,Input_APM!M:M,Check!$F$1,Input_APM!L:L,Check!B45))</f>
        <v/>
      </c>
      <c r="G45" s="233" t="str">
        <f>IF(B45="","",SUMIFS(Input_APM!N:N,Input_APM!M:M,Check!$G$1,Input_APM!L:L,Check!B45))</f>
        <v/>
      </c>
      <c r="H45" s="217" t="str">
        <f t="shared" si="0"/>
        <v/>
      </c>
      <c r="I45" s="217">
        <f>SUMIFS(Input_APM!N:N,Input_APM!L:L,Check!B45)</f>
        <v>0</v>
      </c>
      <c r="J45" s="219" t="str">
        <f t="shared" si="3"/>
        <v/>
      </c>
      <c r="K45" s="22" t="str">
        <f>IF(B45="","",SUMIFS('Input_APM (Zenith)'!N:N,'Input_APM (Zenith)'!L:L,Check!B45,'Input_APM (Zenith)'!M:M,Check!$F$1))</f>
        <v/>
      </c>
      <c r="L45" s="22" t="str">
        <f>IF(B45="","",SUMIFS('Input_APM (Zenith)'!N:N,'Input_APM (Zenith)'!L:L,Check!B45,'Input_APM (Zenith)'!M:M,Check!$G$1))</f>
        <v/>
      </c>
      <c r="M45" s="217" t="str">
        <f t="shared" si="4"/>
        <v/>
      </c>
      <c r="O45" t="s">
        <v>2107</v>
      </c>
      <c r="P45" s="217">
        <f>IF(O45="","",IF(OR(LEFT(O45,4)="Cash",LEFT(O45,4)="Prov"),0,SUMIFS(Input_APM!N:N,Input_APM!L:L,Check!O45)))</f>
        <v>186</v>
      </c>
      <c r="Q45" s="22">
        <f>IF(O45="","",IF(LEN(O45)&gt;9,SUMIFS(Options!$H$3:$H$32,Options!$B$3:$B$32,Check!O45),SUMIFS('Master P&amp;L'!$H$11:$H$88,'Master P&amp;L'!$B$11:$B$88,Check!O45)))</f>
        <v>200</v>
      </c>
      <c r="R45" s="217">
        <f t="shared" si="1"/>
        <v>-14</v>
      </c>
      <c r="S45" s="361">
        <f t="shared" si="2"/>
        <v>0.93</v>
      </c>
      <c r="V45" s="13"/>
    </row>
    <row r="46" spans="1:22">
      <c r="B46"/>
      <c r="C46" s="233" t="str">
        <f>IF(B46="","",IF(LEN(B46)&gt;9,SUMIFS(Options!$H$3:$H$32,Options!$B$3:$B$32,Check!B46),SUMIFS('Master P&amp;L'!$H$11:$H$88,'Master P&amp;L'!$B$11:$B$88,Check!B46)))</f>
        <v/>
      </c>
      <c r="D46" s="233" t="str">
        <f>IF(B46="","",SUMIFS(Input_APM!N:N,Input_APM!L:L,Check!B46,Input_APM!M:M,Check!$F$1))</f>
        <v/>
      </c>
      <c r="E46" s="219" t="str">
        <f t="shared" si="5"/>
        <v/>
      </c>
      <c r="F46" s="233" t="str">
        <f>IF(B46="","",SUMIFS(Input_APM!N:N,Input_APM!M:M,Check!$F$1,Input_APM!L:L,Check!B46))</f>
        <v/>
      </c>
      <c r="G46" s="233" t="str">
        <f>IF(B46="","",SUMIFS(Input_APM!N:N,Input_APM!M:M,Check!$G$1,Input_APM!L:L,Check!B46))</f>
        <v/>
      </c>
      <c r="H46" s="217" t="str">
        <f t="shared" si="0"/>
        <v/>
      </c>
      <c r="I46" s="217">
        <f>SUMIFS(Input_APM!N:N,Input_APM!L:L,Check!B46)</f>
        <v>0</v>
      </c>
      <c r="J46" s="219" t="str">
        <f t="shared" si="3"/>
        <v/>
      </c>
      <c r="K46" s="22" t="str">
        <f>IF(B46="","",SUMIFS('Input_APM (Zenith)'!N:N,'Input_APM (Zenith)'!L:L,Check!B46,'Input_APM (Zenith)'!M:M,Check!$F$1))</f>
        <v/>
      </c>
      <c r="L46" s="22" t="str">
        <f>IF(B46="","",SUMIFS('Input_APM (Zenith)'!N:N,'Input_APM (Zenith)'!L:L,Check!B46,'Input_APM (Zenith)'!M:M,Check!$G$1))</f>
        <v/>
      </c>
      <c r="M46" s="217" t="str">
        <f t="shared" si="4"/>
        <v/>
      </c>
      <c r="O46" t="s">
        <v>90</v>
      </c>
      <c r="P46" s="217">
        <f>IF(O46="","",IF(OR(LEFT(O46,4)="Cash",LEFT(O46,4)="Prov"),0,SUMIFS(Input_APM!N:N,Input_APM!L:L,Check!O46)))</f>
        <v>4310</v>
      </c>
      <c r="Q46" s="22">
        <f>IF(O46="","",IF(LEN(O46)&gt;9,SUMIFS(Options!$H$3:$H$32,Options!$B$3:$B$32,Check!O46),SUMIFS('Master P&amp;L'!$H$11:$H$88,'Master P&amp;L'!$B$11:$B$88,Check!O46)))</f>
        <v>3500</v>
      </c>
      <c r="R46" s="217">
        <f t="shared" si="1"/>
        <v>810</v>
      </c>
      <c r="S46" s="361">
        <f t="shared" si="2"/>
        <v>1.2314285714285715</v>
      </c>
      <c r="V46" s="13"/>
    </row>
    <row r="47" spans="1:22">
      <c r="B47"/>
      <c r="C47" s="233" t="str">
        <f>IF(B47="","",IF(LEN(B47)&gt;9,SUMIFS(Options!$H$3:$H$32,Options!$B$3:$B$32,Check!B47),SUMIFS('Master P&amp;L'!$H$11:$H$88,'Master P&amp;L'!$B$11:$B$88,Check!B47)))</f>
        <v/>
      </c>
      <c r="D47" s="233" t="str">
        <f>IF(B47="","",SUMIFS(Input_APM!N:N,Input_APM!L:L,Check!B47,Input_APM!M:M,Check!$F$1))</f>
        <v/>
      </c>
      <c r="E47" s="219" t="str">
        <f t="shared" si="5"/>
        <v/>
      </c>
      <c r="F47" s="233" t="str">
        <f>IF(B47="","",SUMIFS(Input_APM!N:N,Input_APM!M:M,Check!$F$1,Input_APM!L:L,Check!B47))</f>
        <v/>
      </c>
      <c r="G47" s="233" t="str">
        <f>IF(B47="","",SUMIFS(Input_APM!N:N,Input_APM!M:M,Check!$G$1,Input_APM!L:L,Check!B47))</f>
        <v/>
      </c>
      <c r="H47" s="217" t="str">
        <f t="shared" si="0"/>
        <v/>
      </c>
      <c r="I47" s="217">
        <f>SUMIFS(Input_APM!N:N,Input_APM!L:L,Check!B47)</f>
        <v>0</v>
      </c>
      <c r="J47" s="219" t="str">
        <f t="shared" si="3"/>
        <v/>
      </c>
      <c r="K47" s="22" t="str">
        <f>IF(B47="","",SUMIFS('Input_APM (Zenith)'!N:N,'Input_APM (Zenith)'!L:L,Check!B47,'Input_APM (Zenith)'!M:M,Check!$F$1))</f>
        <v/>
      </c>
      <c r="L47" s="22" t="str">
        <f>IF(B47="","",SUMIFS('Input_APM (Zenith)'!N:N,'Input_APM (Zenith)'!L:L,Check!B47,'Input_APM (Zenith)'!M:M,Check!$G$1))</f>
        <v/>
      </c>
      <c r="M47" s="217" t="str">
        <f t="shared" si="4"/>
        <v/>
      </c>
      <c r="O47" t="s">
        <v>2057</v>
      </c>
      <c r="P47" s="217">
        <f>IF(O47="","",IF(OR(LEFT(O47,4)="Cash",LEFT(O47,4)="Prov"),0,SUMIFS(Input_APM!N:N,Input_APM!L:L,Check!O47)))</f>
        <v>118</v>
      </c>
      <c r="Q47" s="22">
        <f>IF(O47="","",IF(LEN(O47)&gt;9,SUMIFS(Options!$H$3:$H$32,Options!$B$3:$B$32,Check!O47),SUMIFS('Master P&amp;L'!$H$11:$H$88,'Master P&amp;L'!$B$11:$B$88,Check!O47)))</f>
        <v>0</v>
      </c>
      <c r="R47" s="217">
        <f t="shared" si="1"/>
        <v>118</v>
      </c>
      <c r="S47" s="361" t="str">
        <f t="shared" si="2"/>
        <v>Erro</v>
      </c>
    </row>
    <row r="48" spans="1:22">
      <c r="B48"/>
      <c r="C48" s="233" t="str">
        <f>IF(B48="","",IF(LEN(B48)&gt;9,SUMIFS(Options!$H$3:$H$32,Options!$B$3:$B$32,Check!B48),SUMIFS('Master P&amp;L'!$H$11:$H$88,'Master P&amp;L'!$B$11:$B$88,Check!B48)))</f>
        <v/>
      </c>
      <c r="D48" s="233" t="str">
        <f>IF(B48="","",SUMIFS(Input_APM!N:N,Input_APM!L:L,Check!B48,Input_APM!M:M,Check!$F$1))</f>
        <v/>
      </c>
      <c r="E48" s="219" t="str">
        <f t="shared" si="5"/>
        <v/>
      </c>
      <c r="F48" s="233" t="str">
        <f>IF(B48="","",SUMIFS(Input_APM!N:N,Input_APM!M:M,Check!$F$1,Input_APM!L:L,Check!B48))</f>
        <v/>
      </c>
      <c r="G48" s="233" t="str">
        <f>IF(B48="","",SUMIFS(Input_APM!N:N,Input_APM!M:M,Check!$G$1,Input_APM!L:L,Check!B48))</f>
        <v/>
      </c>
      <c r="H48" s="217" t="str">
        <f t="shared" si="0"/>
        <v/>
      </c>
      <c r="I48" s="217">
        <f>SUMIFS(Input_APM!N:N,Input_APM!L:L,Check!B48)</f>
        <v>0</v>
      </c>
      <c r="J48" s="219" t="str">
        <f t="shared" si="3"/>
        <v/>
      </c>
      <c r="K48" s="22" t="str">
        <f>IF(B48="","",SUMIFS('Input_APM (Zenith)'!N:N,'Input_APM (Zenith)'!L:L,Check!B48,'Input_APM (Zenith)'!M:M,Check!$F$1))</f>
        <v/>
      </c>
      <c r="L48" s="22" t="str">
        <f>IF(B48="","",SUMIFS('Input_APM (Zenith)'!N:N,'Input_APM (Zenith)'!L:L,Check!B48,'Input_APM (Zenith)'!M:M,Check!$G$1))</f>
        <v/>
      </c>
      <c r="M48" s="217" t="str">
        <f t="shared" si="4"/>
        <v/>
      </c>
      <c r="O48" t="s">
        <v>2058</v>
      </c>
      <c r="P48" s="217">
        <f>IF(O48="","",IF(OR(LEFT(O48,4)="Cash",LEFT(O48,4)="Prov"),0,SUMIFS(Input_APM!N:N,Input_APM!L:L,Check!O48)))</f>
        <v>-46</v>
      </c>
      <c r="Q48" s="22">
        <f>IF(O48="","",IF(LEN(O48)&gt;9,SUMIFS(Options!$H$3:$H$32,Options!$B$3:$B$32,Check!O48),SUMIFS('Master P&amp;L'!$H$11:$H$88,'Master P&amp;L'!$B$11:$B$88,Check!O48)))</f>
        <v>-50</v>
      </c>
      <c r="R48" s="217">
        <f t="shared" si="1"/>
        <v>4</v>
      </c>
      <c r="S48" s="361">
        <f t="shared" si="2"/>
        <v>0.92</v>
      </c>
    </row>
    <row r="49" spans="1:19">
      <c r="B49"/>
      <c r="C49" s="233" t="str">
        <f>IF(B49="","",IF(LEN(B49)&gt;9,SUMIFS(Options!$H$3:$H$32,Options!$B$3:$B$32,Check!B49),SUMIFS('Master P&amp;L'!$H$11:$H$88,'Master P&amp;L'!$B$11:$B$88,Check!B49)))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2074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IF(O49="","",IF(LEN(O49)&gt;9,SUMIFS(Options!$H$3:$H$32,Options!$B$3:$B$32,Check!O49),SUMIFS('Master P&amp;L'!$H$11:$H$88,'Master P&amp;L'!$B$11:$B$88,Check!O49)))</f>
        <v>0</v>
      </c>
      <c r="R49" s="217">
        <f t="shared" si="1"/>
        <v>0</v>
      </c>
      <c r="S49" s="361" t="str">
        <f t="shared" si="2"/>
        <v>Ok</v>
      </c>
    </row>
    <row r="50" spans="1:19">
      <c r="A50" t="s">
        <v>1770</v>
      </c>
      <c r="B50"/>
      <c r="C50" s="233" t="str">
        <f>IF(B50="","",IF(LEN(B50)&gt;9,SUMIFS(Options!$H$3:$H$32,Options!$B$3:$B$32,Check!B50),SUMIFS('Master P&amp;L'!$H$11:$H$88,'Master P&amp;L'!$B$11:$B$88,Check!B50)))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2101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IF(O50="","",IF(LEN(O50)&gt;9,SUMIFS(Options!$H$3:$H$32,Options!$B$3:$B$32,Check!O50),SUMIFS('Master P&amp;L'!$H$11:$H$88,'Master P&amp;L'!$B$11:$B$88,Check!O50)))</f>
        <v>0</v>
      </c>
      <c r="R50" s="217">
        <f t="shared" si="1"/>
        <v>0</v>
      </c>
      <c r="S50" s="361" t="str">
        <f t="shared" si="2"/>
        <v>Ok</v>
      </c>
    </row>
    <row r="51" spans="1:19">
      <c r="B51"/>
      <c r="C51" s="233" t="str">
        <f>IF(B51="","",IF(LEN(B51)&gt;9,SUMIFS(Options!$H$3:$H$32,Options!$B$3:$B$32,Check!B51),SUMIFS('Master P&amp;L'!$H$11:$H$88,'Master P&amp;L'!$B$11:$B$88,Check!B51)))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2102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IF(O51="","",IF(LEN(O51)&gt;9,SUMIFS(Options!$H$3:$H$32,Options!$B$3:$B$32,Check!O51),SUMIFS('Master P&amp;L'!$H$11:$H$88,'Master P&amp;L'!$B$11:$B$88,Check!O51)))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IF(B52="","",IF(LEN(B52)&gt;9,SUMIFS(Options!$H$3:$H$32,Options!$B$3:$B$32,Check!B52),SUMIFS('Master P&amp;L'!$H$11:$H$88,'Master P&amp;L'!$B$11:$B$88,Check!B52)))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2100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IF(O52="","",IF(LEN(O52)&gt;9,SUMIFS(Options!$H$3:$H$32,Options!$B$3:$B$32,Check!O52),SUMIFS('Master P&amp;L'!$H$11:$H$88,'Master P&amp;L'!$B$11:$B$88,Check!O52)))</f>
        <v>0</v>
      </c>
      <c r="R52" s="217">
        <f t="shared" si="1"/>
        <v>0</v>
      </c>
      <c r="S52" s="361" t="str">
        <f t="shared" si="2"/>
        <v>Ok</v>
      </c>
    </row>
    <row r="53" spans="1:19">
      <c r="B53"/>
      <c r="C53" s="233" t="str">
        <f>IF(B53="","",IF(LEN(B53)&gt;9,SUMIFS(Options!$H$3:$H$32,Options!$B$3:$B$32,Check!B53),SUMIFS('Master P&amp;L'!$H$11:$H$88,'Master P&amp;L'!$B$11:$B$88,Check!B53)))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94</v>
      </c>
      <c r="P53" s="217">
        <f>IF(O53="","",IF(OR(LEFT(O53,4)="Cash",LEFT(O53,4)="Prov"),0,SUMIFS(Input_APM!N:N,Input_APM!L:L,Check!O53)))</f>
        <v>23756</v>
      </c>
      <c r="Q53" s="22">
        <f>IF(O53="","",IF(LEN(O53)&gt;9,SUMIFS(Options!$H$3:$H$32,Options!$B$3:$B$32,Check!O53),SUMIFS('Master P&amp;L'!$H$11:$H$88,'Master P&amp;L'!$B$11:$B$88,Check!O53)))</f>
        <v>25392</v>
      </c>
      <c r="R53" s="217">
        <f t="shared" si="1"/>
        <v>-1636</v>
      </c>
      <c r="S53" s="361">
        <f t="shared" si="2"/>
        <v>0.93557025834908636</v>
      </c>
    </row>
    <row r="54" spans="1:19">
      <c r="B54"/>
      <c r="C54" s="233" t="str">
        <f>IF(B54="","",IF(LEN(B54)&gt;9,SUMIFS(Options!$H$3:$H$32,Options!$B$3:$B$32,Check!B54),SUMIFS('Master P&amp;L'!$H$11:$H$88,'Master P&amp;L'!$B$11:$B$88,Check!B54)))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336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IF(O54="","",IF(LEN(O54)&gt;9,SUMIFS(Options!$H$3:$H$32,Options!$B$3:$B$32,Check!O54),SUMIFS('Master P&amp;L'!$H$11:$H$88,'Master P&amp;L'!$B$11:$B$88,Check!O54)))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IF(B55="","",IF(LEN(B55)&gt;9,SUMIFS(Options!$H$3:$H$32,Options!$B$3:$B$32,Check!B55),SUMIFS('Master P&amp;L'!$H$11:$H$88,'Master P&amp;L'!$B$11:$B$88,Check!B55)))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306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IF(O55="","",IF(LEN(O55)&gt;9,SUMIFS(Options!$H$3:$H$32,Options!$B$3:$B$32,Check!O55),SUMIFS('Master P&amp;L'!$H$11:$H$88,'Master P&amp;L'!$B$11:$B$88,Check!O55)))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IF(B56="","",IF(LEN(B56)&gt;9,SUMIFS(Options!$H$3:$H$32,Options!$B$3:$B$32,Check!B56),SUMIFS('Master P&amp;L'!$H$11:$H$88,'Master P&amp;L'!$B$11:$B$88,Check!B56)))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2339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IF(O56="","",IF(LEN(O56)&gt;9,SUMIFS(Options!$H$3:$H$32,Options!$B$3:$B$32,Check!O56),SUMIFS('Master P&amp;L'!$H$11:$H$88,'Master P&amp;L'!$B$11:$B$88,Check!O56)))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IF(B57="","",IF(LEN(B57)&gt;9,SUMIFS(Options!$H$3:$H$32,Options!$B$3:$B$32,Check!B57),SUMIFS('Master P&amp;L'!$H$11:$H$88,'Master P&amp;L'!$B$11:$B$88,Check!B57)))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1666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IF(O57="","",IF(LEN(O57)&gt;9,SUMIFS(Options!$H$3:$H$32,Options!$B$3:$B$32,Check!O57),SUMIFS('Master P&amp;L'!$H$11:$H$88,'Master P&amp;L'!$B$11:$B$88,Check!O57)))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IF(B58="","",IF(LEN(B58)&gt;9,SUMIFS(Options!$H$3:$H$32,Options!$B$3:$B$32,Check!B58),SUMIFS('Master P&amp;L'!$H$11:$H$88,'Master P&amp;L'!$B$11:$B$88,Check!B58)))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2340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IF(O58="","",IF(LEN(O58)&gt;9,SUMIFS(Options!$H$3:$H$32,Options!$B$3:$B$32,Check!O58),SUMIFS('Master P&amp;L'!$H$11:$H$88,'Master P&amp;L'!$B$11:$B$88,Check!O58)))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IF(B59="","",IF(LEN(B59)&gt;9,SUMIFS(Options!$H$3:$H$32,Options!$B$3:$B$32,Check!B59),SUMIFS('Master P&amp;L'!$H$11:$H$88,'Master P&amp;L'!$B$11:$B$88,Check!B59)))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337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IF(O59="","",IF(LEN(O59)&gt;9,SUMIFS(Options!$H$3:$H$32,Options!$B$3:$B$32,Check!O59),SUMIFS('Master P&amp;L'!$H$11:$H$88,'Master P&amp;L'!$B$11:$B$88,Check!O59)))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IF(B60="","",IF(LEN(B60)&gt;9,SUMIFS(Options!$H$3:$H$32,Options!$B$3:$B$32,Check!B60),SUMIFS('Master P&amp;L'!$H$11:$H$88,'Master P&amp;L'!$B$11:$B$88,Check!B60)))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307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IF(O60="","",IF(LEN(O60)&gt;9,SUMIFS(Options!$H$3:$H$32,Options!$B$3:$B$32,Check!O60),SUMIFS('Master P&amp;L'!$H$11:$H$88,'Master P&amp;L'!$B$11:$B$88,Check!O60)))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IF(B61="","",IF(LEN(B61)&gt;9,SUMIFS(Options!$H$3:$H$32,Options!$B$3:$B$32,Check!B61),SUMIFS('Master P&amp;L'!$H$11:$H$88,'Master P&amp;L'!$B$11:$B$88,Check!B61)))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135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IF(O61="","",IF(LEN(O61)&gt;9,SUMIFS(Options!$H$3:$H$32,Options!$B$3:$B$32,Check!O61),SUMIFS('Master P&amp;L'!$H$11:$H$88,'Master P&amp;L'!$B$11:$B$88,Check!O61)))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IF(B62="","",IF(LEN(B62)&gt;9,SUMIFS(Options!$H$3:$H$32,Options!$B$3:$B$32,Check!B62),SUMIFS('Master P&amp;L'!$H$11:$H$88,'Master P&amp;L'!$B$11:$B$88,Check!B62)))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143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IF(O62="","",IF(LEN(O62)&gt;9,SUMIFS(Options!$H$3:$H$32,Options!$B$3:$B$32,Check!O62),SUMIFS('Master P&amp;L'!$H$11:$H$88,'Master P&amp;L'!$B$11:$B$88,Check!O62)))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IF(B63="","",IF(LEN(B63)&gt;9,SUMIFS(Options!$H$3:$H$32,Options!$B$3:$B$32,Check!B63),SUMIFS('Master P&amp;L'!$H$11:$H$88,'Master P&amp;L'!$B$11:$B$88,Check!B63)))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2150</v>
      </c>
      <c r="P63" s="217">
        <f>IF(O63="","",IF(OR(LEFT(O63,4)="Cash",LEFT(O63,4)="Prov"),0,SUMIFS(Input_APM!N:N,Input_APM!L:L,Check!O63)))</f>
        <v>20567</v>
      </c>
      <c r="Q63" s="22">
        <f>IF(O63="","",IF(LEN(O63)&gt;9,SUMIFS(Options!$H$3:$H$32,Options!$B$3:$B$32,Check!O63),SUMIFS('Master P&amp;L'!$H$11:$H$88,'Master P&amp;L'!$B$11:$B$88,Check!O63)))</f>
        <v>24092</v>
      </c>
      <c r="R63" s="217">
        <f t="shared" si="1"/>
        <v>-3525</v>
      </c>
      <c r="S63" s="361">
        <f t="shared" si="2"/>
        <v>0.85368587082849079</v>
      </c>
    </row>
    <row r="64" spans="1:19">
      <c r="B64"/>
      <c r="C64" s="233" t="str">
        <f>IF(B64="","",IF(LEN(B64)&gt;9,SUMIFS(Options!$H$3:$H$32,Options!$B$3:$B$32,Check!B64),SUMIFS('Master P&amp;L'!$H$11:$H$88,'Master P&amp;L'!$B$11:$B$88,Check!B64)))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3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IF(O64="","",IF(LEN(O64)&gt;9,SUMIFS(Options!$H$3:$H$32,Options!$B$3:$B$32,Check!O64),SUMIFS('Master P&amp;L'!$H$11:$H$88,'Master P&amp;L'!$B$11:$B$88,Check!O64)))</f>
        <v>0</v>
      </c>
      <c r="R64" s="217">
        <f t="shared" si="1"/>
        <v>0</v>
      </c>
      <c r="S64" s="361" t="str">
        <f t="shared" si="2"/>
        <v>Ok</v>
      </c>
    </row>
    <row r="65" spans="2:19">
      <c r="B65"/>
      <c r="C65" s="233" t="str">
        <f>IF(B65="","",IF(LEN(B65)&gt;9,SUMIFS(Options!$H$3:$H$32,Options!$B$3:$B$32,Check!B65),SUMIFS('Master P&amp;L'!$H$11:$H$88,'Master P&amp;L'!$B$11:$B$88,Check!B65)))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2142</v>
      </c>
      <c r="P65" s="217">
        <f>IF(O65="","",IF(OR(LEFT(O65,4)="Cash",LEFT(O65,4)="Prov"),0,SUMIFS(Input_APM!N:N,Input_APM!L:L,Check!O65)))</f>
        <v>0</v>
      </c>
      <c r="Q65" s="22">
        <f>IF(O65="","",IF(LEN(O65)&gt;9,SUMIFS(Options!$H$3:$H$32,Options!$B$3:$B$32,Check!O65),SUMIFS('Master P&amp;L'!$H$11:$H$88,'Master P&amp;L'!$B$11:$B$88,Check!O65)))</f>
        <v>0</v>
      </c>
      <c r="R65" s="217">
        <f t="shared" si="1"/>
        <v>0</v>
      </c>
      <c r="S65" s="361" t="str">
        <f t="shared" si="2"/>
        <v>Ok</v>
      </c>
    </row>
    <row r="66" spans="2:19">
      <c r="B66"/>
      <c r="C66" s="233" t="str">
        <f>IF(B66="","",IF(LEN(B66)&gt;9,SUMIFS(Options!$H$3:$H$32,Options!$B$3:$B$32,Check!B66),SUMIFS('Master P&amp;L'!$H$11:$H$88,'Master P&amp;L'!$B$11:$B$88,Check!B66)))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1761</v>
      </c>
      <c r="P66" s="217">
        <f>IF(O66="","",IF(OR(LEFT(O66,4)="Cash",LEFT(O66,4)="Prov"),0,SUMIFS(Input_APM!N:N,Input_APM!L:L,Check!O66)))</f>
        <v>1400</v>
      </c>
      <c r="Q66" s="22">
        <f>IF(O66="","",IF(LEN(O66)&gt;9,SUMIFS(Options!$H$3:$H$32,Options!$B$3:$B$32,Check!O66),SUMIFS('Master P&amp;L'!$H$11:$H$88,'Master P&amp;L'!$B$11:$B$88,Check!O66)))</f>
        <v>0</v>
      </c>
      <c r="R66" s="217">
        <f t="shared" si="1"/>
        <v>1400</v>
      </c>
      <c r="S66" s="361" t="str">
        <f t="shared" si="2"/>
        <v>Erro</v>
      </c>
    </row>
    <row r="67" spans="2:19">
      <c r="B67"/>
      <c r="C67" s="233" t="str">
        <f>IF(B67="","",IF(LEN(B67)&gt;9,SUMIFS(Options!$H$3:$H$32,Options!$B$3:$B$32,Check!B67),SUMIFS('Master P&amp;L'!$H$11:$H$88,'Master P&amp;L'!$B$11:$B$88,Check!B67)))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2325</v>
      </c>
      <c r="P67" s="217">
        <f>IF(O67="","",IF(OR(LEFT(O67,4)="Cash",LEFT(O67,4)="Prov"),0,SUMIFS(Input_APM!N:N,Input_APM!L:L,Check!O67)))</f>
        <v>-14</v>
      </c>
      <c r="Q67" s="22">
        <f>IF(O67="","",IF(LEN(O67)&gt;9,SUMIFS(Options!$H$3:$H$32,Options!$B$3:$B$32,Check!O67),SUMIFS('Master P&amp;L'!$H$11:$H$88,'Master P&amp;L'!$B$11:$B$88,Check!O67)))</f>
        <v>0</v>
      </c>
      <c r="R67" s="217">
        <f t="shared" si="1"/>
        <v>-14</v>
      </c>
      <c r="S67" s="361" t="str">
        <f t="shared" si="2"/>
        <v>Erro</v>
      </c>
    </row>
    <row r="68" spans="2:19">
      <c r="B68"/>
      <c r="C68" s="233" t="str">
        <f>IF(B68="","",IF(LEN(B68)&gt;9,SUMIFS(Options!$H$3:$H$32,Options!$B$3:$B$32,Check!B68),SUMIFS('Master P&amp;L'!$H$11:$H$88,'Master P&amp;L'!$B$11:$B$88,Check!B68)))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96</v>
      </c>
      <c r="P68" s="217">
        <f>IF(O68="","",IF(OR(LEFT(O68,4)="Cash",LEFT(O68,4)="Prov"),0,SUMIFS(Input_APM!N:N,Input_APM!L:L,Check!O68)))</f>
        <v>8403</v>
      </c>
      <c r="Q68" s="22">
        <f>IF(O68="","",IF(LEN(O68)&gt;9,SUMIFS(Options!$H$3:$H$32,Options!$B$3:$B$32,Check!O68),SUMIFS('Master P&amp;L'!$H$11:$H$88,'Master P&amp;L'!$B$11:$B$88,Check!O68)))</f>
        <v>9500</v>
      </c>
      <c r="R68" s="217">
        <f t="shared" si="1"/>
        <v>-1097</v>
      </c>
      <c r="S68" s="361">
        <f t="shared" si="2"/>
        <v>0.88452631578947372</v>
      </c>
    </row>
    <row r="69" spans="2:19">
      <c r="B69"/>
      <c r="C69" s="233" t="str">
        <f>IF(B69="","",IF(LEN(B69)&gt;9,SUMIFS(Options!$H$3:$H$32,Options!$B$3:$B$32,Check!B69),SUMIFS('Master P&amp;L'!$H$11:$H$88,'Master P&amp;L'!$B$11:$B$88,Check!B69)))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2109</v>
      </c>
      <c r="P69" s="217">
        <f>IF(O69="","",IF(OR(LEFT(O69,4)="Cash",LEFT(O69,4)="Prov"),0,SUMIFS(Input_APM!N:N,Input_APM!L:L,Check!O69)))</f>
        <v>45</v>
      </c>
      <c r="Q69" s="22">
        <f>IF(O69="","",IF(LEN(O69)&gt;9,SUMIFS(Options!$H$3:$H$32,Options!$B$3:$B$32,Check!O69),SUMIFS('Master P&amp;L'!$H$11:$H$88,'Master P&amp;L'!$B$11:$B$88,Check!O69)))</f>
        <v>50</v>
      </c>
      <c r="R69" s="217">
        <f t="shared" si="1"/>
        <v>-5</v>
      </c>
      <c r="S69" s="361">
        <f t="shared" si="2"/>
        <v>0.9</v>
      </c>
    </row>
    <row r="70" spans="2:19">
      <c r="B70"/>
      <c r="C70" s="233" t="str">
        <f>IF(B70="","",IF(LEN(B70)&gt;9,SUMIFS(Options!$H$3:$H$32,Options!$B$3:$B$32,Check!B70),SUMIFS('Master P&amp;L'!$H$11:$H$88,'Master P&amp;L'!$B$11:$B$88,Check!B70)))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2268</v>
      </c>
      <c r="P70" s="217">
        <f>IF(O70="","",IF(OR(LEFT(O70,4)="Cash",LEFT(O70,4)="Prov"),0,SUMIFS(Input_APM!N:N,Input_APM!L:L,Check!O70)))</f>
        <v>891</v>
      </c>
      <c r="Q70" s="22">
        <f>IF(O70="","",IF(LEN(O70)&gt;9,SUMIFS(Options!$H$3:$H$32,Options!$B$3:$B$32,Check!O70),SUMIFS('Master P&amp;L'!$H$11:$H$88,'Master P&amp;L'!$B$11:$B$88,Check!O70)))</f>
        <v>1250</v>
      </c>
      <c r="R70" s="217">
        <f t="shared" ref="R70:R99" si="10">IF(O70="","",P70-Q70)</f>
        <v>-359</v>
      </c>
      <c r="S70" s="361">
        <f t="shared" ref="S70:S133" si="11">IF(O70="","",IF((P70+Q70)=0,"Ok",IF(OR(P70=0,Q70=0),"Erro",P70/Q70)))</f>
        <v>0.71279999999999999</v>
      </c>
    </row>
    <row r="71" spans="2:19">
      <c r="B71"/>
      <c r="C71" s="233" t="str">
        <f>IF(B71="","",IF(LEN(B71)&gt;9,SUMIFS(Options!$H$3:$H$32,Options!$B$3:$B$32,Check!B71),SUMIFS('Master P&amp;L'!$H$11:$H$88,'Master P&amp;L'!$B$11:$B$88,Check!B71)))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2269</v>
      </c>
      <c r="P71" s="217">
        <f>IF(O71="","",IF(OR(LEFT(O71,4)="Cash",LEFT(O71,4)="Prov"),0,SUMIFS(Input_APM!N:N,Input_APM!L:L,Check!O71)))</f>
        <v>-844</v>
      </c>
      <c r="Q71" s="22">
        <f>IF(O71="","",IF(LEN(O71)&gt;9,SUMIFS(Options!$H$3:$H$32,Options!$B$3:$B$32,Check!O71),SUMIFS('Master P&amp;L'!$H$11:$H$88,'Master P&amp;L'!$B$11:$B$88,Check!O71)))</f>
        <v>-1200</v>
      </c>
      <c r="R71" s="217">
        <f t="shared" si="10"/>
        <v>356</v>
      </c>
      <c r="S71" s="361">
        <f t="shared" si="11"/>
        <v>0.70333333333333337</v>
      </c>
    </row>
    <row r="72" spans="2:19">
      <c r="B72"/>
      <c r="C72" s="233" t="str">
        <f>IF(B72="","",IF(LEN(B72)&gt;9,SUMIFS(Options!$H$3:$H$32,Options!$B$3:$B$32,Check!B72),SUMIFS('Master P&amp;L'!$H$11:$H$88,'Master P&amp;L'!$B$11:$B$88,Check!B72)))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88</v>
      </c>
      <c r="P72" s="217">
        <f>IF(O72="","",IF(OR(LEFT(O72,4)="Cash",LEFT(O72,4)="Prov"),0,SUMIFS(Input_APM!N:N,Input_APM!L:L,Check!O72)))</f>
        <v>38694</v>
      </c>
      <c r="Q72" s="22">
        <f>IF(O72="","",IF(LEN(O72)&gt;9,SUMIFS(Options!$H$3:$H$32,Options!$B$3:$B$32,Check!O72),SUMIFS('Master P&amp;L'!$H$11:$H$88,'Master P&amp;L'!$B$11:$B$88,Check!O72)))</f>
        <v>45750</v>
      </c>
      <c r="R72" s="217">
        <f t="shared" si="10"/>
        <v>-7056</v>
      </c>
      <c r="S72" s="361">
        <f t="shared" si="11"/>
        <v>0.84577049180327868</v>
      </c>
    </row>
    <row r="73" spans="2:19">
      <c r="B73"/>
      <c r="C73" s="233" t="str">
        <f>IF(B73="","",IF(LEN(B73)&gt;9,SUMIFS(Options!$H$3:$H$32,Options!$B$3:$B$32,Check!B73),SUMIFS('Master P&amp;L'!$H$11:$H$88,'Master P&amp;L'!$B$11:$B$88,Check!B73)))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4</v>
      </c>
      <c r="P73" s="217">
        <f>IF(O73="","",IF(OR(LEFT(O73,4)="Cash",LEFT(O73,4)="Prov"),0,SUMIFS(Input_APM!N:N,Input_APM!L:L,Check!O73)))</f>
        <v>-25765</v>
      </c>
      <c r="Q73" s="22">
        <f>IF(O73="","",IF(LEN(O73)&gt;9,SUMIFS(Options!$H$3:$H$32,Options!$B$3:$B$32,Check!O73),SUMIFS('Master P&amp;L'!$H$11:$H$88,'Master P&amp;L'!$B$11:$B$88,Check!O73)))</f>
        <v>-27500</v>
      </c>
      <c r="R73" s="217">
        <f t="shared" si="10"/>
        <v>1735</v>
      </c>
      <c r="S73" s="361">
        <f t="shared" si="11"/>
        <v>0.93690909090909091</v>
      </c>
    </row>
    <row r="74" spans="2:19">
      <c r="B74"/>
      <c r="C74" s="233" t="str">
        <f>IF(B74="","",IF(LEN(B74)&gt;9,SUMIFS(Options!$H$3:$H$32,Options!$B$3:$B$32,Check!B74),SUMIFS('Master P&amp;L'!$H$11:$H$88,'Master P&amp;L'!$B$11:$B$88,Check!B74)))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311</v>
      </c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IF(O74="","",IF(LEN(O74)&gt;9,SUMIFS(Options!$H$3:$H$32,Options!$B$3:$B$32,Check!O74),SUMIFS('Master P&amp;L'!$H$11:$H$88,'Master P&amp;L'!$B$11:$B$88,Check!O74)))</f>
        <v/>
      </c>
      <c r="R74" s="217" t="str">
        <f t="shared" si="10"/>
        <v/>
      </c>
      <c r="S74" s="361" t="str">
        <f t="shared" si="11"/>
        <v/>
      </c>
    </row>
    <row r="75" spans="2:19">
      <c r="B75"/>
      <c r="C75" s="233" t="str">
        <f>IF(B75="","",IF(LEN(B75)&gt;9,SUMIFS(Options!$H$3:$H$32,Options!$B$3:$B$32,Check!B75),SUMIFS('Master P&amp;L'!$H$11:$H$88,'Master P&amp;L'!$B$11:$B$88,Check!B75)))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IF(O75="","",IF(LEN(O75)&gt;9,SUMIFS(Options!$H$3:$H$32,Options!$B$3:$B$32,Check!O75),SUMIFS('Master P&amp;L'!$H$11:$H$88,'Master P&amp;L'!$B$11:$B$88,Check!O75)))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IF(B76="","",IF(LEN(B76)&gt;9,SUMIFS(Options!$H$3:$H$32,Options!$B$3:$B$32,Check!B76),SUMIFS('Master P&amp;L'!$H$11:$H$88,'Master P&amp;L'!$B$11:$B$88,Check!B76)))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IF(O76="","",IF(LEN(O76)&gt;9,SUMIFS(Options!$H$3:$H$32,Options!$B$3:$B$32,Check!O76),SUMIFS('Master P&amp;L'!$H$11:$H$88,'Master P&amp;L'!$B$11:$B$88,Check!O76)))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IF(B77="","",IF(LEN(B77)&gt;9,SUMIFS(Options!$H$3:$H$32,Options!$B$3:$B$32,Check!B77),SUMIFS('Master P&amp;L'!$H$11:$H$88,'Master P&amp;L'!$B$11:$B$88,Check!B77)))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IF(O77="","",IF(LEN(O77)&gt;9,SUMIFS(Options!$H$3:$H$32,Options!$B$3:$B$32,Check!O77),SUMIFS('Master P&amp;L'!$H$11:$H$88,'Master P&amp;L'!$B$11:$B$88,Check!O77)))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IF(B78="","",IF(LEN(B78)&gt;9,SUMIFS(Options!$H$3:$H$32,Options!$B$3:$B$32,Check!B78),SUMIFS('Master P&amp;L'!$H$11:$H$88,'Master P&amp;L'!$B$11:$B$88,Check!B78)))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IF(O78="","",IF(LEN(O78)&gt;9,SUMIFS(Options!$H$3:$H$32,Options!$B$3:$B$32,Check!O78),SUMIFS('Master P&amp;L'!$H$11:$H$88,'Master P&amp;L'!$B$11:$B$88,Check!O78)))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IF(B79="","",IF(LEN(B79)&gt;9,SUMIFS(Options!$H$3:$H$32,Options!$B$3:$B$32,Check!B79),SUMIFS('Master P&amp;L'!$H$11:$H$88,'Master P&amp;L'!$B$11:$B$88,Check!B79)))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IF(O79="","",IF(LEN(O79)&gt;9,SUMIFS(Options!$H$3:$H$32,Options!$B$3:$B$32,Check!O79),SUMIFS('Master P&amp;L'!$H$11:$H$88,'Master P&amp;L'!$B$11:$B$88,Check!O79)))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IF(B80="","",IF(LEN(B80)&gt;9,SUMIFS(Options!$H$3:$H$32,Options!$B$3:$B$32,Check!B80),SUMIFS('Master P&amp;L'!$H$11:$H$88,'Master P&amp;L'!$B$11:$B$88,Check!B80)))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IF(O80="","",IF(LEN(O80)&gt;9,SUMIFS(Options!$H$3:$H$32,Options!$B$3:$B$32,Check!O80),SUMIFS('Master P&amp;L'!$H$11:$H$88,'Master P&amp;L'!$B$11:$B$88,Check!O80)))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IF(B81="","",IF(LEN(B81)&gt;9,SUMIFS(Options!$H$3:$H$32,Options!$B$3:$B$32,Check!B81),SUMIFS('Master P&amp;L'!$H$11:$H$88,'Master P&amp;L'!$B$11:$B$88,Check!B81)))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IF(O81="","",IF(LEN(O81)&gt;9,SUMIFS(Options!$H$3:$H$32,Options!$B$3:$B$32,Check!O81),SUMIFS('Master P&amp;L'!$H$11:$H$88,'Master P&amp;L'!$B$11:$B$88,Check!O81)))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IF(B82="","",IF(LEN(B82)&gt;9,SUMIFS(Options!$H$3:$H$32,Options!$B$3:$B$32,Check!B82),SUMIFS('Master P&amp;L'!$H$11:$H$88,'Master P&amp;L'!$B$11:$B$88,Check!B82)))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IF(O82="","",IF(LEN(O82)&gt;9,SUMIFS(Options!$H$3:$H$32,Options!$B$3:$B$32,Check!O82),SUMIFS('Master P&amp;L'!$H$11:$H$88,'Master P&amp;L'!$B$11:$B$88,Check!O82)))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IF(B83="","",IF(LEN(B83)&gt;9,SUMIFS(Options!$H$3:$H$32,Options!$B$3:$B$32,Check!B83),SUMIFS('Master P&amp;L'!$H$11:$H$88,'Master P&amp;L'!$B$11:$B$88,Check!B83)))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IF(O83="","",IF(LEN(O83)&gt;9,SUMIFS(Options!$H$3:$H$32,Options!$B$3:$B$32,Check!O83),SUMIFS('Master P&amp;L'!$H$11:$H$88,'Master P&amp;L'!$B$11:$B$88,Check!O83)))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IF(B84="","",IF(LEN(B84)&gt;9,SUMIFS(Options!$H$3:$H$32,Options!$B$3:$B$32,Check!B84),SUMIFS('Master P&amp;L'!$H$11:$H$88,'Master P&amp;L'!$B$11:$B$88,Check!B84)))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IF(O84="","",IF(LEN(O84)&gt;9,SUMIFS(Options!$H$3:$H$32,Options!$B$3:$B$32,Check!O84),SUMIFS('Master P&amp;L'!$H$11:$H$88,'Master P&amp;L'!$B$11:$B$88,Check!O84)))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IF(B85="","",IF(LEN(B85)&gt;9,SUMIFS(Options!$H$3:$H$32,Options!$B$3:$B$32,Check!B85),SUMIFS('Master P&amp;L'!$H$11:$H$88,'Master P&amp;L'!$B$11:$B$88,Check!B85)))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IF(O85="","",IF(LEN(O85)&gt;9,SUMIFS(Options!$H$3:$H$32,Options!$B$3:$B$32,Check!O85),SUMIFS('Master P&amp;L'!$H$11:$H$88,'Master P&amp;L'!$B$11:$B$88,Check!O85)))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IF(B86="","",IF(LEN(B86)&gt;9,SUMIFS(Options!$H$3:$H$32,Options!$B$3:$B$32,Check!B86),SUMIFS('Master P&amp;L'!$H$11:$H$88,'Master P&amp;L'!$B$11:$B$88,Check!B86)))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IF(O86="","",IF(LEN(O86)&gt;9,SUMIFS(Options!$H$3:$H$32,Options!$B$3:$B$32,Check!O86),SUMIFS('Master P&amp;L'!$H$11:$H$88,'Master P&amp;L'!$B$11:$B$88,Check!O86)))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IF(B87="","",IF(LEN(B87)&gt;9,SUMIFS(Options!$H$3:$H$32,Options!$B$3:$B$32,Check!B87),SUMIFS('Master P&amp;L'!$H$11:$H$88,'Master P&amp;L'!$B$11:$B$88,Check!B87)))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IF(O87="","",IF(LEN(O87)&gt;9,SUMIFS(Options!$H$3:$H$32,Options!$B$3:$B$32,Check!O87),SUMIFS('Master P&amp;L'!$H$11:$H$88,'Master P&amp;L'!$B$11:$B$88,Check!O87)))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IF(B88="","",IF(LEN(B88)&gt;9,SUMIFS(Options!$H$3:$H$32,Options!$B$3:$B$32,Check!B88),SUMIFS('Master P&amp;L'!$H$11:$H$88,'Master P&amp;L'!$B$11:$B$88,Check!B88)))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IF(O88="","",IF(LEN(O88)&gt;9,SUMIFS(Options!$H$3:$H$32,Options!$B$3:$B$32,Check!O88),SUMIFS('Master P&amp;L'!$H$11:$H$88,'Master P&amp;L'!$B$11:$B$88,Check!O88)))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IF(B89="","",IF(LEN(B89)&gt;9,SUMIFS(Options!$H$3:$H$32,Options!$B$3:$B$32,Check!B89),SUMIFS('Master P&amp;L'!$H$11:$H$88,'Master P&amp;L'!$B$11:$B$88,Check!B89)))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IF(O89="","",IF(LEN(O89)&gt;9,SUMIFS(Options!$H$3:$H$32,Options!$B$3:$B$32,Check!O89),SUMIFS('Master P&amp;L'!$H$11:$H$88,'Master P&amp;L'!$B$11:$B$88,Check!O89)))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IF(B90="","",IF(LEN(B90)&gt;9,SUMIFS(Options!$H$3:$H$32,Options!$B$3:$B$32,Check!B90),SUMIFS('Master P&amp;L'!$H$11:$H$88,'Master P&amp;L'!$B$11:$B$88,Check!B90)))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IF(O90="","",IF(LEN(O90)&gt;9,SUMIFS(Options!$H$3:$H$32,Options!$B$3:$B$32,Check!O90),SUMIFS('Master P&amp;L'!$H$11:$H$88,'Master P&amp;L'!$B$11:$B$88,Check!O90)))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IF(B91="","",IF(LEN(B91)&gt;9,SUMIFS(Options!$H$3:$H$32,Options!$B$3:$B$32,Check!B91),SUMIFS('Master P&amp;L'!$H$11:$H$88,'Master P&amp;L'!$B$11:$B$88,Check!B91)))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IF(O91="","",IF(LEN(O91)&gt;9,SUMIFS(Options!$H$3:$H$32,Options!$B$3:$B$32,Check!O91),SUMIFS('Master P&amp;L'!$H$11:$H$88,'Master P&amp;L'!$B$11:$B$88,Check!O91)))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IF(B92="","",IF(LEN(B92)&gt;9,SUMIFS(Options!$H$3:$H$32,Options!$B$3:$B$32,Check!B92),SUMIFS('Master P&amp;L'!$H$11:$H$88,'Master P&amp;L'!$B$11:$B$88,Check!B92)))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IF(O92="","",IF(LEN(O92)&gt;9,SUMIFS(Options!$H$3:$H$32,Options!$B$3:$B$32,Check!O92),SUMIFS('Master P&amp;L'!$H$11:$H$88,'Master P&amp;L'!$B$11:$B$88,Check!O92)))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IF(B93="","",IF(LEN(B93)&gt;9,SUMIFS(Options!$H$3:$H$32,Options!$B$3:$B$32,Check!B93),SUMIFS('Master P&amp;L'!$H$11:$H$88,'Master P&amp;L'!$B$11:$B$88,Check!B93)))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IF(O93="","",IF(LEN(O93)&gt;9,SUMIFS(Options!$H$3:$H$32,Options!$B$3:$B$32,Check!O93),SUMIFS('Master P&amp;L'!$H$11:$H$88,'Master P&amp;L'!$B$11:$B$88,Check!O93)))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IF(B94="","",IF(LEN(B94)&gt;9,SUMIFS(Options!$H$3:$H$32,Options!$B$3:$B$32,Check!B94),SUMIFS('Master P&amp;L'!$H$11:$H$88,'Master P&amp;L'!$B$11:$B$88,Check!B94)))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IF(O94="","",IF(LEN(O94)&gt;9,SUMIFS(Options!$H$3:$H$32,Options!$B$3:$B$32,Check!O94),SUMIFS('Master P&amp;L'!$H$11:$H$88,'Master P&amp;L'!$B$11:$B$88,Check!O94)))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IF(B95="","",IF(LEN(B95)&gt;9,SUMIFS(Options!$H$3:$H$32,Options!$B$3:$B$32,Check!B95),SUMIFS('Master P&amp;L'!$H$11:$H$88,'Master P&amp;L'!$B$11:$B$88,Check!B95)))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IF(O95="","",IF(LEN(O95)&gt;9,SUMIFS(Options!$H$3:$H$32,Options!$B$3:$B$32,Check!O95),SUMIFS('Master P&amp;L'!$H$11:$H$88,'Master P&amp;L'!$B$11:$B$88,Check!O95)))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IF(B96="","",IF(LEN(B96)&gt;9,SUMIFS(Options!$H$3:$H$32,Options!$B$3:$B$32,Check!B96),SUMIFS('Master P&amp;L'!$H$11:$H$88,'Master P&amp;L'!$B$11:$B$88,Check!B96)))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IF(O96="","",IF(LEN(O96)&gt;9,SUMIFS(Options!$H$3:$H$32,Options!$B$3:$B$32,Check!O96),SUMIFS('Master P&amp;L'!$H$11:$H$88,'Master P&amp;L'!$B$11:$B$88,Check!O96)))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IF(B97="","",IF(LEN(B97)&gt;9,SUMIFS(Options!$H$3:$H$32,Options!$B$3:$B$32,Check!B97),SUMIFS('Master P&amp;L'!$H$11:$H$88,'Master P&amp;L'!$B$11:$B$88,Check!B97)))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IF(O97="","",IF(LEN(O97)&gt;9,SUMIFS(Options!$H$3:$H$32,Options!$B$3:$B$32,Check!O97),SUMIFS('Master P&amp;L'!$H$11:$H$88,'Master P&amp;L'!$B$11:$B$88,Check!O97)))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IF(B98="","",IF(LEN(B98)&gt;9,SUMIFS(Options!$H$3:$H$32,Options!$B$3:$B$32,Check!B98),SUMIFS('Master P&amp;L'!$H$11:$H$88,'Master P&amp;L'!$B$11:$B$88,Check!B98)))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IF(O98="","",IF(LEN(O98)&gt;9,SUMIFS(Options!$H$3:$H$32,Options!$B$3:$B$32,Check!O98),SUMIFS('Master P&amp;L'!$H$11:$H$88,'Master P&amp;L'!$B$11:$B$88,Check!O98)))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IF(B99="","",IF(LEN(B99)&gt;9,SUMIFS(Options!$H$3:$H$32,Options!$B$3:$B$32,Check!B99),SUMIFS('Master P&amp;L'!$H$11:$H$88,'Master P&amp;L'!$B$11:$B$88,Check!B99)))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IF(O99="","",IF(LEN(O99)&gt;9,SUMIFS(Options!$H$3:$H$32,Options!$B$3:$B$32,Check!O99),SUMIFS('Master P&amp;L'!$H$11:$H$88,'Master P&amp;L'!$B$11:$B$88,Check!O99)))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IF(B100="","",IF(LEN(B100)&gt;9,SUMIFS(Options!$H$3:$H$32,Options!$B$3:$B$32,Check!B100),SUMIFS('Master P&amp;L'!$H$11:$H$88,'Master P&amp;L'!$B$11:$B$88,Check!B100)))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IF(O100="","",IF(LEN(O100)&gt;9,SUMIFS(Options!$H$3:$H$32,Options!$B$3:$B$32,Check!O100),SUMIFS('Master P&amp;L'!$H$11:$H$88,'Master P&amp;L'!$B$11:$B$88,Check!O100)))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IF(B101="","",IF(LEN(B101)&gt;9,SUMIFS(Options!$H$3:$H$32,Options!$B$3:$B$32,Check!B101),SUMIFS('Master P&amp;L'!$H$11:$H$88,'Master P&amp;L'!$B$11:$B$88,Check!B101)))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IF(O101="","",IF(LEN(O101)&gt;9,SUMIFS(Options!$H$3:$H$32,Options!$B$3:$B$32,Check!O101),SUMIFS('Master P&amp;L'!$H$11:$H$88,'Master P&amp;L'!$B$11:$B$88,Check!O101)))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IF(B102="","",IF(LEN(B102)&gt;9,SUMIFS(Options!$H$3:$H$32,Options!$B$3:$B$32,Check!B102),SUMIFS('Master P&amp;L'!$H$11:$H$88,'Master P&amp;L'!$B$11:$B$88,Check!B102)))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IF(O102="","",IF(LEN(O102)&gt;9,SUMIFS(Options!$H$3:$H$32,Options!$B$3:$B$32,Check!O102),SUMIFS('Master P&amp;L'!$H$11:$H$88,'Master P&amp;L'!$B$11:$B$88,Check!O102)))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IF(B103="","",IF(LEN(B103)&gt;9,SUMIFS(Options!$H$3:$H$32,Options!$B$3:$B$32,Check!B103),SUMIFS('Master P&amp;L'!$H$11:$H$88,'Master P&amp;L'!$B$11:$B$88,Check!B103)))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IF(O103="","",IF(LEN(O103)&gt;9,SUMIFS(Options!$H$3:$H$32,Options!$B$3:$B$32,Check!O103),SUMIFS('Master P&amp;L'!$H$11:$H$88,'Master P&amp;L'!$B$11:$B$88,Check!O103)))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IF(B104="","",IF(LEN(B104)&gt;9,SUMIFS(Options!$H$3:$H$32,Options!$B$3:$B$32,Check!B104),SUMIFS('Master P&amp;L'!$H$11:$H$88,'Master P&amp;L'!$B$11:$B$88,Check!B104)))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IF(O104="","",IF(LEN(O104)&gt;9,SUMIFS(Options!$H$3:$H$32,Options!$B$3:$B$32,Check!O104),SUMIFS('Master P&amp;L'!$H$11:$H$88,'Master P&amp;L'!$B$11:$B$88,Check!O104)))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IF(B105="","",IF(LEN(B105)&gt;9,SUMIFS(Options!$H$3:$H$32,Options!$B$3:$B$32,Check!B105),SUMIFS('Master P&amp;L'!$H$11:$H$88,'Master P&amp;L'!$B$11:$B$88,Check!B105)))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IF(O105="","",IF(LEN(O105)&gt;9,SUMIFS(Options!$H$3:$H$32,Options!$B$3:$B$32,Check!O105),SUMIFS('Master P&amp;L'!$H$11:$H$88,'Master P&amp;L'!$B$11:$B$88,Check!O105)))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IF(B106="","",IF(LEN(B106)&gt;9,SUMIFS(Options!$H$3:$H$32,Options!$B$3:$B$32,Check!B106),SUMIFS('Master P&amp;L'!$H$11:$H$88,'Master P&amp;L'!$B$11:$B$88,Check!B106)))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IF(O106="","",IF(LEN(O106)&gt;9,SUMIFS(Options!$H$3:$H$32,Options!$B$3:$B$32,Check!O106),SUMIFS('Master P&amp;L'!$H$11:$H$88,'Master P&amp;L'!$B$11:$B$88,Check!O106)))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IF(B107="","",IF(LEN(B107)&gt;9,SUMIFS(Options!$H$3:$H$32,Options!$B$3:$B$32,Check!B107),SUMIFS('Master P&amp;L'!$H$11:$H$88,'Master P&amp;L'!$B$11:$B$88,Check!B107)))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IF(O107="","",IF(LEN(O107)&gt;9,SUMIFS(Options!$H$3:$H$32,Options!$B$3:$B$32,Check!O107),SUMIFS('Master P&amp;L'!$H$11:$H$88,'Master P&amp;L'!$B$11:$B$88,Check!O107)))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IF(B108="","",IF(LEN(B108)&gt;9,SUMIFS(Options!$H$3:$H$32,Options!$B$3:$B$32,Check!B108),SUMIFS('Master P&amp;L'!$H$11:$H$88,'Master P&amp;L'!$B$11:$B$88,Check!B108)))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IF(O108="","",IF(LEN(O108)&gt;9,SUMIFS(Options!$H$3:$H$32,Options!$B$3:$B$32,Check!O108),SUMIFS('Master P&amp;L'!$H$11:$H$88,'Master P&amp;L'!$B$11:$B$88,Check!O108)))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IF(B109="","",IF(LEN(B109)&gt;9,SUMIFS(Options!$H$3:$H$32,Options!$B$3:$B$32,Check!B109),SUMIFS('Master P&amp;L'!$H$11:$H$88,'Master P&amp;L'!$B$11:$B$88,Check!B109)))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IF(O109="","",IF(LEN(O109)&gt;9,SUMIFS(Options!$H$3:$H$32,Options!$B$3:$B$32,Check!O109),SUMIFS('Master P&amp;L'!$H$11:$H$88,'Master P&amp;L'!$B$11:$B$88,Check!O109)))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IF(B110="","",IF(LEN(B110)&gt;9,SUMIFS(Options!$H$3:$H$32,Options!$B$3:$B$32,Check!B110),SUMIFS('Master P&amp;L'!$H$11:$H$88,'Master P&amp;L'!$B$11:$B$88,Check!B110)))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IF(O110="","",IF(LEN(O110)&gt;9,SUMIFS(Options!$H$3:$H$32,Options!$B$3:$B$32,Check!O110),SUMIFS('Master P&amp;L'!$H$11:$H$88,'Master P&amp;L'!$B$11:$B$88,Check!O110)))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IF(B111="","",IF(LEN(B111)&gt;9,SUMIFS(Options!$H$3:$H$32,Options!$B$3:$B$32,Check!B111),SUMIFS('Master P&amp;L'!$H$11:$H$88,'Master P&amp;L'!$B$11:$B$88,Check!B111)))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IF(O111="","",IF(LEN(O111)&gt;9,SUMIFS(Options!$H$3:$H$32,Options!$B$3:$B$32,Check!O111),SUMIFS('Master P&amp;L'!$H$11:$H$88,'Master P&amp;L'!$B$11:$B$88,Check!O111)))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IF(B112="","",IF(LEN(B112)&gt;9,SUMIFS(Options!$H$3:$H$32,Options!$B$3:$B$32,Check!B112),SUMIFS('Master P&amp;L'!$H$11:$H$88,'Master P&amp;L'!$B$11:$B$88,Check!B112)))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IF(O112="","",IF(LEN(O112)&gt;9,SUMIFS(Options!$H$3:$H$32,Options!$B$3:$B$32,Check!O112),SUMIFS('Master P&amp;L'!$H$11:$H$88,'Master P&amp;L'!$B$11:$B$88,Check!O112)))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IF(B113="","",IF(LEN(B113)&gt;9,SUMIFS(Options!$H$3:$H$32,Options!$B$3:$B$32,Check!B113),SUMIFS('Master P&amp;L'!$H$11:$H$88,'Master P&amp;L'!$B$11:$B$88,Check!B113)))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IF(O113="","",IF(LEN(O113)&gt;9,SUMIFS(Options!$H$3:$H$32,Options!$B$3:$B$32,Check!O113),SUMIFS('Master P&amp;L'!$H$11:$H$88,'Master P&amp;L'!$B$11:$B$88,Check!O113)))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IF(B114="","",IF(LEN(B114)&gt;9,SUMIFS(Options!$H$3:$H$32,Options!$B$3:$B$32,Check!B114),SUMIFS('Master P&amp;L'!$H$11:$H$88,'Master P&amp;L'!$B$11:$B$88,Check!B114)))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IF(O114="","",IF(LEN(O114)&gt;9,SUMIFS(Options!$H$3:$H$32,Options!$B$3:$B$32,Check!O114),SUMIFS('Master P&amp;L'!$H$11:$H$88,'Master P&amp;L'!$B$11:$B$88,Check!O114)))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IF(B115="","",IF(LEN(B115)&gt;9,SUMIFS(Options!$H$3:$H$32,Options!$B$3:$B$32,Check!B115),SUMIFS('Master P&amp;L'!$H$11:$H$88,'Master P&amp;L'!$B$11:$B$88,Check!B115)))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IF(O115="","",IF(LEN(O115)&gt;9,SUMIFS(Options!$H$3:$H$32,Options!$B$3:$B$32,Check!O115),SUMIFS('Master P&amp;L'!$H$11:$H$88,'Master P&amp;L'!$B$11:$B$88,Check!O115)))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IF(B116="","",IF(LEN(B116)&gt;9,SUMIFS(Options!$H$3:$H$32,Options!$B$3:$B$32,Check!B116),SUMIFS('Master P&amp;L'!$H$11:$H$88,'Master P&amp;L'!$B$11:$B$88,Check!B116)))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IF(O116="","",IF(LEN(O116)&gt;9,SUMIFS(Options!$H$3:$H$32,Options!$B$3:$B$32,Check!O116),SUMIFS('Master P&amp;L'!$H$11:$H$88,'Master P&amp;L'!$B$11:$B$88,Check!O116)))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IF(B117="","",IF(LEN(B117)&gt;9,SUMIFS(Options!$H$3:$H$32,Options!$B$3:$B$32,Check!B117),SUMIFS('Master P&amp;L'!$H$11:$H$88,'Master P&amp;L'!$B$11:$B$88,Check!B117)))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IF(O117="","",IF(LEN(O117)&gt;9,SUMIFS(Options!$H$3:$H$32,Options!$B$3:$B$32,Check!O117),SUMIFS('Master P&amp;L'!$H$11:$H$88,'Master P&amp;L'!$B$11:$B$88,Check!O117)))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IF(B118="","",IF(LEN(B118)&gt;9,SUMIFS(Options!$H$3:$H$32,Options!$B$3:$B$32,Check!B118),SUMIFS('Master P&amp;L'!$H$11:$H$88,'Master P&amp;L'!$B$11:$B$88,Check!B118)))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IF(O118="","",IF(LEN(O118)&gt;9,SUMIFS(Options!$H$3:$H$32,Options!$B$3:$B$32,Check!O118),SUMIFS('Master P&amp;L'!$H$11:$H$88,'Master P&amp;L'!$B$11:$B$88,Check!O118)))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IF(B119="","",IF(LEN(B119)&gt;9,SUMIFS(Options!$H$3:$H$32,Options!$B$3:$B$32,Check!B119),SUMIFS('Master P&amp;L'!$H$11:$H$88,'Master P&amp;L'!$B$11:$B$88,Check!B119)))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IF(O119="","",IF(LEN(O119)&gt;9,SUMIFS(Options!$H$3:$H$32,Options!$B$3:$B$32,Check!O119),SUMIFS('Master P&amp;L'!$H$11:$H$88,'Master P&amp;L'!$B$11:$B$88,Check!O119)))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IF(B120="","",IF(LEN(B120)&gt;9,SUMIFS(Options!$H$3:$H$32,Options!$B$3:$B$32,Check!B120),SUMIFS('Master P&amp;L'!$H$11:$H$88,'Master P&amp;L'!$B$11:$B$88,Check!B120)))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IF(O120="","",IF(LEN(O120)&gt;9,SUMIFS(Options!$H$3:$H$32,Options!$B$3:$B$32,Check!O120),SUMIFS('Master P&amp;L'!$H$11:$H$88,'Master P&amp;L'!$B$11:$B$88,Check!O120)))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IF(B121="","",IF(LEN(B121)&gt;9,SUMIFS(Options!$H$3:$H$32,Options!$B$3:$B$32,Check!B121),SUMIFS('Master P&amp;L'!$H$11:$H$88,'Master P&amp;L'!$B$11:$B$88,Check!B121)))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IF(O121="","",IF(LEN(O121)&gt;9,SUMIFS(Options!$H$3:$H$32,Options!$B$3:$B$32,Check!O121),SUMIFS('Master P&amp;L'!$H$11:$H$88,'Master P&amp;L'!$B$11:$B$88,Check!O121)))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IF(B122="","",IF(LEN(B122)&gt;9,SUMIFS(Options!$H$3:$H$32,Options!$B$3:$B$32,Check!B122),SUMIFS('Master P&amp;L'!$H$11:$H$88,'Master P&amp;L'!$B$11:$B$88,Check!B122)))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IF(O122="","",IF(LEN(O122)&gt;9,SUMIFS(Options!$H$3:$H$32,Options!$B$3:$B$32,Check!O122),SUMIFS('Master P&amp;L'!$H$11:$H$88,'Master P&amp;L'!$B$11:$B$88,Check!O122)))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IF(B123="","",IF(LEN(B123)&gt;9,SUMIFS(Options!$H$3:$H$32,Options!$B$3:$B$32,Check!B123),SUMIFS('Master P&amp;L'!$H$11:$H$88,'Master P&amp;L'!$B$11:$B$88,Check!B123)))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IF(O123="","",IF(LEN(O123)&gt;9,SUMIFS(Options!$H$3:$H$32,Options!$B$3:$B$32,Check!O123),SUMIFS('Master P&amp;L'!$H$11:$H$88,'Master P&amp;L'!$B$11:$B$88,Check!O123)))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IF(B124="","",IF(LEN(B124)&gt;9,SUMIFS(Options!$H$3:$H$32,Options!$B$3:$B$32,Check!B124),SUMIFS('Master P&amp;L'!$H$11:$H$88,'Master P&amp;L'!$B$11:$B$88,Check!B124)))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IF(O124="","",IF(LEN(O124)&gt;9,SUMIFS(Options!$H$3:$H$32,Options!$B$3:$B$32,Check!O124),SUMIFS('Master P&amp;L'!$H$11:$H$88,'Master P&amp;L'!$B$11:$B$88,Check!O124)))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IF(B125="","",IF(LEN(B125)&gt;9,SUMIFS(Options!$H$3:$H$32,Options!$B$3:$B$32,Check!B125),SUMIFS('Master P&amp;L'!$H$11:$H$88,'Master P&amp;L'!$B$11:$B$88,Check!B125)))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IF(O125="","",IF(LEN(O125)&gt;9,SUMIFS(Options!$H$3:$H$32,Options!$B$3:$B$32,Check!O125),SUMIFS('Master P&amp;L'!$H$11:$H$88,'Master P&amp;L'!$B$11:$B$88,Check!O125)))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IF(B126="","",IF(LEN(B126)&gt;9,SUMIFS(Options!$H$3:$H$32,Options!$B$3:$B$32,Check!B126),SUMIFS('Master P&amp;L'!$H$11:$H$88,'Master P&amp;L'!$B$11:$B$88,Check!B126)))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IF(O126="","",IF(LEN(O126)&gt;9,SUMIFS(Options!$H$3:$H$32,Options!$B$3:$B$32,Check!O126),SUMIFS('Master P&amp;L'!$H$11:$H$88,'Master P&amp;L'!$B$11:$B$88,Check!O126)))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IF(B127="","",IF(LEN(B127)&gt;9,SUMIFS(Options!$H$3:$H$32,Options!$B$3:$B$32,Check!B127),SUMIFS('Master P&amp;L'!$H$11:$H$88,'Master P&amp;L'!$B$11:$B$88,Check!B127)))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IF(O127="","",IF(LEN(O127)&gt;9,SUMIFS(Options!$H$3:$H$32,Options!$B$3:$B$32,Check!O127),SUMIFS('Master P&amp;L'!$H$11:$H$88,'Master P&amp;L'!$B$11:$B$88,Check!O127)))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IF(B128="","",IF(LEN(B128)&gt;9,SUMIFS(Options!$H$3:$H$32,Options!$B$3:$B$32,Check!B128),SUMIFS('Master P&amp;L'!$H$11:$H$88,'Master P&amp;L'!$B$11:$B$88,Check!B128)))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IF(O128="","",IF(LEN(O128)&gt;9,SUMIFS(Options!$H$3:$H$32,Options!$B$3:$B$32,Check!O128),SUMIFS('Master P&amp;L'!$H$11:$H$88,'Master P&amp;L'!$B$11:$B$88,Check!O128)))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IF(B129="","",IF(LEN(B129)&gt;9,SUMIFS(Options!$H$3:$H$32,Options!$B$3:$B$32,Check!B129),SUMIFS('Master P&amp;L'!$H$11:$H$88,'Master P&amp;L'!$B$11:$B$88,Check!B129)))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IF(O129="","",IF(LEN(O129)&gt;9,SUMIFS(Options!$H$3:$H$32,Options!$B$3:$B$32,Check!O129),SUMIFS('Master P&amp;L'!$H$11:$H$88,'Master P&amp;L'!$B$11:$B$88,Check!O129)))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IF(B130="","",IF(LEN(B130)&gt;9,SUMIFS(Options!$H$3:$H$32,Options!$B$3:$B$32,Check!B130),SUMIFS('Master P&amp;L'!$H$11:$H$88,'Master P&amp;L'!$B$11:$B$88,Check!B130)))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IF(O130="","",IF(LEN(O130)&gt;9,SUMIFS(Options!$H$3:$H$32,Options!$B$3:$B$32,Check!O130),SUMIFS('Master P&amp;L'!$H$11:$H$88,'Master P&amp;L'!$B$11:$B$88,Check!O130)))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IF(B131="","",IF(LEN(B131)&gt;9,SUMIFS(Options!$H$3:$H$32,Options!$B$3:$B$32,Check!B131),SUMIFS('Master P&amp;L'!$H$11:$H$88,'Master P&amp;L'!$B$11:$B$88,Check!B131)))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IF(O131="","",IF(LEN(O131)&gt;9,SUMIFS(Options!$H$3:$H$32,Options!$B$3:$B$32,Check!O131),SUMIFS('Master P&amp;L'!$H$11:$H$88,'Master P&amp;L'!$B$11:$B$88,Check!O131)))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IF(B132="","",IF(LEN(B132)&gt;9,SUMIFS(Options!$H$3:$H$32,Options!$B$3:$B$32,Check!B132),SUMIFS('Master P&amp;L'!$H$11:$H$88,'Master P&amp;L'!$B$11:$B$88,Check!B132)))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IF(O132="","",IF(LEN(O132)&gt;9,SUMIFS(Options!$H$3:$H$32,Options!$B$3:$B$32,Check!O132),SUMIFS('Master P&amp;L'!$H$11:$H$88,'Master P&amp;L'!$B$11:$B$88,Check!O132)))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IF(B133="","",IF(LEN(B133)&gt;9,SUMIFS(Options!$H$3:$H$32,Options!$B$3:$B$32,Check!B133),SUMIFS('Master P&amp;L'!$H$11:$H$88,'Master P&amp;L'!$B$11:$B$88,Check!B133)))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IF(O133="","",IF(LEN(O133)&gt;9,SUMIFS(Options!$H$3:$H$32,Options!$B$3:$B$32,Check!O133),SUMIFS('Master P&amp;L'!$H$11:$H$88,'Master P&amp;L'!$B$11:$B$88,Check!O133)))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IF(B134="","",IF(LEN(B134)&gt;9,SUMIFS(Options!$H$3:$H$32,Options!$B$3:$B$32,Check!B134),SUMIFS('Master P&amp;L'!$H$11:$H$88,'Master P&amp;L'!$B$11:$B$88,Check!B134)))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IF(O134="","",IF(LEN(O134)&gt;9,SUMIFS(Options!$H$3:$H$32,Options!$B$3:$B$32,Check!O134),SUMIFS('Master P&amp;L'!$H$11:$H$88,'Master P&amp;L'!$B$11:$B$88,Check!O134)))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IF(B135="","",IF(LEN(B135)&gt;9,SUMIFS(Options!$H$3:$H$32,Options!$B$3:$B$32,Check!B135),SUMIFS('Master P&amp;L'!$H$11:$H$88,'Master P&amp;L'!$B$11:$B$88,Check!B135)))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IF(O135="","",IF(LEN(O135)&gt;9,SUMIFS(Options!$H$3:$H$32,Options!$B$3:$B$32,Check!O135),SUMIFS('Master P&amp;L'!$H$11:$H$88,'Master P&amp;L'!$B$11:$B$88,Check!O135)))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IF(B136="","",IF(LEN(B136)&gt;9,SUMIFS(Options!$H$3:$H$32,Options!$B$3:$B$32,Check!B136),SUMIFS('Master P&amp;L'!$H$11:$H$88,'Master P&amp;L'!$B$11:$B$88,Check!B136)))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IF(O136="","",IF(LEN(O136)&gt;9,SUMIFS(Options!$H$3:$H$32,Options!$B$3:$B$32,Check!O136),SUMIFS('Master P&amp;L'!$H$11:$H$88,'Master P&amp;L'!$B$11:$B$88,Check!O136)))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IF(B137="","",IF(LEN(B137)&gt;9,SUMIFS(Options!$H$3:$H$32,Options!$B$3:$B$32,Check!B137),SUMIFS('Master P&amp;L'!$H$11:$H$88,'Master P&amp;L'!$B$11:$B$88,Check!B137)))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IF(O137="","",IF(LEN(O137)&gt;9,SUMIFS(Options!$H$3:$H$32,Options!$B$3:$B$32,Check!O137),SUMIFS('Master P&amp;L'!$H$11:$H$88,'Master P&amp;L'!$B$11:$B$88,Check!O137)))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IF(B138="","",IF(LEN(B138)&gt;9,SUMIFS(Options!$H$3:$H$32,Options!$B$3:$B$32,Check!B138),SUMIFS('Master P&amp;L'!$H$11:$H$88,'Master P&amp;L'!$B$11:$B$88,Check!B138)))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IF(O138="","",IF(LEN(O138)&gt;9,SUMIFS(Options!$H$3:$H$32,Options!$B$3:$B$32,Check!O138),SUMIFS('Master P&amp;L'!$H$11:$H$88,'Master P&amp;L'!$B$11:$B$88,Check!O138)))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IF(B139="","",IF(LEN(B139)&gt;9,SUMIFS(Options!$H$3:$H$32,Options!$B$3:$B$32,Check!B139),SUMIFS('Master P&amp;L'!$H$11:$H$88,'Master P&amp;L'!$B$11:$B$88,Check!B139)))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IF(O139="","",IF(LEN(O139)&gt;9,SUMIFS(Options!$H$3:$H$32,Options!$B$3:$B$32,Check!O139),SUMIFS('Master P&amp;L'!$H$11:$H$88,'Master P&amp;L'!$B$11:$B$88,Check!O139)))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IF(B140="","",IF(LEN(B140)&gt;9,SUMIFS(Options!$H$3:$H$32,Options!$B$3:$B$32,Check!B140),SUMIFS('Master P&amp;L'!$H$11:$H$88,'Master P&amp;L'!$B$11:$B$88,Check!B140)))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IF(O140="","",IF(LEN(O140)&gt;9,SUMIFS(Options!$H$3:$H$32,Options!$B$3:$B$32,Check!O140),SUMIFS('Master P&amp;L'!$H$11:$H$88,'Master P&amp;L'!$B$11:$B$88,Check!O140)))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IF(B141="","",IF(LEN(B141)&gt;9,SUMIFS(Options!$H$3:$H$32,Options!$B$3:$B$32,Check!B141),SUMIFS('Master P&amp;L'!$H$11:$H$88,'Master P&amp;L'!$B$11:$B$88,Check!B141)))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IF(O141="","",IF(LEN(O141)&gt;9,SUMIFS(Options!$H$3:$H$32,Options!$B$3:$B$32,Check!O141),SUMIFS('Master P&amp;L'!$H$11:$H$88,'Master P&amp;L'!$B$11:$B$88,Check!O141)))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IF(B142="","",IF(LEN(B142)&gt;9,SUMIFS(Options!$H$3:$H$32,Options!$B$3:$B$32,Check!B142),SUMIFS('Master P&amp;L'!$H$11:$H$88,'Master P&amp;L'!$B$11:$B$88,Check!B142)))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IF(O142="","",IF(LEN(O142)&gt;9,SUMIFS(Options!$H$3:$H$32,Options!$B$3:$B$32,Check!O142),SUMIFS('Master P&amp;L'!$H$11:$H$88,'Master P&amp;L'!$B$11:$B$88,Check!O142)))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IF(B143="","",IF(LEN(B143)&gt;9,SUMIFS(Options!$H$3:$H$32,Options!$B$3:$B$32,Check!B143),SUMIFS('Master P&amp;L'!$H$11:$H$88,'Master P&amp;L'!$B$11:$B$88,Check!B143)))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IF(O143="","",IF(LEN(O143)&gt;9,SUMIFS(Options!$H$3:$H$32,Options!$B$3:$B$32,Check!O143),SUMIFS('Master P&amp;L'!$H$11:$H$88,'Master P&amp;L'!$B$11:$B$88,Check!O143)))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IF(B144="","",IF(LEN(B144)&gt;9,SUMIFS(Options!$H$3:$H$32,Options!$B$3:$B$32,Check!B144),SUMIFS('Master P&amp;L'!$H$11:$H$88,'Master P&amp;L'!$B$11:$B$88,Check!B144)))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IF(O144="","",IF(LEN(O144)&gt;9,SUMIFS(Options!$H$3:$H$32,Options!$B$3:$B$32,Check!O144),SUMIFS('Master P&amp;L'!$H$11:$H$88,'Master P&amp;L'!$B$11:$B$88,Check!O144)))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IF(B145="","",IF(LEN(B145)&gt;9,SUMIFS(Options!$H$3:$H$32,Options!$B$3:$B$32,Check!B145),SUMIFS('Master P&amp;L'!$H$11:$H$88,'Master P&amp;L'!$B$11:$B$88,Check!B145)))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IF(O145="","",IF(LEN(O145)&gt;9,SUMIFS(Options!$H$3:$H$32,Options!$B$3:$B$32,Check!O145),SUMIFS('Master P&amp;L'!$H$11:$H$88,'Master P&amp;L'!$B$11:$B$88,Check!O145)))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IF(B146="","",IF(LEN(B146)&gt;9,SUMIFS(Options!$H$3:$H$32,Options!$B$3:$B$32,Check!B146),SUMIFS('Master P&amp;L'!$H$11:$H$88,'Master P&amp;L'!$B$11:$B$88,Check!B146)))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IF(O146="","",IF(LEN(O146)&gt;9,SUMIFS(Options!$H$3:$H$32,Options!$B$3:$B$32,Check!O146),SUMIFS('Master P&amp;L'!$H$11:$H$88,'Master P&amp;L'!$B$11:$B$88,Check!O146)))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IF(B147="","",IF(LEN(B147)&gt;9,SUMIFS(Options!$H$3:$H$32,Options!$B$3:$B$32,Check!B147),SUMIFS('Master P&amp;L'!$H$11:$H$88,'Master P&amp;L'!$B$11:$B$88,Check!B147)))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IF(O147="","",IF(LEN(O147)&gt;9,SUMIFS(Options!$H$3:$H$32,Options!$B$3:$B$32,Check!O147),SUMIFS('Master P&amp;L'!$H$11:$H$88,'Master P&amp;L'!$B$11:$B$88,Check!O147)))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IF(B148="","",IF(LEN(B148)&gt;9,SUMIFS(Options!$H$3:$H$32,Options!$B$3:$B$32,Check!B148),SUMIFS('Master P&amp;L'!$H$11:$H$88,'Master P&amp;L'!$B$11:$B$88,Check!B148)))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IF(O148="","",IF(LEN(O148)&gt;9,SUMIFS(Options!$H$3:$H$32,Options!$B$3:$B$32,Check!O148),SUMIFS('Master P&amp;L'!$H$11:$H$88,'Master P&amp;L'!$B$11:$B$88,Check!O148)))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IF(B149="","",IF(LEN(B149)&gt;9,SUMIFS(Options!$H$3:$H$32,Options!$B$3:$B$32,Check!B149),SUMIFS('Master P&amp;L'!$H$11:$H$88,'Master P&amp;L'!$B$11:$B$88,Check!B149)))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IF(O149="","",IF(LEN(O149)&gt;9,SUMIFS(Options!$H$3:$H$32,Options!$B$3:$B$32,Check!O149),SUMIFS('Master P&amp;L'!$H$11:$H$88,'Master P&amp;L'!$B$11:$B$88,Check!O149)))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IF(B150="","",IF(LEN(B150)&gt;9,SUMIFS(Options!$H$3:$H$32,Options!$B$3:$B$32,Check!B150),SUMIFS('Master P&amp;L'!$H$11:$H$88,'Master P&amp;L'!$B$11:$B$88,Check!B150)))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IF(O150="","",IF(LEN(O150)&gt;9,SUMIFS(Options!$H$3:$H$32,Options!$B$3:$B$32,Check!O150),SUMIFS('Master P&amp;L'!$H$11:$H$88,'Master P&amp;L'!$B$11:$B$88,Check!O150)))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IF(B151="","",IF(LEN(B151)&gt;9,SUMIFS(Options!$H$3:$H$32,Options!$B$3:$B$32,Check!B151),SUMIFS('Master P&amp;L'!$H$11:$H$88,'Master P&amp;L'!$B$11:$B$88,Check!B151)))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IF(O151="","",IF(LEN(O151)&gt;9,SUMIFS(Options!$H$3:$H$32,Options!$B$3:$B$32,Check!O151),SUMIFS('Master P&amp;L'!$H$11:$H$88,'Master P&amp;L'!$B$11:$B$88,Check!O151)))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IF(B152="","",IF(LEN(B152)&gt;9,SUMIFS(Options!$H$3:$H$32,Options!$B$3:$B$32,Check!B152),SUMIFS('Master P&amp;L'!$H$11:$H$88,'Master P&amp;L'!$B$11:$B$88,Check!B152)))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IF(O152="","",IF(LEN(O152)&gt;9,SUMIFS(Options!$H$3:$H$32,Options!$B$3:$B$32,Check!O152),SUMIFS('Master P&amp;L'!$H$11:$H$88,'Master P&amp;L'!$B$11:$B$88,Check!O152)))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IF(B153="","",IF(LEN(B153)&gt;9,SUMIFS(Options!$H$3:$H$32,Options!$B$3:$B$32,Check!B153),SUMIFS('Master P&amp;L'!$H$11:$H$88,'Master P&amp;L'!$B$11:$B$88,Check!B153)))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IF(O153="","",IF(LEN(O153)&gt;9,SUMIFS(Options!$H$3:$H$32,Options!$B$3:$B$32,Check!O153),SUMIFS('Master P&amp;L'!$H$11:$H$88,'Master P&amp;L'!$B$11:$B$88,Check!O153)))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IF(B154="","",IF(LEN(B154)&gt;9,SUMIFS(Options!$H$3:$H$32,Options!$B$3:$B$32,Check!B154),SUMIFS('Master P&amp;L'!$H$11:$H$88,'Master P&amp;L'!$B$11:$B$88,Check!B154)))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IF(O154="","",IF(LEN(O154)&gt;9,SUMIFS(Options!$H$3:$H$32,Options!$B$3:$B$32,Check!O154),SUMIFS('Master P&amp;L'!$H$11:$H$88,'Master P&amp;L'!$B$11:$B$88,Check!O154)))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IF(B155="","",IF(LEN(B155)&gt;9,SUMIFS(Options!$H$3:$H$32,Options!$B$3:$B$32,Check!B155),SUMIFS('Master P&amp;L'!$H$11:$H$88,'Master P&amp;L'!$B$11:$B$88,Check!B155)))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IF(O155="","",IF(LEN(O155)&gt;9,SUMIFS(Options!$H$3:$H$32,Options!$B$3:$B$32,Check!O155),SUMIFS('Master P&amp;L'!$H$11:$H$88,'Master P&amp;L'!$B$11:$B$88,Check!O155)))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IF(B156="","",IF(LEN(B156)&gt;9,SUMIFS(Options!$H$3:$H$32,Options!$B$3:$B$32,Check!B156),SUMIFS('Master P&amp;L'!$H$11:$H$88,'Master P&amp;L'!$B$11:$B$88,Check!B156)))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IF(O156="","",IF(LEN(O156)&gt;9,SUMIFS(Options!$H$3:$H$32,Options!$B$3:$B$32,Check!O156),SUMIFS('Master P&amp;L'!$H$11:$H$88,'Master P&amp;L'!$B$11:$B$88,Check!O156)))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IF(B157="","",IF(LEN(B157)&gt;9,SUMIFS(Options!$H$3:$H$32,Options!$B$3:$B$32,Check!B157),SUMIFS('Master P&amp;L'!$H$11:$H$88,'Master P&amp;L'!$B$11:$B$88,Check!B157)))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IF(O157="","",IF(LEN(O157)&gt;9,SUMIFS(Options!$H$3:$H$32,Options!$B$3:$B$32,Check!O157),SUMIFS('Master P&amp;L'!$H$11:$H$88,'Master P&amp;L'!$B$11:$B$88,Check!O157)))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IF(B158="","",IF(LEN(B158)&gt;9,SUMIFS(Options!$H$3:$H$32,Options!$B$3:$B$32,Check!B158),SUMIFS('Master P&amp;L'!$H$11:$H$88,'Master P&amp;L'!$B$11:$B$88,Check!B158)))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IF(O158="","",IF(LEN(O158)&gt;9,SUMIFS(Options!$H$3:$H$32,Options!$B$3:$B$32,Check!O158),SUMIFS('Master P&amp;L'!$H$11:$H$88,'Master P&amp;L'!$B$11:$B$88,Check!O158)))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IF(B159="","",IF(LEN(B159)&gt;9,SUMIFS(Options!$H$3:$H$32,Options!$B$3:$B$32,Check!B159),SUMIFS('Master P&amp;L'!$H$11:$H$88,'Master P&amp;L'!$B$11:$B$88,Check!B159)))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IF(O159="","",IF(LEN(O159)&gt;9,SUMIFS(Options!$H$3:$H$32,Options!$B$3:$B$32,Check!O159),SUMIFS('Master P&amp;L'!$H$11:$H$88,'Master P&amp;L'!$B$11:$B$88,Check!O159)))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IF(B160="","",IF(LEN(B160)&gt;9,SUMIFS(Options!$H$3:$H$32,Options!$B$3:$B$32,Check!B160),SUMIFS('Master P&amp;L'!$H$11:$H$88,'Master P&amp;L'!$B$11:$B$88,Check!B160)))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IF(O160="","",IF(LEN(O160)&gt;9,SUMIFS(Options!$H$3:$H$32,Options!$B$3:$B$32,Check!O160),SUMIFS('Master P&amp;L'!$H$11:$H$88,'Master P&amp;L'!$B$11:$B$88,Check!O160)))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IF(B161="","",IF(LEN(B161)&gt;9,SUMIFS(Options!$H$3:$H$32,Options!$B$3:$B$32,Check!B161),SUMIFS('Master P&amp;L'!$H$11:$H$88,'Master P&amp;L'!$B$11:$B$88,Check!B161)))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IF(O161="","",IF(LEN(O161)&gt;9,SUMIFS(Options!$H$3:$H$32,Options!$B$3:$B$32,Check!O161),SUMIFS('Master P&amp;L'!$H$11:$H$88,'Master P&amp;L'!$B$11:$B$88,Check!O161)))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IF(B162="","",IF(LEN(B162)&gt;9,SUMIFS(Options!$H$3:$H$32,Options!$B$3:$B$32,Check!B162),SUMIFS('Master P&amp;L'!$H$11:$H$88,'Master P&amp;L'!$B$11:$B$88,Check!B162)))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IF(O162="","",IF(LEN(O162)&gt;9,SUMIFS(Options!$H$3:$H$32,Options!$B$3:$B$32,Check!O162),SUMIFS('Master P&amp;L'!$H$11:$H$88,'Master P&amp;L'!$B$11:$B$88,Check!O162)))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IF(B163="","",IF(LEN(B163)&gt;9,SUMIFS(Options!$H$3:$H$32,Options!$B$3:$B$32,Check!B163),SUMIFS('Master P&amp;L'!$H$11:$H$88,'Master P&amp;L'!$B$11:$B$88,Check!B163)))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IF(O163="","",IF(LEN(O163)&gt;9,SUMIFS(Options!$H$3:$H$32,Options!$B$3:$B$32,Check!O163),SUMIFS('Master P&amp;L'!$H$11:$H$88,'Master P&amp;L'!$B$11:$B$88,Check!O163)))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IF(B164="","",IF(LEN(B164)&gt;9,SUMIFS(Options!$H$3:$H$32,Options!$B$3:$B$32,Check!B164),SUMIFS('Master P&amp;L'!$H$11:$H$88,'Master P&amp;L'!$B$11:$B$88,Check!B164)))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IF(O164="","",IF(LEN(O164)&gt;9,SUMIFS(Options!$H$3:$H$32,Options!$B$3:$B$32,Check!O164),SUMIFS('Master P&amp;L'!$H$11:$H$88,'Master P&amp;L'!$B$11:$B$88,Check!O164)))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IF(B165="","",IF(LEN(B165)&gt;9,SUMIFS(Options!$H$3:$H$32,Options!$B$3:$B$32,Check!B165),SUMIFS('Master P&amp;L'!$H$11:$H$88,'Master P&amp;L'!$B$11:$B$88,Check!B165)))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IF(O165="","",IF(LEN(O165)&gt;9,SUMIFS(Options!$H$3:$H$32,Options!$B$3:$B$32,Check!O165),SUMIFS('Master P&amp;L'!$H$11:$H$88,'Master P&amp;L'!$B$11:$B$88,Check!O165)))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IF(B166="","",IF(LEN(B166)&gt;9,SUMIFS(Options!$H$3:$H$32,Options!$B$3:$B$32,Check!B166),SUMIFS('Master P&amp;L'!$H$11:$H$88,'Master P&amp;L'!$B$11:$B$88,Check!B166)))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IF(O166="","",IF(LEN(O166)&gt;9,SUMIFS(Options!$H$3:$H$32,Options!$B$3:$B$32,Check!O166),SUMIFS('Master P&amp;L'!$H$11:$H$88,'Master P&amp;L'!$B$11:$B$88,Check!O166)))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IF(B167="","",IF(LEN(B167)&gt;9,SUMIFS(Options!$H$3:$H$32,Options!$B$3:$B$32,Check!B167),SUMIFS('Master P&amp;L'!$H$11:$H$88,'Master P&amp;L'!$B$11:$B$88,Check!B167)))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IF(O167="","",IF(LEN(O167)&gt;9,SUMIFS(Options!$H$3:$H$32,Options!$B$3:$B$32,Check!O167),SUMIFS('Master P&amp;L'!$H$11:$H$88,'Master P&amp;L'!$B$11:$B$88,Check!O167)))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IF(B168="","",IF(LEN(B168)&gt;9,SUMIFS(Options!$H$3:$H$32,Options!$B$3:$B$32,Check!B168),SUMIFS('Master P&amp;L'!$H$11:$H$88,'Master P&amp;L'!$B$11:$B$88,Check!B168)))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IF(O168="","",IF(LEN(O168)&gt;9,SUMIFS(Options!$H$3:$H$32,Options!$B$3:$B$32,Check!O168),SUMIFS('Master P&amp;L'!$H$11:$H$88,'Master P&amp;L'!$B$11:$B$88,Check!O168)))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IF(B169="","",IF(LEN(B169)&gt;9,SUMIFS(Options!$H$3:$H$32,Options!$B$3:$B$32,Check!B169),SUMIFS('Master P&amp;L'!$H$11:$H$88,'Master P&amp;L'!$B$11:$B$88,Check!B169)))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IF(O169="","",IF(LEN(O169)&gt;9,SUMIFS(Options!$H$3:$H$32,Options!$B$3:$B$32,Check!O169),SUMIFS('Master P&amp;L'!$H$11:$H$88,'Master P&amp;L'!$B$11:$B$88,Check!O169)))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IF(B170="","",IF(LEN(B170)&gt;9,SUMIFS(Options!$H$3:$H$32,Options!$B$3:$B$32,Check!B170),SUMIFS('Master P&amp;L'!$H$11:$H$88,'Master P&amp;L'!$B$11:$B$88,Check!B170)))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IF(O170="","",IF(LEN(O170)&gt;9,SUMIFS(Options!$H$3:$H$32,Options!$B$3:$B$32,Check!O170),SUMIFS('Master P&amp;L'!$H$11:$H$88,'Master P&amp;L'!$B$11:$B$88,Check!O170)))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IF(B171="","",IF(LEN(B171)&gt;9,SUMIFS(Options!$H$3:$H$32,Options!$B$3:$B$32,Check!B171),SUMIFS('Master P&amp;L'!$H$11:$H$88,'Master P&amp;L'!$B$11:$B$88,Check!B171)))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IF(O171="","",IF(LEN(O171)&gt;9,SUMIFS(Options!$H$3:$H$32,Options!$B$3:$B$32,Check!O171),SUMIFS('Master P&amp;L'!$H$11:$H$88,'Master P&amp;L'!$B$11:$B$88,Check!O171)))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IF(B172="","",IF(LEN(B172)&gt;9,SUMIFS(Options!$H$3:$H$32,Options!$B$3:$B$32,Check!B172),SUMIFS('Master P&amp;L'!$H$11:$H$88,'Master P&amp;L'!$B$11:$B$88,Check!B172)))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IF(O172="","",IF(LEN(O172)&gt;9,SUMIFS(Options!$H$3:$H$32,Options!$B$3:$B$32,Check!O172),SUMIFS('Master P&amp;L'!$H$11:$H$88,'Master P&amp;L'!$B$11:$B$88,Check!O172)))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IF(B173="","",IF(LEN(B173)&gt;9,SUMIFS(Options!$H$3:$H$32,Options!$B$3:$B$32,Check!B173),SUMIFS('Master P&amp;L'!$H$11:$H$88,'Master P&amp;L'!$B$11:$B$88,Check!B173)))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IF(O173="","",IF(LEN(O173)&gt;9,SUMIFS(Options!$H$3:$H$32,Options!$B$3:$B$32,Check!O173),SUMIFS('Master P&amp;L'!$H$11:$H$88,'Master P&amp;L'!$B$11:$B$88,Check!O173)))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IF(B174="","",IF(LEN(B174)&gt;9,SUMIFS(Options!$H$3:$H$32,Options!$B$3:$B$32,Check!B174),SUMIFS('Master P&amp;L'!$H$11:$H$88,'Master P&amp;L'!$B$11:$B$88,Check!B174)))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IF(O174="","",IF(LEN(O174)&gt;9,SUMIFS(Options!$H$3:$H$32,Options!$B$3:$B$32,Check!O174),SUMIFS('Master P&amp;L'!$H$11:$H$88,'Master P&amp;L'!$B$11:$B$88,Check!O174)))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IF(B175="","",IF(LEN(B175)&gt;9,SUMIFS(Options!$H$3:$H$32,Options!$B$3:$B$32,Check!B175),SUMIFS('Master P&amp;L'!$H$11:$H$88,'Master P&amp;L'!$B$11:$B$88,Check!B175)))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IF(O175="","",IF(LEN(O175)&gt;9,SUMIFS(Options!$H$3:$H$32,Options!$B$3:$B$32,Check!O175),SUMIFS('Master P&amp;L'!$H$11:$H$88,'Master P&amp;L'!$B$11:$B$88,Check!O175)))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IF(B176="","",IF(LEN(B176)&gt;9,SUMIFS(Options!$H$3:$H$32,Options!$B$3:$B$32,Check!B176),SUMIFS('Master P&amp;L'!$H$11:$H$88,'Master P&amp;L'!$B$11:$B$88,Check!B176)))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IF(O176="","",IF(LEN(O176)&gt;9,SUMIFS(Options!$H$3:$H$32,Options!$B$3:$B$32,Check!O176),SUMIFS('Master P&amp;L'!$H$11:$H$88,'Master P&amp;L'!$B$11:$B$88,Check!O176)))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IF(B177="","",IF(LEN(B177)&gt;9,SUMIFS(Options!$H$3:$H$32,Options!$B$3:$B$32,Check!B177),SUMIFS('Master P&amp;L'!$H$11:$H$88,'Master P&amp;L'!$B$11:$B$88,Check!B177)))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IF(O177="","",IF(LEN(O177)&gt;9,SUMIFS(Options!$H$3:$H$32,Options!$B$3:$B$32,Check!O177),SUMIFS('Master P&amp;L'!$H$11:$H$88,'Master P&amp;L'!$B$11:$B$88,Check!O177)))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IF(B178="","",IF(LEN(B178)&gt;9,SUMIFS(Options!$H$3:$H$32,Options!$B$3:$B$32,Check!B178),SUMIFS('Master P&amp;L'!$H$11:$H$88,'Master P&amp;L'!$B$11:$B$88,Check!B178)))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IF(O178="","",IF(LEN(O178)&gt;9,SUMIFS(Options!$H$3:$H$32,Options!$B$3:$B$32,Check!O178),SUMIFS('Master P&amp;L'!$H$11:$H$88,'Master P&amp;L'!$B$11:$B$88,Check!O178)))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IF(B179="","",IF(LEN(B179)&gt;9,SUMIFS(Options!$H$3:$H$32,Options!$B$3:$B$32,Check!B179),SUMIFS('Master P&amp;L'!$H$11:$H$88,'Master P&amp;L'!$B$11:$B$88,Check!B179)))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IF(O179="","",IF(LEN(O179)&gt;9,SUMIFS(Options!$H$3:$H$32,Options!$B$3:$B$32,Check!O179),SUMIFS('Master P&amp;L'!$H$11:$H$88,'Master P&amp;L'!$B$11:$B$88,Check!O179)))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IF(B180="","",IF(LEN(B180)&gt;9,SUMIFS(Options!$H$3:$H$32,Options!$B$3:$B$32,Check!B180),SUMIFS('Master P&amp;L'!$H$11:$H$88,'Master P&amp;L'!$B$11:$B$88,Check!B180)))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IF(O180="","",IF(LEN(O180)&gt;9,SUMIFS(Options!$H$3:$H$32,Options!$B$3:$B$32,Check!O180),SUMIFS('Master P&amp;L'!$H$11:$H$88,'Master P&amp;L'!$B$11:$B$88,Check!O180)))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IF(B181="","",IF(LEN(B181)&gt;9,SUMIFS(Options!$H$3:$H$32,Options!$B$3:$B$32,Check!B181),SUMIFS('Master P&amp;L'!$H$11:$H$88,'Master P&amp;L'!$B$11:$B$88,Check!B181)))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IF(O181="","",IF(LEN(O181)&gt;9,SUMIFS(Options!$H$3:$H$32,Options!$B$3:$B$32,Check!O181),SUMIFS('Master P&amp;L'!$H$11:$H$88,'Master P&amp;L'!$B$11:$B$88,Check!O181)))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IF(B182="","",IF(LEN(B182)&gt;9,SUMIFS(Options!$H$3:$H$32,Options!$B$3:$B$32,Check!B182),SUMIFS('Master P&amp;L'!$H$11:$H$88,'Master P&amp;L'!$B$11:$B$88,Check!B182)))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IF(O182="","",IF(LEN(O182)&gt;9,SUMIFS(Options!$H$3:$H$32,Options!$B$3:$B$32,Check!O182),SUMIFS('Master P&amp;L'!$H$11:$H$88,'Master P&amp;L'!$B$11:$B$88,Check!O182)))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IF(B183="","",IF(LEN(B183)&gt;9,SUMIFS(Options!$H$3:$H$32,Options!$B$3:$B$32,Check!B183),SUMIFS('Master P&amp;L'!$H$11:$H$88,'Master P&amp;L'!$B$11:$B$88,Check!B183)))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IF(O183="","",IF(LEN(O183)&gt;9,SUMIFS(Options!$H$3:$H$32,Options!$B$3:$B$32,Check!O183),SUMIFS('Master P&amp;L'!$H$11:$H$88,'Master P&amp;L'!$B$11:$B$88,Check!O183)))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IF(B184="","",IF(LEN(B184)&gt;9,SUMIFS(Options!$H$3:$H$32,Options!$B$3:$B$32,Check!B184),SUMIFS('Master P&amp;L'!$H$11:$H$88,'Master P&amp;L'!$B$11:$B$88,Check!B184)))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IF(O184="","",IF(LEN(O184)&gt;9,SUMIFS(Options!$H$3:$H$32,Options!$B$3:$B$32,Check!O184),SUMIFS('Master P&amp;L'!$H$11:$H$88,'Master P&amp;L'!$B$11:$B$88,Check!O184)))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IF(B185="","",IF(LEN(B185)&gt;9,SUMIFS(Options!$H$3:$H$32,Options!$B$3:$B$32,Check!B185),SUMIFS('Master P&amp;L'!$H$11:$H$88,'Master P&amp;L'!$B$11:$B$88,Check!B185)))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IF(O185="","",IF(LEN(O185)&gt;9,SUMIFS(Options!$H$3:$H$32,Options!$B$3:$B$32,Check!O185),SUMIFS('Master P&amp;L'!$H$11:$H$88,'Master P&amp;L'!$B$11:$B$88,Check!O185)))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IF(B186="","",IF(LEN(B186)&gt;9,SUMIFS(Options!$H$3:$H$32,Options!$B$3:$B$32,Check!B186),SUMIFS('Master P&amp;L'!$H$11:$H$88,'Master P&amp;L'!$B$11:$B$88,Check!B186)))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IF(O186="","",IF(LEN(O186)&gt;9,SUMIFS(Options!$H$3:$H$32,Options!$B$3:$B$32,Check!O186),SUMIFS('Master P&amp;L'!$H$11:$H$88,'Master P&amp;L'!$B$11:$B$88,Check!O186)))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IF(B187="","",IF(LEN(B187)&gt;9,SUMIFS(Options!$H$3:$H$32,Options!$B$3:$B$32,Check!B187),SUMIFS('Master P&amp;L'!$H$11:$H$88,'Master P&amp;L'!$B$11:$B$88,Check!B187)))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IF(O187="","",IF(LEN(O187)&gt;9,SUMIFS(Options!$H$3:$H$32,Options!$B$3:$B$32,Check!O187),SUMIFS('Master P&amp;L'!$H$11:$H$88,'Master P&amp;L'!$B$11:$B$88,Check!O187)))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IF(B188="","",IF(LEN(B188)&gt;9,SUMIFS(Options!$H$3:$H$32,Options!$B$3:$B$32,Check!B188),SUMIFS('Master P&amp;L'!$H$11:$H$88,'Master P&amp;L'!$B$11:$B$88,Check!B188)))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IF(O188="","",IF(LEN(O188)&gt;9,SUMIFS(Options!$H$3:$H$32,Options!$B$3:$B$32,Check!O188),SUMIFS('Master P&amp;L'!$H$11:$H$88,'Master P&amp;L'!$B$11:$B$88,Check!O188)))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IF(B189="","",IF(LEN(B189)&gt;9,SUMIFS(Options!$H$3:$H$32,Options!$B$3:$B$32,Check!B189),SUMIFS('Master P&amp;L'!$H$11:$H$88,'Master P&amp;L'!$B$11:$B$88,Check!B189)))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IF(O189="","",IF(LEN(O189)&gt;9,SUMIFS(Options!$H$3:$H$32,Options!$B$3:$B$32,Check!O189),SUMIFS('Master P&amp;L'!$H$11:$H$88,'Master P&amp;L'!$B$11:$B$88,Check!O189)))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IF(B190="","",IF(LEN(B190)&gt;9,SUMIFS(Options!$H$3:$H$32,Options!$B$3:$B$32,Check!B190),SUMIFS('Master P&amp;L'!$H$11:$H$88,'Master P&amp;L'!$B$11:$B$88,Check!B190)))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IF(O190="","",IF(LEN(O190)&gt;9,SUMIFS(Options!$H$3:$H$32,Options!$B$3:$B$32,Check!O190),SUMIFS('Master P&amp;L'!$H$11:$H$88,'Master P&amp;L'!$B$11:$B$88,Check!O190)))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IF(B191="","",IF(LEN(B191)&gt;9,SUMIFS(Options!$H$3:$H$32,Options!$B$3:$B$32,Check!B191),SUMIFS('Master P&amp;L'!$H$11:$H$88,'Master P&amp;L'!$B$11:$B$88,Check!B191)))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IF(O191="","",IF(LEN(O191)&gt;9,SUMIFS(Options!$H$3:$H$32,Options!$B$3:$B$32,Check!O191),SUMIFS('Master P&amp;L'!$H$11:$H$88,'Master P&amp;L'!$B$11:$B$88,Check!O191)))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IF(O192="","",IF(LEN(O192)&gt;9,SUMIFS(Options!$H$3:$H$32,Options!$B$3:$B$32,Check!O192),SUMIFS('Master P&amp;L'!$H$11:$H$88,'Master P&amp;L'!$B$11:$B$88,Check!O192)))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IF(O193="","",IF(LEN(O193)&gt;9,SUMIFS(Options!$H$3:$H$32,Options!$B$3:$B$32,Check!O193),SUMIFS('Master P&amp;L'!$H$11:$H$88,'Master P&amp;L'!$B$11:$B$88,Check!O193)))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IF(O194="","",IF(LEN(O194)&gt;9,SUMIFS(Options!$H$3:$H$32,Options!$B$3:$B$32,Check!O194),SUMIFS('Master P&amp;L'!$H$11:$H$88,'Master P&amp;L'!$B$11:$B$88,Check!O194)))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IF(O195="","",IF(LEN(O195)&gt;9,SUMIFS(Options!$H$3:$H$32,Options!$B$3:$B$32,Check!O195),SUMIFS('Master P&amp;L'!$H$11:$H$88,'Master P&amp;L'!$B$11:$B$88,Check!O195)))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IF(O196="","",IF(LEN(O196)&gt;9,SUMIFS(Options!$H$3:$H$32,Options!$B$3:$B$32,Check!O196),SUMIFS('Master P&amp;L'!$H$11:$H$88,'Master P&amp;L'!$B$11:$B$88,Check!O196)))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IF(O197="","",IF(LEN(O197)&gt;9,SUMIFS(Options!$H$3:$H$32,Options!$B$3:$B$32,Check!O197),SUMIFS('Master P&amp;L'!$H$11:$H$88,'Master P&amp;L'!$B$11:$B$88,Check!O197)))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IF(O198="","",IF(LEN(O198)&gt;9,SUMIFS(Options!$H$3:$H$32,Options!$B$3:$B$32,Check!O198),SUMIFS('Master P&amp;L'!$H$11:$H$88,'Master P&amp;L'!$B$11:$B$88,Check!O198)))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IF(O199="","",IF(LEN(O199)&gt;9,SUMIFS(Options!$H$3:$H$32,Options!$B$3:$B$32,Check!O199),SUMIFS('Master P&amp;L'!$H$11:$H$88,'Master P&amp;L'!$B$11:$B$88,Check!O199)))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IF(O200="","",IF(LEN(O200)&gt;9,SUMIFS(Options!$H$3:$H$32,Options!$B$3:$B$32,Check!O200),SUMIFS('Master P&amp;L'!$H$11:$H$88,'Master P&amp;L'!$B$11:$B$88,Check!O200)))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IF(O201="","",IF(LEN(O201)&gt;9,SUMIFS(Options!$H$3:$H$32,Options!$B$3:$B$32,Check!O201),SUMIFS('Master P&amp;L'!$H$11:$H$88,'Master P&amp;L'!$B$11:$B$88,Check!O201)))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IF(O202="","",IF(LEN(O202)&gt;9,SUMIFS(Options!$H$3:$H$32,Options!$B$3:$B$32,Check!O202),SUMIFS('Master P&amp;L'!$H$11:$H$88,'Master P&amp;L'!$B$11:$B$88,Check!O202)))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IF(O203="","",IF(LEN(O203)&gt;9,SUMIFS(Options!$H$3:$H$32,Options!$B$3:$B$32,Check!O203),SUMIFS('Master P&amp;L'!$H$11:$H$88,'Master P&amp;L'!$B$11:$B$88,Check!O203)))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IF(O204="","",IF(LEN(O204)&gt;9,SUMIFS(Options!$H$3:$H$32,Options!$B$3:$B$32,Check!O204),SUMIFS('Master P&amp;L'!$H$11:$H$88,'Master P&amp;L'!$B$11:$B$88,Check!O204)))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IF(O205="","",IF(LEN(O205)&gt;9,SUMIFS(Options!$H$3:$H$32,Options!$B$3:$B$32,Check!O205),SUMIFS('Master P&amp;L'!$H$11:$H$88,'Master P&amp;L'!$B$11:$B$88,Check!O205)))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IF(O206="","",IF(LEN(O206)&gt;9,SUMIFS(Options!$H$3:$H$32,Options!$B$3:$B$32,Check!O206),SUMIFS('Master P&amp;L'!$H$11:$H$88,'Master P&amp;L'!$B$11:$B$88,Check!O206)))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9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85546875" style="213" bestFit="1" customWidth="1" outlineLevel="1"/>
    <col min="10" max="10" width="9.140625" style="213"/>
    <col min="11" max="11" width="28.5703125" style="213" bestFit="1" customWidth="1"/>
    <col min="12" max="12" width="48.4257812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2337</v>
      </c>
      <c r="F2" s="213" t="s">
        <v>2322</v>
      </c>
      <c r="G2" s="213" t="s">
        <v>282</v>
      </c>
      <c r="H2" s="213">
        <v>27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(Lote)]],Input_APM!F2)&gt;0,INDEX(Table2[[#All],[Para (Ticker Daniel)]],MATCH(Input_APM!F2,Table2[[#All],[De (Lote)]],0)),Input_APM!F2))</f>
        <v>1OG6P 25000</v>
      </c>
      <c r="M2" s="214" t="str">
        <f>IF(E2="","",G2)</f>
        <v>EQTY.IntlUS.off</v>
      </c>
      <c r="N2" s="215">
        <f>IF(E2="","",H2)</f>
        <v>27</v>
      </c>
      <c r="O2" s="215">
        <f>IF(E2="","",I2)</f>
        <v>0</v>
      </c>
    </row>
    <row r="3" spans="5:15">
      <c r="E3" s="213" t="s">
        <v>317</v>
      </c>
      <c r="F3" s="213" t="s">
        <v>2296</v>
      </c>
      <c r="G3" s="213" t="s">
        <v>282</v>
      </c>
      <c r="H3" s="213">
        <v>0</v>
      </c>
      <c r="I3" s="213">
        <v>1967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AMAT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1967</v>
      </c>
    </row>
    <row r="4" spans="5:15">
      <c r="E4" s="213" t="s">
        <v>319</v>
      </c>
      <c r="F4" s="213" t="s">
        <v>2294</v>
      </c>
      <c r="G4" s="213" t="s">
        <v>282</v>
      </c>
      <c r="H4" s="213">
        <v>-23</v>
      </c>
      <c r="I4" s="213">
        <v>-117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P280</v>
      </c>
      <c r="M4" s="214" t="str">
        <f t="shared" si="1"/>
        <v>EQTY.IntlUS.off</v>
      </c>
      <c r="N4" s="215">
        <f t="shared" si="2"/>
        <v>-23</v>
      </c>
      <c r="O4" s="215">
        <f t="shared" si="3"/>
        <v>-117</v>
      </c>
    </row>
    <row r="5" spans="5:15">
      <c r="E5" s="213" t="s">
        <v>319</v>
      </c>
      <c r="F5" s="213" t="s">
        <v>2295</v>
      </c>
      <c r="G5" s="213" t="s">
        <v>282</v>
      </c>
      <c r="H5" s="213">
        <v>117</v>
      </c>
      <c r="I5" s="213">
        <v>117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AMAT US 01/23/26 P290</v>
      </c>
      <c r="M5" s="214" t="str">
        <f t="shared" si="1"/>
        <v>EQTY.IntlUS.off</v>
      </c>
      <c r="N5" s="215">
        <f t="shared" si="2"/>
        <v>117</v>
      </c>
      <c r="O5" s="215">
        <f t="shared" si="3"/>
        <v>117</v>
      </c>
    </row>
    <row r="6" spans="5:15">
      <c r="E6" s="213" t="s">
        <v>317</v>
      </c>
      <c r="F6" s="213" t="s">
        <v>399</v>
      </c>
      <c r="G6" s="213" t="s">
        <v>282</v>
      </c>
      <c r="H6" s="213">
        <v>10709</v>
      </c>
      <c r="I6" s="213">
        <v>15396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10709</v>
      </c>
      <c r="O6" s="215">
        <f t="shared" si="3"/>
        <v>15396</v>
      </c>
    </row>
    <row r="7" spans="5:15">
      <c r="E7" s="213" t="s">
        <v>324</v>
      </c>
      <c r="F7" s="213" t="s">
        <v>2267</v>
      </c>
      <c r="G7" s="213" t="s">
        <v>282</v>
      </c>
      <c r="H7" s="213">
        <v>1405</v>
      </c>
      <c r="I7" s="213">
        <v>1405</v>
      </c>
      <c r="K7" s="214" t="str">
        <f t="shared" si="0"/>
        <v>ETF Options</v>
      </c>
      <c r="L7" s="214" t="str">
        <f>IF(E7="","",IF(COUNTIFS(Table2[[#All],[De (Lote)]],Input_APM!F7)&gt;0,INDEX(Table2[[#All],[Para (Ticker Daniel)]],MATCH(Input_APM!F7,Table2[[#All],[De (Lote)]],0)),Input_APM!F7))</f>
        <v>ASHR US 02/20/26 C35</v>
      </c>
      <c r="M7" s="214" t="str">
        <f t="shared" si="1"/>
        <v>EQTY.IntlUS.off</v>
      </c>
      <c r="N7" s="215">
        <f t="shared" si="2"/>
        <v>1405</v>
      </c>
      <c r="O7" s="215">
        <f t="shared" si="3"/>
        <v>1405</v>
      </c>
    </row>
    <row r="8" spans="5:15">
      <c r="E8" s="213" t="s">
        <v>439</v>
      </c>
      <c r="F8" s="213" t="s">
        <v>2323</v>
      </c>
      <c r="G8" s="213" t="s">
        <v>282</v>
      </c>
      <c r="H8" s="213">
        <v>0</v>
      </c>
      <c r="I8" s="213">
        <v>375</v>
      </c>
      <c r="K8" s="214" t="str">
        <f t="shared" si="0"/>
        <v>EUR Equity</v>
      </c>
      <c r="L8" s="214" t="str">
        <f>IF(E8="","",IF(COUNTIFS(Table2[[#All],[De (Lote)]],Input_APM!F8)&gt;0,INDEX(Table2[[#All],[Para (Ticker Daniel)]],MATCH(Input_APM!F8,Table2[[#All],[De (Lote)]],0)),Input_APM!F8))</f>
        <v>ASML NA</v>
      </c>
      <c r="M8" s="214" t="str">
        <f t="shared" si="1"/>
        <v>EQTY.IntlUS.off</v>
      </c>
      <c r="N8" s="215">
        <f t="shared" si="2"/>
        <v>0</v>
      </c>
      <c r="O8" s="215">
        <f t="shared" si="3"/>
        <v>375</v>
      </c>
    </row>
    <row r="9" spans="5:15">
      <c r="E9" s="213" t="s">
        <v>317</v>
      </c>
      <c r="F9" s="213" t="s">
        <v>137</v>
      </c>
      <c r="G9" s="213" t="s">
        <v>282</v>
      </c>
      <c r="H9" s="213">
        <v>11404</v>
      </c>
      <c r="I9" s="213">
        <v>11404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11404</v>
      </c>
      <c r="O9" s="215">
        <f t="shared" si="3"/>
        <v>11404</v>
      </c>
    </row>
    <row r="10" spans="5:15">
      <c r="E10" s="213" t="s">
        <v>319</v>
      </c>
      <c r="F10" s="213" t="s">
        <v>2120</v>
      </c>
      <c r="G10" s="213" t="s">
        <v>282</v>
      </c>
      <c r="H10" s="213">
        <v>48</v>
      </c>
      <c r="I10" s="213">
        <v>48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48</v>
      </c>
      <c r="O10" s="215">
        <f t="shared" si="3"/>
        <v>48</v>
      </c>
    </row>
    <row r="11" spans="5:15">
      <c r="E11" s="213" t="s">
        <v>319</v>
      </c>
      <c r="F11" s="213" t="s">
        <v>2122</v>
      </c>
      <c r="G11" s="213" t="s">
        <v>282</v>
      </c>
      <c r="H11" s="213">
        <v>-39</v>
      </c>
      <c r="I11" s="213">
        <v>-48</v>
      </c>
      <c r="K11" s="214" t="str">
        <f t="shared" si="0"/>
        <v>US Equity Options</v>
      </c>
      <c r="L11" s="214" t="str">
        <f>IF(E11="","",IF(COUNTIFS(Table2[[#All],[De (Lote)]],Input_APM!F11)&gt;0,INDEX(Table2[[#All],[Para (Ticker Daniel)]],MATCH(Input_APM!F11,Table2[[#All],[De (Lote)]],0)),Input_APM!F11))</f>
        <v>AVGO US 06/18/26 C410</v>
      </c>
      <c r="M11" s="214" t="str">
        <f t="shared" si="1"/>
        <v>EQTY.IntlUS.off</v>
      </c>
      <c r="N11" s="215">
        <f t="shared" si="2"/>
        <v>-39</v>
      </c>
      <c r="O11" s="215">
        <f t="shared" si="3"/>
        <v>-48</v>
      </c>
    </row>
    <row r="12" spans="5:15">
      <c r="E12" s="213" t="s">
        <v>39</v>
      </c>
      <c r="F12" s="213" t="s">
        <v>461</v>
      </c>
      <c r="G12" s="213" t="s">
        <v>282</v>
      </c>
      <c r="H12" s="213">
        <v>3163</v>
      </c>
      <c r="I12" s="213">
        <v>3163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BABA</v>
      </c>
      <c r="M12" s="214" t="str">
        <f t="shared" si="1"/>
        <v>EQTY.IntlUS.off</v>
      </c>
      <c r="N12" s="215">
        <f t="shared" si="2"/>
        <v>3163</v>
      </c>
      <c r="O12" s="215">
        <f t="shared" si="3"/>
        <v>3163</v>
      </c>
    </row>
    <row r="13" spans="5:15">
      <c r="E13" s="213" t="s">
        <v>39</v>
      </c>
      <c r="F13" s="213" t="s">
        <v>2166</v>
      </c>
      <c r="G13" s="213" t="s">
        <v>282</v>
      </c>
      <c r="H13" s="213">
        <v>3285</v>
      </c>
      <c r="I13" s="213">
        <v>3285</v>
      </c>
      <c r="K13" s="214" t="str">
        <f t="shared" si="0"/>
        <v>ADR</v>
      </c>
      <c r="L13" s="214" t="str">
        <f>IF(E13="","",IF(COUNTIFS(Table2[[#All],[De (Lote)]],Input_APM!F13)&gt;0,INDEX(Table2[[#All],[Para (Ticker Daniel)]],MATCH(Input_APM!F13,Table2[[#All],[De (Lote)]],0)),Input_APM!F13))</f>
        <v>BIDU</v>
      </c>
      <c r="M13" s="214" t="str">
        <f t="shared" si="1"/>
        <v>EQTY.IntlUS.off</v>
      </c>
      <c r="N13" s="215">
        <f t="shared" si="2"/>
        <v>3285</v>
      </c>
      <c r="O13" s="215">
        <f t="shared" si="3"/>
        <v>3285</v>
      </c>
    </row>
    <row r="14" spans="5:15">
      <c r="E14" s="213" t="s">
        <v>321</v>
      </c>
      <c r="F14" s="213" t="s">
        <v>295</v>
      </c>
      <c r="G14" s="213" t="s">
        <v>282</v>
      </c>
      <c r="H14" s="213">
        <v>-0.28999999999999998</v>
      </c>
      <c r="I14" s="213">
        <v>-0.28999999999999998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CAD</v>
      </c>
      <c r="M14" s="214" t="str">
        <f t="shared" si="1"/>
        <v>EQTY.IntlUS.off</v>
      </c>
      <c r="N14" s="215">
        <f t="shared" si="2"/>
        <v>-0.28999999999999998</v>
      </c>
      <c r="O14" s="215">
        <f t="shared" si="3"/>
        <v>-0.28999999999999998</v>
      </c>
    </row>
    <row r="15" spans="5:15">
      <c r="E15" s="213" t="s">
        <v>321</v>
      </c>
      <c r="F15" s="213" t="s">
        <v>296</v>
      </c>
      <c r="G15" s="213" t="s">
        <v>283</v>
      </c>
      <c r="H15" s="213">
        <v>0.39</v>
      </c>
      <c r="I15" s="213">
        <v>0.39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EQTY.InternacionalUS2.off</v>
      </c>
      <c r="N15" s="215">
        <f t="shared" si="2"/>
        <v>0.39</v>
      </c>
      <c r="O15" s="215">
        <f t="shared" si="3"/>
        <v>0.39</v>
      </c>
    </row>
    <row r="16" spans="5:15">
      <c r="E16" s="213" t="s">
        <v>321</v>
      </c>
      <c r="F16" s="213" t="s">
        <v>296</v>
      </c>
      <c r="G16" s="213" t="s">
        <v>282</v>
      </c>
      <c r="H16" s="213">
        <v>-34454.449999999997</v>
      </c>
      <c r="I16" s="213">
        <v>-34454.449999999997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CHF</v>
      </c>
      <c r="M16" s="214" t="str">
        <f t="shared" si="1"/>
        <v>EQTY.IntlUS.off</v>
      </c>
      <c r="N16" s="215">
        <f t="shared" si="2"/>
        <v>-34454.449999999997</v>
      </c>
      <c r="O16" s="215">
        <f t="shared" si="3"/>
        <v>-34454.449999999997</v>
      </c>
    </row>
    <row r="17" spans="5:15">
      <c r="E17" s="213" t="s">
        <v>321</v>
      </c>
      <c r="F17" s="213" t="s">
        <v>297</v>
      </c>
      <c r="G17" s="213" t="s">
        <v>282</v>
      </c>
      <c r="H17" s="213">
        <v>-0.36</v>
      </c>
      <c r="I17" s="213">
        <v>-0.36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CNH</v>
      </c>
      <c r="M17" s="214" t="str">
        <f t="shared" si="1"/>
        <v>EQTY.IntlUS.off</v>
      </c>
      <c r="N17" s="215">
        <f t="shared" si="2"/>
        <v>-0.36</v>
      </c>
      <c r="O17" s="215">
        <f t="shared" si="3"/>
        <v>-0.36</v>
      </c>
    </row>
    <row r="18" spans="5:15">
      <c r="E18" s="213" t="s">
        <v>321</v>
      </c>
      <c r="F18" s="213" t="s">
        <v>2141</v>
      </c>
      <c r="G18" s="213" t="s">
        <v>283</v>
      </c>
      <c r="H18" s="213">
        <v>-0.19</v>
      </c>
      <c r="I18" s="213">
        <v>-0.19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EQTY.InternacionalUS2.off</v>
      </c>
      <c r="N18" s="215">
        <f t="shared" si="2"/>
        <v>-0.19</v>
      </c>
      <c r="O18" s="215">
        <f t="shared" si="3"/>
        <v>-0.19</v>
      </c>
    </row>
    <row r="19" spans="5:15">
      <c r="E19" s="213" t="s">
        <v>321</v>
      </c>
      <c r="F19" s="213" t="s">
        <v>2141</v>
      </c>
      <c r="G19" s="213" t="s">
        <v>282</v>
      </c>
      <c r="H19" s="213">
        <v>-143145.81</v>
      </c>
      <c r="I19" s="213">
        <v>-143145.81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CNY</v>
      </c>
      <c r="M19" s="214" t="str">
        <f t="shared" si="1"/>
        <v>EQTY.IntlUS.off</v>
      </c>
      <c r="N19" s="215">
        <f t="shared" si="2"/>
        <v>-143145.81</v>
      </c>
      <c r="O19" s="215">
        <f t="shared" si="3"/>
        <v>-143145.81</v>
      </c>
    </row>
    <row r="20" spans="5:15">
      <c r="E20" s="213" t="s">
        <v>321</v>
      </c>
      <c r="F20" s="213" t="s">
        <v>298</v>
      </c>
      <c r="G20" s="213" t="s">
        <v>283</v>
      </c>
      <c r="H20" s="213">
        <v>-0.15</v>
      </c>
      <c r="I20" s="213">
        <v>-0.15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EQTY.InternacionalUS2.off</v>
      </c>
      <c r="N20" s="215">
        <f t="shared" si="2"/>
        <v>-0.15</v>
      </c>
      <c r="O20" s="215">
        <f t="shared" si="3"/>
        <v>-0.15</v>
      </c>
    </row>
    <row r="21" spans="5:15">
      <c r="E21" s="213" t="s">
        <v>321</v>
      </c>
      <c r="F21" s="213" t="s">
        <v>298</v>
      </c>
      <c r="G21" s="213" t="s">
        <v>282</v>
      </c>
      <c r="H21" s="213">
        <v>42629.42</v>
      </c>
      <c r="I21" s="213">
        <v>42629.42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EUR</v>
      </c>
      <c r="M21" s="214" t="str">
        <f t="shared" si="1"/>
        <v>EQTY.IntlUS.off</v>
      </c>
      <c r="N21" s="215">
        <f t="shared" si="2"/>
        <v>42629.42</v>
      </c>
      <c r="O21" s="215">
        <f t="shared" si="3"/>
        <v>42629.42</v>
      </c>
    </row>
    <row r="22" spans="5:15">
      <c r="E22" s="213" t="s">
        <v>321</v>
      </c>
      <c r="F22" s="213" t="s">
        <v>299</v>
      </c>
      <c r="G22" s="213" t="s">
        <v>282</v>
      </c>
      <c r="H22" s="213">
        <v>-0.47</v>
      </c>
      <c r="I22" s="213">
        <v>-0.47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GBP</v>
      </c>
      <c r="M22" s="214" t="str">
        <f t="shared" si="1"/>
        <v>EQTY.IntlUS.off</v>
      </c>
      <c r="N22" s="215">
        <f t="shared" si="2"/>
        <v>-0.47</v>
      </c>
      <c r="O22" s="215">
        <f t="shared" si="3"/>
        <v>-0.47</v>
      </c>
    </row>
    <row r="23" spans="5:15">
      <c r="E23" s="213" t="s">
        <v>321</v>
      </c>
      <c r="F23" s="213" t="s">
        <v>300</v>
      </c>
      <c r="G23" s="213" t="s">
        <v>283</v>
      </c>
      <c r="H23" s="213">
        <v>0.2</v>
      </c>
      <c r="I23" s="213">
        <v>0.2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EQTY.InternacionalUS2.off</v>
      </c>
      <c r="N23" s="215">
        <f t="shared" si="2"/>
        <v>0.2</v>
      </c>
      <c r="O23" s="215">
        <f t="shared" si="3"/>
        <v>0.2</v>
      </c>
    </row>
    <row r="24" spans="5:15">
      <c r="E24" s="213" t="s">
        <v>321</v>
      </c>
      <c r="F24" s="213" t="s">
        <v>300</v>
      </c>
      <c r="G24" s="213" t="s">
        <v>282</v>
      </c>
      <c r="H24" s="213">
        <v>-341409.97</v>
      </c>
      <c r="I24" s="213">
        <v>-341409.97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HKD</v>
      </c>
      <c r="M24" s="214" t="str">
        <f t="shared" si="1"/>
        <v>EQTY.IntlUS.off</v>
      </c>
      <c r="N24" s="215">
        <f t="shared" si="2"/>
        <v>-341409.97</v>
      </c>
      <c r="O24" s="215">
        <f t="shared" si="3"/>
        <v>-341409.97</v>
      </c>
    </row>
    <row r="25" spans="5:15">
      <c r="E25" s="213" t="s">
        <v>321</v>
      </c>
      <c r="F25" s="213" t="s">
        <v>301</v>
      </c>
      <c r="G25" s="213" t="s">
        <v>282</v>
      </c>
      <c r="H25" s="213">
        <v>1.000005E-2</v>
      </c>
      <c r="I25" s="213">
        <v>1.000005E-2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KRW</v>
      </c>
      <c r="M25" s="214" t="str">
        <f t="shared" si="1"/>
        <v>EQTY.IntlUS.off</v>
      </c>
      <c r="N25" s="215">
        <f t="shared" si="2"/>
        <v>1.000005E-2</v>
      </c>
      <c r="O25" s="215">
        <f t="shared" si="3"/>
        <v>1.000005E-2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1633896.71435315</v>
      </c>
      <c r="I26" s="213">
        <v>4.3531500000000001E-3</v>
      </c>
      <c r="K26" s="214" t="str">
        <f t="shared" si="0"/>
        <v>Cash</v>
      </c>
      <c r="L26" s="214" t="str">
        <f>IF(E26="","",IF(COUNTIFS(Table2[[#All],[De (Lote)]],Input_APM!F26)&gt;0,INDEX(Table2[[#All],[Para (Ticker Daniel)]],MATCH(Input_APM!F26,Table2[[#All],[De (Lote)]],0)),Input_APM!F26))</f>
        <v>Cash USD</v>
      </c>
      <c r="M26" s="214" t="str">
        <f t="shared" si="1"/>
        <v>EQTY.IntlUS.off</v>
      </c>
      <c r="N26" s="215">
        <f t="shared" si="2"/>
        <v>1633896.71435315</v>
      </c>
      <c r="O26" s="215">
        <f t="shared" si="3"/>
        <v>4.3531500000000001E-3</v>
      </c>
    </row>
    <row r="27" spans="5:15">
      <c r="E27" s="213" t="s">
        <v>477</v>
      </c>
      <c r="F27" s="213" t="s">
        <v>1914</v>
      </c>
      <c r="G27" s="213" t="s">
        <v>282</v>
      </c>
      <c r="H27" s="213">
        <v>4625000</v>
      </c>
      <c r="I27" s="213">
        <v>4625000</v>
      </c>
      <c r="K27" s="214" t="str">
        <f t="shared" si="0"/>
        <v>CDS</v>
      </c>
      <c r="L27" s="214" t="str">
        <f>IF(E27="","",IF(COUNTIFS(Table2[[#All],[De (Lote)]],Input_APM!F27)&gt;0,INDEX(Table2[[#All],[Para (Ticker Daniel)]],MATCH(Input_APM!F27,Table2[[#All],[De (Lote)]],0)),Input_APM!F27))</f>
        <v>CHINAGOV 12/20/30</v>
      </c>
      <c r="M27" s="214" t="str">
        <f t="shared" si="1"/>
        <v>EQTY.IntlUS.off</v>
      </c>
      <c r="N27" s="215">
        <f t="shared" si="2"/>
        <v>4625000</v>
      </c>
      <c r="O27" s="215">
        <f t="shared" si="3"/>
        <v>4625000</v>
      </c>
    </row>
    <row r="28" spans="5:15">
      <c r="E28" s="213" t="s">
        <v>317</v>
      </c>
      <c r="F28" s="213" t="s">
        <v>2167</v>
      </c>
      <c r="G28" s="213" t="s">
        <v>282</v>
      </c>
      <c r="H28" s="213">
        <v>0</v>
      </c>
      <c r="I28" s="213">
        <v>1883</v>
      </c>
      <c r="K28" s="214" t="str">
        <f t="shared" si="0"/>
        <v>US Equity</v>
      </c>
      <c r="L28" s="214" t="str">
        <f>IF(E28="","",IF(COUNTIFS(Table2[[#All],[De (Lote)]],Input_APM!F28)&gt;0,INDEX(Table2[[#All],[Para (Ticker Daniel)]],MATCH(Input_APM!F28,Table2[[#All],[De (Lote)]],0)),Input_APM!F28))</f>
        <v>COHR</v>
      </c>
      <c r="M28" s="214" t="str">
        <f t="shared" si="1"/>
        <v>EQTY.IntlUS.off</v>
      </c>
      <c r="N28" s="215">
        <f t="shared" si="2"/>
        <v>0</v>
      </c>
      <c r="O28" s="215">
        <f t="shared" si="3"/>
        <v>1883</v>
      </c>
    </row>
    <row r="29" spans="5:15">
      <c r="E29" s="213" t="s">
        <v>320</v>
      </c>
      <c r="F29" s="213" t="s">
        <v>1754</v>
      </c>
      <c r="G29" s="213" t="s">
        <v>282</v>
      </c>
      <c r="H29" s="213">
        <v>39308</v>
      </c>
      <c r="I29" s="213">
        <v>49319</v>
      </c>
      <c r="K29" s="214" t="str">
        <f t="shared" si="0"/>
        <v>ETF</v>
      </c>
      <c r="L29" s="214" t="str">
        <f>IF(E29="","",IF(COUNTIFS(Table2[[#All],[De (Lote)]],Input_APM!F29)&gt;0,INDEX(Table2[[#All],[Para (Ticker Daniel)]],MATCH(Input_APM!F29,Table2[[#All],[De (Lote)]],0)),Input_APM!F29))</f>
        <v>EWY</v>
      </c>
      <c r="M29" s="214" t="str">
        <f t="shared" si="1"/>
        <v>EQTY.IntlUS.off</v>
      </c>
      <c r="N29" s="215">
        <f t="shared" si="2"/>
        <v>39308</v>
      </c>
      <c r="O29" s="215">
        <f t="shared" si="3"/>
        <v>49319</v>
      </c>
    </row>
    <row r="30" spans="5:15">
      <c r="E30" s="213" t="s">
        <v>320</v>
      </c>
      <c r="F30" s="213" t="s">
        <v>131</v>
      </c>
      <c r="G30" s="213" t="s">
        <v>282</v>
      </c>
      <c r="H30" s="213">
        <v>11499</v>
      </c>
      <c r="I30" s="213">
        <v>26139</v>
      </c>
      <c r="K30" s="214" t="str">
        <f t="shared" si="0"/>
        <v>ETF</v>
      </c>
      <c r="L30" s="214" t="str">
        <f>IF(E30="","",IF(COUNTIFS(Table2[[#All],[De (Lote)]],Input_APM!F30)&gt;0,INDEX(Table2[[#All],[Para (Ticker Daniel)]],MATCH(Input_APM!F30,Table2[[#All],[De (Lote)]],0)),Input_APM!F30))</f>
        <v xml:space="preserve">GDX </v>
      </c>
      <c r="M30" s="214" t="str">
        <f t="shared" si="1"/>
        <v>EQTY.IntlUS.off</v>
      </c>
      <c r="N30" s="215">
        <f t="shared" si="2"/>
        <v>11499</v>
      </c>
      <c r="O30" s="215">
        <f t="shared" si="3"/>
        <v>26139</v>
      </c>
    </row>
    <row r="31" spans="5:15">
      <c r="E31" s="213" t="s">
        <v>324</v>
      </c>
      <c r="F31" s="213" t="s">
        <v>2327</v>
      </c>
      <c r="G31" s="213" t="s">
        <v>282</v>
      </c>
      <c r="H31" s="213">
        <v>1031</v>
      </c>
      <c r="I31" s="213">
        <v>0</v>
      </c>
      <c r="K31" s="214" t="str">
        <f t="shared" si="0"/>
        <v>ETF Options</v>
      </c>
      <c r="L31" s="214" t="str">
        <f>IF(E31="","",IF(COUNTIFS(Table2[[#All],[De (Lote)]],Input_APM!F31)&gt;0,INDEX(Table2[[#All],[Para (Ticker Daniel)]],MATCH(Input_APM!F31,Table2[[#All],[De (Lote)]],0)),Input_APM!F31))</f>
        <v>GDX US 09/18/26 C105</v>
      </c>
      <c r="M31" s="214" t="str">
        <f t="shared" si="1"/>
        <v>EQTY.IntlUS.off</v>
      </c>
      <c r="N31" s="215">
        <f t="shared" si="2"/>
        <v>1031</v>
      </c>
      <c r="O31" s="215">
        <f t="shared" si="3"/>
        <v>0</v>
      </c>
    </row>
    <row r="32" spans="5:15">
      <c r="E32" s="213" t="s">
        <v>324</v>
      </c>
      <c r="F32" s="213" t="s">
        <v>2328</v>
      </c>
      <c r="G32" s="213" t="s">
        <v>282</v>
      </c>
      <c r="H32" s="213">
        <v>-1031</v>
      </c>
      <c r="I32" s="213">
        <v>0</v>
      </c>
      <c r="K32" s="214" t="str">
        <f t="shared" si="0"/>
        <v>ETF Options</v>
      </c>
      <c r="L32" s="214" t="str">
        <f>IF(E32="","",IF(COUNTIFS(Table2[[#All],[De (Lote)]],Input_APM!F32)&gt;0,INDEX(Table2[[#All],[Para (Ticker Daniel)]],MATCH(Input_APM!F32,Table2[[#All],[De (Lote)]],0)),Input_APM!F32))</f>
        <v>GDX US 09/18/26 C115</v>
      </c>
      <c r="M32" s="214" t="str">
        <f t="shared" si="1"/>
        <v>EQTY.IntlUS.off</v>
      </c>
      <c r="N32" s="215">
        <f t="shared" si="2"/>
        <v>-1031</v>
      </c>
      <c r="O32" s="215">
        <f t="shared" si="3"/>
        <v>0</v>
      </c>
    </row>
    <row r="33" spans="5:15">
      <c r="E33" s="213" t="s">
        <v>317</v>
      </c>
      <c r="F33" s="213" t="s">
        <v>2175</v>
      </c>
      <c r="G33" s="213" t="s">
        <v>282</v>
      </c>
      <c r="H33" s="213">
        <v>6937</v>
      </c>
      <c r="I33" s="213">
        <v>1668</v>
      </c>
      <c r="K33" s="214" t="str">
        <f t="shared" si="0"/>
        <v>US Equity</v>
      </c>
      <c r="L33" s="214" t="str">
        <f>IF(E33="","",IF(COUNTIFS(Table2[[#All],[De (Lote)]],Input_APM!F33)&gt;0,INDEX(Table2[[#All],[Para (Ticker Daniel)]],MATCH(Input_APM!F33,Table2[[#All],[De (Lote)]],0)),Input_APM!F33))</f>
        <v>GOOG</v>
      </c>
      <c r="M33" s="214" t="str">
        <f t="shared" si="1"/>
        <v>EQTY.IntlUS.off</v>
      </c>
      <c r="N33" s="215">
        <f t="shared" si="2"/>
        <v>6937</v>
      </c>
      <c r="O33" s="215">
        <f t="shared" si="3"/>
        <v>1668</v>
      </c>
    </row>
    <row r="34" spans="5:15">
      <c r="E34" s="213" t="s">
        <v>325</v>
      </c>
      <c r="F34" s="213" t="s">
        <v>1898</v>
      </c>
      <c r="G34" s="213" t="s">
        <v>282</v>
      </c>
      <c r="H34" s="213">
        <v>276451</v>
      </c>
      <c r="I34" s="213">
        <v>276451</v>
      </c>
      <c r="K34" s="214" t="str">
        <f t="shared" si="0"/>
        <v>Basket Index Options</v>
      </c>
      <c r="L34" s="214" t="str">
        <f>IF(E34="","",IF(COUNTIFS(Table2[[#All],[De (Lote)]],Input_APM!F34)&gt;0,INDEX(Table2[[#All],[Para (Ticker Daniel)]],MATCH(Input_APM!F34,Table2[[#All],[De (Lote)]],0)),Input_APM!F34))</f>
        <v>GSC1000P 03/20/26 C104</v>
      </c>
      <c r="M34" s="214" t="str">
        <f t="shared" si="1"/>
        <v>EQTY.IntlUS.off</v>
      </c>
      <c r="N34" s="215">
        <f t="shared" si="2"/>
        <v>276451</v>
      </c>
      <c r="O34" s="215">
        <f t="shared" si="3"/>
        <v>276451</v>
      </c>
    </row>
    <row r="35" spans="5:15">
      <c r="E35" s="213" t="s">
        <v>325</v>
      </c>
      <c r="F35" s="213" t="s">
        <v>1899</v>
      </c>
      <c r="G35" s="213" t="s">
        <v>282</v>
      </c>
      <c r="H35" s="213">
        <v>-276451</v>
      </c>
      <c r="I35" s="213">
        <v>-276451</v>
      </c>
      <c r="K35" s="214" t="str">
        <f t="shared" si="0"/>
        <v>Basket Index Options</v>
      </c>
      <c r="L35" s="214" t="str">
        <f>IF(E35="","",IF(COUNTIFS(Table2[[#All],[De (Lote)]],Input_APM!F35)&gt;0,INDEX(Table2[[#All],[Para (Ticker Daniel)]],MATCH(Input_APM!F35,Table2[[#All],[De (Lote)]],0)),Input_APM!F35))</f>
        <v>GSC1000P 03/20/26 C119</v>
      </c>
      <c r="M35" s="214" t="str">
        <f t="shared" si="1"/>
        <v>EQTY.IntlUS.off</v>
      </c>
      <c r="N35" s="215">
        <f t="shared" si="2"/>
        <v>-276451</v>
      </c>
      <c r="O35" s="215">
        <f t="shared" si="3"/>
        <v>-276451</v>
      </c>
    </row>
    <row r="36" spans="5:15">
      <c r="E36" s="213" t="s">
        <v>317</v>
      </c>
      <c r="F36" s="213" t="s">
        <v>2330</v>
      </c>
      <c r="G36" s="213" t="s">
        <v>282</v>
      </c>
      <c r="H36" s="213">
        <v>-9374</v>
      </c>
      <c r="I36" s="213">
        <v>0</v>
      </c>
      <c r="K36" s="214" t="str">
        <f t="shared" si="0"/>
        <v>US Equity</v>
      </c>
      <c r="L36" s="214" t="str">
        <f>IF(E36="","",IF(COUNTIFS(Table2[[#All],[De (Lote)]],Input_APM!F36)&gt;0,INDEX(Table2[[#All],[Para (Ticker Daniel)]],MATCH(Input_APM!F36,Table2[[#All],[De (Lote)]],0)),Input_APM!F36))</f>
        <v>KHC</v>
      </c>
      <c r="M36" s="214" t="str">
        <f t="shared" si="1"/>
        <v>EQTY.IntlUS.off</v>
      </c>
      <c r="N36" s="215">
        <f t="shared" si="2"/>
        <v>-9374</v>
      </c>
      <c r="O36" s="215">
        <f t="shared" si="3"/>
        <v>0</v>
      </c>
    </row>
    <row r="37" spans="5:15">
      <c r="E37" s="213" t="s">
        <v>317</v>
      </c>
      <c r="F37" s="213" t="s">
        <v>2072</v>
      </c>
      <c r="G37" s="213" t="s">
        <v>282</v>
      </c>
      <c r="H37" s="213">
        <v>-1760</v>
      </c>
      <c r="I37" s="213">
        <v>1287</v>
      </c>
      <c r="K37" s="214" t="str">
        <f t="shared" si="0"/>
        <v>US Equity</v>
      </c>
      <c r="L37" s="214" t="str">
        <f>IF(E37="","",IF(COUNTIFS(Table2[[#All],[De (Lote)]],Input_APM!F37)&gt;0,INDEX(Table2[[#All],[Para (Ticker Daniel)]],MATCH(Input_APM!F37,Table2[[#All],[De (Lote)]],0)),Input_APM!F37))</f>
        <v>LITE</v>
      </c>
      <c r="M37" s="214" t="str">
        <f t="shared" si="1"/>
        <v>EQTY.IntlUS.off</v>
      </c>
      <c r="N37" s="215">
        <f t="shared" si="2"/>
        <v>-1760</v>
      </c>
      <c r="O37" s="215">
        <f t="shared" si="3"/>
        <v>1287</v>
      </c>
    </row>
    <row r="38" spans="5:15">
      <c r="E38" s="213" t="s">
        <v>319</v>
      </c>
      <c r="F38" s="213" t="s">
        <v>2084</v>
      </c>
      <c r="G38" s="213" t="s">
        <v>282</v>
      </c>
      <c r="H38" s="213">
        <v>84</v>
      </c>
      <c r="I38" s="213">
        <v>84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LITE US 02/20/26 C400</v>
      </c>
      <c r="M38" s="214" t="str">
        <f t="shared" si="1"/>
        <v>EQTY.IntlUS.off</v>
      </c>
      <c r="N38" s="215">
        <f t="shared" si="2"/>
        <v>84</v>
      </c>
      <c r="O38" s="215">
        <f t="shared" si="3"/>
        <v>84</v>
      </c>
    </row>
    <row r="39" spans="5:15">
      <c r="E39" s="213" t="s">
        <v>317</v>
      </c>
      <c r="F39" s="213" t="s">
        <v>326</v>
      </c>
      <c r="G39" s="213" t="s">
        <v>282</v>
      </c>
      <c r="H39" s="213">
        <v>5618</v>
      </c>
      <c r="I39" s="213">
        <v>5618</v>
      </c>
      <c r="K39" s="214" t="str">
        <f t="shared" si="0"/>
        <v>US Equity</v>
      </c>
      <c r="L39" s="214" t="str">
        <f>IF(E39="","",IF(COUNTIFS(Table2[[#All],[De (Lote)]],Input_APM!F39)&gt;0,INDEX(Table2[[#All],[Para (Ticker Daniel)]],MATCH(Input_APM!F39,Table2[[#All],[De (Lote)]],0)),Input_APM!F39))</f>
        <v>META</v>
      </c>
      <c r="M39" s="214" t="str">
        <f t="shared" si="1"/>
        <v>EQTY.IntlUS.off</v>
      </c>
      <c r="N39" s="215">
        <f t="shared" si="2"/>
        <v>5618</v>
      </c>
      <c r="O39" s="215">
        <f t="shared" si="3"/>
        <v>5618</v>
      </c>
    </row>
    <row r="40" spans="5:15">
      <c r="E40" s="213" t="s">
        <v>319</v>
      </c>
      <c r="F40" s="213" t="s">
        <v>2078</v>
      </c>
      <c r="G40" s="213" t="s">
        <v>282</v>
      </c>
      <c r="H40" s="213">
        <v>57</v>
      </c>
      <c r="I40" s="213">
        <v>57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META US 04/17/26 C690</v>
      </c>
      <c r="M40" s="214" t="str">
        <f t="shared" si="1"/>
        <v>EQTY.IntlUS.off</v>
      </c>
      <c r="N40" s="215">
        <f t="shared" si="2"/>
        <v>57</v>
      </c>
      <c r="O40" s="215">
        <f t="shared" si="3"/>
        <v>57</v>
      </c>
    </row>
    <row r="41" spans="5:15">
      <c r="E41" s="213" t="s">
        <v>319</v>
      </c>
      <c r="F41" s="213" t="s">
        <v>2124</v>
      </c>
      <c r="G41" s="213" t="s">
        <v>282</v>
      </c>
      <c r="H41" s="213">
        <v>19</v>
      </c>
      <c r="I41" s="213">
        <v>19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META US 04/17/26 P570</v>
      </c>
      <c r="M41" s="214" t="str">
        <f t="shared" si="1"/>
        <v>EQTY.IntlUS.off</v>
      </c>
      <c r="N41" s="215">
        <f t="shared" si="2"/>
        <v>19</v>
      </c>
      <c r="O41" s="215">
        <f t="shared" si="3"/>
        <v>19</v>
      </c>
    </row>
    <row r="42" spans="5:15">
      <c r="E42" s="213" t="s">
        <v>319</v>
      </c>
      <c r="F42" s="213" t="s">
        <v>2123</v>
      </c>
      <c r="G42" s="213" t="s">
        <v>282</v>
      </c>
      <c r="H42" s="213">
        <v>-19</v>
      </c>
      <c r="I42" s="213">
        <v>-19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META US 04/17/26 P600</v>
      </c>
      <c r="M42" s="214" t="str">
        <f t="shared" si="1"/>
        <v>EQTY.IntlUS.off</v>
      </c>
      <c r="N42" s="215">
        <f t="shared" si="2"/>
        <v>-19</v>
      </c>
      <c r="O42" s="215">
        <f t="shared" si="3"/>
        <v>-19</v>
      </c>
    </row>
    <row r="43" spans="5:15">
      <c r="E43" s="213" t="s">
        <v>317</v>
      </c>
      <c r="F43" s="213" t="s">
        <v>138</v>
      </c>
      <c r="G43" s="213" t="s">
        <v>282</v>
      </c>
      <c r="H43" s="213">
        <v>-1406</v>
      </c>
      <c r="I43" s="213">
        <v>0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MRVL</v>
      </c>
      <c r="M43" s="214" t="str">
        <f t="shared" si="1"/>
        <v>EQTY.IntlUS.off</v>
      </c>
      <c r="N43" s="215">
        <f t="shared" si="2"/>
        <v>-1406</v>
      </c>
      <c r="O43" s="215">
        <f t="shared" si="3"/>
        <v>0</v>
      </c>
    </row>
    <row r="44" spans="5:15">
      <c r="E44" s="213" t="s">
        <v>319</v>
      </c>
      <c r="F44" s="213" t="s">
        <v>2108</v>
      </c>
      <c r="G44" s="213" t="s">
        <v>282</v>
      </c>
      <c r="H44" s="213">
        <v>-188</v>
      </c>
      <c r="I44" s="213">
        <v>-94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MRVL US 03/20/26 P75</v>
      </c>
      <c r="M44" s="214" t="str">
        <f t="shared" si="1"/>
        <v>EQTY.IntlUS.off</v>
      </c>
      <c r="N44" s="215">
        <f t="shared" si="2"/>
        <v>-188</v>
      </c>
      <c r="O44" s="215">
        <f t="shared" si="3"/>
        <v>-94</v>
      </c>
    </row>
    <row r="45" spans="5:15">
      <c r="E45" s="213" t="s">
        <v>319</v>
      </c>
      <c r="F45" s="213" t="s">
        <v>2067</v>
      </c>
      <c r="G45" s="213" t="s">
        <v>282</v>
      </c>
      <c r="H45" s="213">
        <v>0</v>
      </c>
      <c r="I45" s="213">
        <v>-94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MRVL US 03/20/26 P80</v>
      </c>
      <c r="M45" s="214" t="str">
        <f t="shared" si="1"/>
        <v>EQTY.IntlUS.off</v>
      </c>
      <c r="N45" s="215">
        <f t="shared" si="2"/>
        <v>0</v>
      </c>
      <c r="O45" s="215">
        <f t="shared" si="3"/>
        <v>-94</v>
      </c>
    </row>
    <row r="46" spans="5:15">
      <c r="E46" s="213" t="s">
        <v>319</v>
      </c>
      <c r="F46" s="213" t="s">
        <v>2107</v>
      </c>
      <c r="G46" s="213" t="s">
        <v>282</v>
      </c>
      <c r="H46" s="213">
        <v>186</v>
      </c>
      <c r="I46" s="213">
        <v>186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MRVL US 03/20/26 P85</v>
      </c>
      <c r="M46" s="214" t="str">
        <f t="shared" si="1"/>
        <v>EQTY.IntlUS.off</v>
      </c>
      <c r="N46" s="215">
        <f t="shared" si="2"/>
        <v>186</v>
      </c>
      <c r="O46" s="215">
        <f t="shared" si="3"/>
        <v>186</v>
      </c>
    </row>
    <row r="47" spans="5:15">
      <c r="E47" s="213" t="s">
        <v>317</v>
      </c>
      <c r="F47" s="213" t="s">
        <v>90</v>
      </c>
      <c r="G47" s="213" t="s">
        <v>282</v>
      </c>
      <c r="H47" s="213">
        <v>4310</v>
      </c>
      <c r="I47" s="213">
        <v>7966</v>
      </c>
      <c r="K47" s="214" t="str">
        <f t="shared" si="0"/>
        <v>US Equity</v>
      </c>
      <c r="L47" s="214" t="str">
        <f>IF(E47="","",IF(COUNTIFS(Table2[[#All],[De (Lote)]],Input_APM!F47)&gt;0,INDEX(Table2[[#All],[Para (Ticker Daniel)]],MATCH(Input_APM!F47,Table2[[#All],[De (Lote)]],0)),Input_APM!F47))</f>
        <v>MSFT</v>
      </c>
      <c r="M47" s="214" t="str">
        <f t="shared" si="1"/>
        <v>EQTY.IntlUS.off</v>
      </c>
      <c r="N47" s="215">
        <f t="shared" si="2"/>
        <v>4310</v>
      </c>
      <c r="O47" s="215">
        <f t="shared" si="3"/>
        <v>7966</v>
      </c>
    </row>
    <row r="48" spans="5:15">
      <c r="E48" s="213" t="s">
        <v>319</v>
      </c>
      <c r="F48" s="213" t="s">
        <v>2057</v>
      </c>
      <c r="G48" s="213" t="s">
        <v>282</v>
      </c>
      <c r="H48" s="213">
        <v>118</v>
      </c>
      <c r="I48" s="213">
        <v>118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MSFT US 03/20/26 C490</v>
      </c>
      <c r="M48" s="214" t="str">
        <f t="shared" si="1"/>
        <v>EQTY.IntlUS.off</v>
      </c>
      <c r="N48" s="215">
        <f t="shared" si="2"/>
        <v>118</v>
      </c>
      <c r="O48" s="215">
        <f t="shared" si="3"/>
        <v>118</v>
      </c>
    </row>
    <row r="49" spans="5:15">
      <c r="E49" s="213" t="s">
        <v>319</v>
      </c>
      <c r="F49" s="213" t="s">
        <v>2058</v>
      </c>
      <c r="G49" s="213" t="s">
        <v>282</v>
      </c>
      <c r="H49" s="213">
        <v>-46</v>
      </c>
      <c r="I49" s="213">
        <v>-46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MSFT US 03/20/26 P465</v>
      </c>
      <c r="M49" s="214" t="str">
        <f t="shared" si="1"/>
        <v>EQTY.IntlUS.off</v>
      </c>
      <c r="N49" s="215">
        <f t="shared" si="2"/>
        <v>-46</v>
      </c>
      <c r="O49" s="215">
        <f t="shared" si="3"/>
        <v>-46</v>
      </c>
    </row>
    <row r="50" spans="5:15">
      <c r="E50" s="213" t="s">
        <v>317</v>
      </c>
      <c r="F50" s="213" t="s">
        <v>2074</v>
      </c>
      <c r="G50" s="213" t="s">
        <v>282</v>
      </c>
      <c r="H50" s="213">
        <v>0</v>
      </c>
      <c r="I50" s="213">
        <v>0</v>
      </c>
      <c r="K50" s="214" t="str">
        <f t="shared" si="0"/>
        <v>US Equity</v>
      </c>
      <c r="L50" s="214" t="str">
        <f>IF(E50="","",IF(COUNTIFS(Table2[[#All],[De (Lote)]],Input_APM!F50)&gt;0,INDEX(Table2[[#All],[Para (Ticker Daniel)]],MATCH(Input_APM!F50,Table2[[#All],[De (Lote)]],0)),Input_APM!F50))</f>
        <v>NFLX</v>
      </c>
      <c r="M50" s="214" t="str">
        <f t="shared" si="1"/>
        <v>EQTY.IntlUS.off</v>
      </c>
      <c r="N50" s="215">
        <f t="shared" si="2"/>
        <v>0</v>
      </c>
      <c r="O50" s="215">
        <f t="shared" si="3"/>
        <v>0</v>
      </c>
    </row>
    <row r="51" spans="5:15">
      <c r="E51" s="213" t="s">
        <v>319</v>
      </c>
      <c r="F51" s="213" t="s">
        <v>2101</v>
      </c>
      <c r="G51" s="213" t="s">
        <v>282</v>
      </c>
      <c r="H51" s="213">
        <v>0</v>
      </c>
      <c r="I51" s="213">
        <v>-161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NFLX US 03/20/26 C104</v>
      </c>
      <c r="M51" s="214" t="str">
        <f t="shared" si="1"/>
        <v>EQTY.IntlUS.off</v>
      </c>
      <c r="N51" s="215">
        <f t="shared" si="2"/>
        <v>0</v>
      </c>
      <c r="O51" s="215">
        <f t="shared" si="3"/>
        <v>-161</v>
      </c>
    </row>
    <row r="52" spans="5:15">
      <c r="E52" s="213" t="s">
        <v>319</v>
      </c>
      <c r="F52" s="213" t="s">
        <v>2102</v>
      </c>
      <c r="G52" s="213" t="s">
        <v>282</v>
      </c>
      <c r="H52" s="213">
        <v>0</v>
      </c>
      <c r="I52" s="213">
        <v>-239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NFLX US 03/20/26 P83</v>
      </c>
      <c r="M52" s="214" t="str">
        <f t="shared" si="1"/>
        <v>EQTY.IntlUS.off</v>
      </c>
      <c r="N52" s="215">
        <f t="shared" si="2"/>
        <v>0</v>
      </c>
      <c r="O52" s="215">
        <f t="shared" si="3"/>
        <v>-239</v>
      </c>
    </row>
    <row r="53" spans="5:15">
      <c r="E53" s="213" t="s">
        <v>319</v>
      </c>
      <c r="F53" s="213" t="s">
        <v>2100</v>
      </c>
      <c r="G53" s="213" t="s">
        <v>282</v>
      </c>
      <c r="H53" s="213">
        <v>0</v>
      </c>
      <c r="I53" s="213">
        <v>159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NFLX US 03/20/26 P92</v>
      </c>
      <c r="M53" s="214" t="str">
        <f t="shared" si="1"/>
        <v>EQTY.IntlUS.off</v>
      </c>
      <c r="N53" s="215">
        <f t="shared" si="2"/>
        <v>0</v>
      </c>
      <c r="O53" s="215">
        <f t="shared" si="3"/>
        <v>159</v>
      </c>
    </row>
    <row r="54" spans="5:15">
      <c r="E54" s="213" t="s">
        <v>317</v>
      </c>
      <c r="F54" s="213" t="s">
        <v>94</v>
      </c>
      <c r="G54" s="213" t="s">
        <v>282</v>
      </c>
      <c r="H54" s="213">
        <v>23756</v>
      </c>
      <c r="I54" s="213">
        <v>23756</v>
      </c>
      <c r="K54" s="214" t="str">
        <f t="shared" si="0"/>
        <v>US Equity</v>
      </c>
      <c r="L54" s="214" t="str">
        <f>IF(E54="","",IF(COUNTIFS(Table2[[#All],[De (Lote)]],Input_APM!F54)&gt;0,INDEX(Table2[[#All],[Para (Ticker Daniel)]],MATCH(Input_APM!F54,Table2[[#All],[De (Lote)]],0)),Input_APM!F54))</f>
        <v>NVDA</v>
      </c>
      <c r="M54" s="214" t="str">
        <f t="shared" si="1"/>
        <v>EQTY.IntlUS.off</v>
      </c>
      <c r="N54" s="215">
        <f t="shared" si="2"/>
        <v>23756</v>
      </c>
      <c r="O54" s="215">
        <f t="shared" si="3"/>
        <v>23756</v>
      </c>
    </row>
    <row r="55" spans="5:15">
      <c r="E55" s="213" t="s">
        <v>318</v>
      </c>
      <c r="F55" s="213" t="s">
        <v>336</v>
      </c>
      <c r="G55" s="213" t="s">
        <v>282</v>
      </c>
      <c r="H55" s="213">
        <v>0</v>
      </c>
      <c r="I55" s="213">
        <v>8940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ETF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8940</v>
      </c>
    </row>
    <row r="56" spans="5:15">
      <c r="E56" s="213" t="s">
        <v>318</v>
      </c>
      <c r="F56" s="213" t="s">
        <v>306</v>
      </c>
      <c r="G56" s="213" t="s">
        <v>282</v>
      </c>
      <c r="H56" s="213">
        <v>0</v>
      </c>
      <c r="I56" s="213">
        <v>-1338072.8799999999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ETF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-1338072.8799999999</v>
      </c>
    </row>
    <row r="57" spans="5:15">
      <c r="E57" s="213" t="s">
        <v>318</v>
      </c>
      <c r="F57" s="213" t="s">
        <v>2339</v>
      </c>
      <c r="G57" s="213" t="s">
        <v>282</v>
      </c>
      <c r="H57" s="213">
        <v>-423024.75</v>
      </c>
      <c r="I57" s="213">
        <v>-423024.75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EUR Equity EUR_</v>
      </c>
      <c r="M57" s="214" t="str">
        <f t="shared" si="1"/>
        <v>EQTY.IntlUS.off</v>
      </c>
      <c r="N57" s="215">
        <f t="shared" si="2"/>
        <v>-423024.75</v>
      </c>
      <c r="O57" s="215">
        <f t="shared" si="3"/>
        <v>-423024.75</v>
      </c>
    </row>
    <row r="58" spans="5:15">
      <c r="E58" s="213" t="s">
        <v>318</v>
      </c>
      <c r="F58" s="213" t="s">
        <v>1666</v>
      </c>
      <c r="G58" s="213" t="s">
        <v>282</v>
      </c>
      <c r="H58" s="213">
        <v>0</v>
      </c>
      <c r="I58" s="213">
        <v>3149000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NYSE USD_</v>
      </c>
      <c r="M58" s="214" t="str">
        <f t="shared" si="1"/>
        <v>EQTY.IntlUS.off</v>
      </c>
      <c r="N58" s="215">
        <f t="shared" si="2"/>
        <v>0</v>
      </c>
      <c r="O58" s="215">
        <f t="shared" si="3"/>
        <v>3149000</v>
      </c>
    </row>
    <row r="59" spans="5:15">
      <c r="E59" s="213" t="s">
        <v>318</v>
      </c>
      <c r="F59" s="213" t="s">
        <v>2340</v>
      </c>
      <c r="G59" s="213" t="s">
        <v>282</v>
      </c>
      <c r="H59" s="213">
        <v>24971.56</v>
      </c>
      <c r="I59" s="213">
        <v>24971.56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Total Return Swap USD_</v>
      </c>
      <c r="M59" s="214" t="str">
        <f t="shared" si="1"/>
        <v>EQTY.IntlUS.off</v>
      </c>
      <c r="N59" s="215">
        <f t="shared" si="2"/>
        <v>24971.56</v>
      </c>
      <c r="O59" s="215">
        <f t="shared" si="3"/>
        <v>24971.56</v>
      </c>
    </row>
    <row r="60" spans="5:15">
      <c r="E60" s="213" t="s">
        <v>318</v>
      </c>
      <c r="F60" s="213" t="s">
        <v>337</v>
      </c>
      <c r="G60" s="213" t="s">
        <v>282</v>
      </c>
      <c r="H60" s="213">
        <v>0</v>
      </c>
      <c r="I60" s="213">
        <v>-22752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US Equity Options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-22752</v>
      </c>
    </row>
    <row r="61" spans="5:15">
      <c r="E61" s="213" t="s">
        <v>318</v>
      </c>
      <c r="F61" s="213" t="s">
        <v>307</v>
      </c>
      <c r="G61" s="213" t="s">
        <v>282</v>
      </c>
      <c r="H61" s="225">
        <v>-8.7311491370201098E-11</v>
      </c>
      <c r="I61" s="213">
        <v>-163218.41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US Equity USD_</v>
      </c>
      <c r="M61" s="214" t="str">
        <f t="shared" si="1"/>
        <v>EQTY.IntlUS.off</v>
      </c>
      <c r="N61" s="215">
        <f t="shared" si="2"/>
        <v>-8.7311491370201098E-11</v>
      </c>
      <c r="O61" s="215">
        <f t="shared" si="3"/>
        <v>-163218.41</v>
      </c>
    </row>
    <row r="62" spans="5:15">
      <c r="E62" s="213" t="s">
        <v>320</v>
      </c>
      <c r="F62" s="213" t="s">
        <v>135</v>
      </c>
      <c r="G62" s="213" t="s">
        <v>282</v>
      </c>
      <c r="H62" s="213">
        <v>0</v>
      </c>
      <c r="I62" s="213">
        <v>31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QQQ</v>
      </c>
      <c r="M62" s="214" t="str">
        <f t="shared" si="1"/>
        <v>EQTY.IntlUS.off</v>
      </c>
      <c r="N62" s="215">
        <f t="shared" si="2"/>
        <v>0</v>
      </c>
      <c r="O62" s="215">
        <f t="shared" si="3"/>
        <v>31</v>
      </c>
    </row>
    <row r="63" spans="5:15">
      <c r="E63" s="213" t="s">
        <v>320</v>
      </c>
      <c r="F63" s="213" t="s">
        <v>143</v>
      </c>
      <c r="G63" s="213" t="s">
        <v>282</v>
      </c>
      <c r="H63" s="213">
        <v>0</v>
      </c>
      <c r="I63" s="213">
        <v>-9259</v>
      </c>
      <c r="K63" s="214" t="str">
        <f t="shared" si="0"/>
        <v>ETF</v>
      </c>
      <c r="L63" s="214" t="str">
        <f>IF(E63="","",IF(COUNTIFS(Table2[[#All],[De (Lote)]],Input_APM!F63)&gt;0,INDEX(Table2[[#All],[Para (Ticker Daniel)]],MATCH(Input_APM!F63,Table2[[#All],[De (Lote)]],0)),Input_APM!F63))</f>
        <v>QQQE</v>
      </c>
      <c r="M63" s="214" t="str">
        <f t="shared" si="1"/>
        <v>EQTY.IntlUS.off</v>
      </c>
      <c r="N63" s="215">
        <f t="shared" si="2"/>
        <v>0</v>
      </c>
      <c r="O63" s="215">
        <f t="shared" si="3"/>
        <v>-9259</v>
      </c>
    </row>
    <row r="64" spans="5:15">
      <c r="E64" s="213" t="s">
        <v>317</v>
      </c>
      <c r="F64" s="213" t="s">
        <v>2150</v>
      </c>
      <c r="G64" s="213" t="s">
        <v>282</v>
      </c>
      <c r="H64" s="213">
        <v>20567</v>
      </c>
      <c r="I64" s="213">
        <v>20567</v>
      </c>
      <c r="K64" s="214" t="str">
        <f t="shared" si="0"/>
        <v>US Equity</v>
      </c>
      <c r="L64" s="214" t="str">
        <f>IF(E64="","",IF(COUNTIFS(Table2[[#All],[De (Lote)]],Input_APM!F64)&gt;0,INDEX(Table2[[#All],[Para (Ticker Daniel)]],MATCH(Input_APM!F64,Table2[[#All],[De (Lote)]],0)),Input_APM!F64))</f>
        <v>RIOT</v>
      </c>
      <c r="M64" s="214" t="str">
        <f t="shared" si="1"/>
        <v>EQTY.IntlUS.off</v>
      </c>
      <c r="N64" s="215">
        <f t="shared" si="2"/>
        <v>20567</v>
      </c>
      <c r="O64" s="215">
        <f t="shared" si="3"/>
        <v>20567</v>
      </c>
    </row>
    <row r="65" spans="5:15">
      <c r="E65" s="213" t="s">
        <v>320</v>
      </c>
      <c r="F65" s="213" t="s">
        <v>3</v>
      </c>
      <c r="G65" s="213" t="s">
        <v>282</v>
      </c>
      <c r="H65" s="213">
        <v>0</v>
      </c>
      <c r="I65" s="213">
        <v>-9343</v>
      </c>
      <c r="K65" s="214" t="str">
        <f t="shared" si="0"/>
        <v>ETF</v>
      </c>
      <c r="L65" s="214" t="str">
        <f>IF(E65="","",IF(COUNTIFS(Table2[[#All],[De (Lote)]],Input_APM!F65)&gt;0,INDEX(Table2[[#All],[Para (Ticker Daniel)]],MATCH(Input_APM!F65,Table2[[#All],[De (Lote)]],0)),Input_APM!F65))</f>
        <v>RSP</v>
      </c>
      <c r="M65" s="214" t="str">
        <f t="shared" si="1"/>
        <v>EQTY.IntlUS.off</v>
      </c>
      <c r="N65" s="215">
        <f t="shared" si="2"/>
        <v>0</v>
      </c>
      <c r="O65" s="215">
        <f t="shared" si="3"/>
        <v>-9343</v>
      </c>
    </row>
    <row r="66" spans="5:15">
      <c r="E66" s="213" t="s">
        <v>318</v>
      </c>
      <c r="F66" s="213" t="s">
        <v>2142</v>
      </c>
      <c r="G66" s="213" t="s">
        <v>283</v>
      </c>
      <c r="H66" s="213">
        <v>-0.01</v>
      </c>
      <c r="I66" s="213">
        <v>-0.01</v>
      </c>
      <c r="K66" s="214" t="str">
        <f t="shared" si="0"/>
        <v>Provisions and Costs</v>
      </c>
      <c r="L66" s="214" t="str">
        <f>IF(E66="","",IF(COUNTIFS(Table2[[#All],[De (Lote)]],Input_APM!F66)&gt;0,INDEX(Table2[[#All],[Para (Ticker Daniel)]],MATCH(Input_APM!F66,Table2[[#All],[De (Lote)]],0)),Input_APM!F66))</f>
        <v>SPY DIVIDEND_</v>
      </c>
      <c r="M66" s="214" t="str">
        <f t="shared" si="1"/>
        <v>EQTY.InternacionalUS2.off</v>
      </c>
      <c r="N66" s="215">
        <f t="shared" si="2"/>
        <v>-0.01</v>
      </c>
      <c r="O66" s="215">
        <f t="shared" si="3"/>
        <v>-0.01</v>
      </c>
    </row>
    <row r="67" spans="5:15">
      <c r="E67" s="213" t="s">
        <v>318</v>
      </c>
      <c r="F67" s="213" t="s">
        <v>2142</v>
      </c>
      <c r="G67" s="213" t="s">
        <v>282</v>
      </c>
      <c r="H67" s="213">
        <v>0.01</v>
      </c>
      <c r="I67" s="213">
        <v>0.01</v>
      </c>
      <c r="K67" s="214" t="str">
        <f t="shared" ref="K67:K130" si="4">IF(E67="","",E67)</f>
        <v>Provisions and Costs</v>
      </c>
      <c r="L67" s="214" t="str">
        <f>IF(E67="","",IF(COUNTIFS(Table2[[#All],[De (Lote)]],Input_APM!F67)&gt;0,INDEX(Table2[[#All],[Para (Ticker Daniel)]],MATCH(Input_APM!F67,Table2[[#All],[De (Lote)]],0)),Input_APM!F67))</f>
        <v>SPY DIVIDEND_</v>
      </c>
      <c r="M67" s="214" t="str">
        <f t="shared" ref="M67:M130" si="5">IF(E67="","",G67)</f>
        <v>EQTY.IntlUS.off</v>
      </c>
      <c r="N67" s="215">
        <f t="shared" ref="N67:N130" si="6">IF(E67="","",H67)</f>
        <v>0.01</v>
      </c>
      <c r="O67" s="215">
        <f t="shared" ref="O67:O130" si="7">IF(E67="","",I67)</f>
        <v>0.01</v>
      </c>
    </row>
    <row r="68" spans="5:15">
      <c r="E68" s="213" t="s">
        <v>2152</v>
      </c>
      <c r="F68" s="213" t="s">
        <v>2153</v>
      </c>
      <c r="G68" s="213" t="s">
        <v>282</v>
      </c>
      <c r="H68" s="213">
        <v>1400</v>
      </c>
      <c r="I68" s="213">
        <v>1400</v>
      </c>
      <c r="K68" s="214" t="str">
        <f t="shared" si="4"/>
        <v>Equity Total Return Swap</v>
      </c>
      <c r="L68" s="214" t="str">
        <f>IF(E68="","",IF(COUNTIFS(Table2[[#All],[De (Lote)]],Input_APM!F68)&gt;0,INDEX(Table2[[#All],[Para (Ticker Daniel)]],MATCH(Input_APM!F68,Table2[[#All],[De (Lote)]],0)),Input_APM!F68))</f>
        <v>000660 KS</v>
      </c>
      <c r="M68" s="214" t="str">
        <f t="shared" si="5"/>
        <v>EQTY.IntlUS.off</v>
      </c>
      <c r="N68" s="215">
        <f t="shared" si="6"/>
        <v>1400</v>
      </c>
      <c r="O68" s="215">
        <f t="shared" si="7"/>
        <v>1400</v>
      </c>
    </row>
    <row r="69" spans="5:15">
      <c r="E69" s="213" t="s">
        <v>639</v>
      </c>
      <c r="F69" s="213" t="s">
        <v>2325</v>
      </c>
      <c r="G69" s="213" t="s">
        <v>282</v>
      </c>
      <c r="H69" s="213">
        <v>-14</v>
      </c>
      <c r="I69" s="213">
        <v>-23</v>
      </c>
      <c r="K69" s="214" t="str">
        <f t="shared" si="4"/>
        <v>Total Return Swap</v>
      </c>
      <c r="L69" s="214" t="str">
        <f>IF(E69="","",IF(COUNTIFS(Table2[[#All],[De (Lote)]],Input_APM!F69)&gt;0,INDEX(Table2[[#All],[Para (Ticker Daniel)]],MATCH(Input_APM!F69,Table2[[#All],[De (Lote)]],0)),Input_APM!F69))</f>
        <v>SWAP KMH6 21JAN2026 16MAR2026 0.483389265383573</v>
      </c>
      <c r="M69" s="214" t="str">
        <f t="shared" si="5"/>
        <v>EQTY.IntlUS.off</v>
      </c>
      <c r="N69" s="215">
        <f t="shared" si="6"/>
        <v>-14</v>
      </c>
      <c r="O69" s="215">
        <f t="shared" si="7"/>
        <v>-23</v>
      </c>
    </row>
    <row r="70" spans="5:15">
      <c r="E70" s="213" t="s">
        <v>39</v>
      </c>
      <c r="F70" s="213" t="s">
        <v>96</v>
      </c>
      <c r="G70" s="213" t="s">
        <v>282</v>
      </c>
      <c r="H70" s="213">
        <v>8403</v>
      </c>
      <c r="I70" s="213">
        <v>4185</v>
      </c>
      <c r="K70" s="214" t="str">
        <f t="shared" si="4"/>
        <v>ADR</v>
      </c>
      <c r="L70" s="214" t="str">
        <f>IF(E70="","",IF(COUNTIFS(Table2[[#All],[De (Lote)]],Input_APM!F70)&gt;0,INDEX(Table2[[#All],[Para (Ticker Daniel)]],MATCH(Input_APM!F70,Table2[[#All],[De (Lote)]],0)),Input_APM!F70))</f>
        <v>TSM</v>
      </c>
      <c r="M70" s="214" t="str">
        <f t="shared" si="5"/>
        <v>EQTY.IntlUS.off</v>
      </c>
      <c r="N70" s="215">
        <f t="shared" si="6"/>
        <v>8403</v>
      </c>
      <c r="O70" s="215">
        <f t="shared" si="7"/>
        <v>4185</v>
      </c>
    </row>
    <row r="71" spans="5:15">
      <c r="E71" s="213" t="s">
        <v>327</v>
      </c>
      <c r="F71" s="213" t="s">
        <v>2109</v>
      </c>
      <c r="G71" s="213" t="s">
        <v>282</v>
      </c>
      <c r="H71" s="213">
        <v>45</v>
      </c>
      <c r="I71" s="213">
        <v>45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C300</v>
      </c>
      <c r="M71" s="214" t="str">
        <f t="shared" si="5"/>
        <v>EQTY.IntlUS.off</v>
      </c>
      <c r="N71" s="215">
        <f t="shared" si="6"/>
        <v>45</v>
      </c>
      <c r="O71" s="215">
        <f t="shared" si="7"/>
        <v>45</v>
      </c>
    </row>
    <row r="72" spans="5:15">
      <c r="E72" s="213" t="s">
        <v>327</v>
      </c>
      <c r="F72" s="213" t="s">
        <v>2268</v>
      </c>
      <c r="G72" s="213" t="s">
        <v>282</v>
      </c>
      <c r="H72" s="213">
        <v>891</v>
      </c>
      <c r="I72" s="213">
        <v>891</v>
      </c>
      <c r="K72" s="214" t="str">
        <f t="shared" si="4"/>
        <v>ADR Options</v>
      </c>
      <c r="L72" s="214" t="str">
        <f>IF(E72="","",IF(COUNTIFS(Table2[[#All],[De (Lote)]],Input_APM!F72)&gt;0,INDEX(Table2[[#All],[Para (Ticker Daniel)]],MATCH(Input_APM!F72,Table2[[#All],[De (Lote)]],0)),Input_APM!F72))</f>
        <v>TSM US 06/18/26 C340</v>
      </c>
      <c r="M72" s="214" t="str">
        <f t="shared" si="5"/>
        <v>EQTY.IntlUS.off</v>
      </c>
      <c r="N72" s="215">
        <f t="shared" si="6"/>
        <v>891</v>
      </c>
      <c r="O72" s="215">
        <f t="shared" si="7"/>
        <v>891</v>
      </c>
    </row>
    <row r="73" spans="5:15">
      <c r="E73" s="213" t="s">
        <v>327</v>
      </c>
      <c r="F73" s="213" t="s">
        <v>2269</v>
      </c>
      <c r="G73" s="213" t="s">
        <v>282</v>
      </c>
      <c r="H73" s="213">
        <v>-844</v>
      </c>
      <c r="I73" s="213">
        <v>-891</v>
      </c>
      <c r="K73" s="214" t="str">
        <f t="shared" si="4"/>
        <v>ADR Options</v>
      </c>
      <c r="L73" s="214" t="str">
        <f>IF(E73="","",IF(COUNTIFS(Table2[[#All],[De (Lote)]],Input_APM!F73)&gt;0,INDEX(Table2[[#All],[Para (Ticker Daniel)]],MATCH(Input_APM!F73,Table2[[#All],[De (Lote)]],0)),Input_APM!F73))</f>
        <v>TSM US 06/18/26 C380</v>
      </c>
      <c r="M73" s="214" t="str">
        <f t="shared" si="5"/>
        <v>EQTY.IntlUS.off</v>
      </c>
      <c r="N73" s="215">
        <f t="shared" si="6"/>
        <v>-844</v>
      </c>
      <c r="O73" s="215">
        <f t="shared" si="7"/>
        <v>-891</v>
      </c>
    </row>
    <row r="74" spans="5:15">
      <c r="E74" s="213" t="s">
        <v>320</v>
      </c>
      <c r="F74" s="213" t="s">
        <v>88</v>
      </c>
      <c r="G74" s="213" t="s">
        <v>282</v>
      </c>
      <c r="H74" s="213">
        <v>38694</v>
      </c>
      <c r="I74" s="213">
        <v>38694</v>
      </c>
      <c r="K74" s="214" t="str">
        <f t="shared" si="4"/>
        <v>ETF</v>
      </c>
      <c r="L74" s="214" t="str">
        <f>IF(E74="","",IF(COUNTIFS(Table2[[#All],[De (Lote)]],Input_APM!F74)&gt;0,INDEX(Table2[[#All],[Para (Ticker Daniel)]],MATCH(Input_APM!F74,Table2[[#All],[De (Lote)]],0)),Input_APM!F74))</f>
        <v>XLF</v>
      </c>
      <c r="M74" s="214" t="str">
        <f t="shared" si="5"/>
        <v>EQTY.IntlUS.off</v>
      </c>
      <c r="N74" s="215">
        <f t="shared" si="6"/>
        <v>38694</v>
      </c>
      <c r="O74" s="215">
        <f t="shared" si="7"/>
        <v>38694</v>
      </c>
    </row>
    <row r="75" spans="5:15">
      <c r="E75" s="213" t="s">
        <v>320</v>
      </c>
      <c r="F75" s="213" t="s">
        <v>4</v>
      </c>
      <c r="G75" s="213" t="s">
        <v>282</v>
      </c>
      <c r="H75" s="213">
        <v>-25765</v>
      </c>
      <c r="I75" s="213">
        <v>-25765</v>
      </c>
      <c r="K75" s="214" t="str">
        <f t="shared" si="4"/>
        <v>ETF</v>
      </c>
      <c r="L75" s="214" t="str">
        <f>IF(E75="","",IF(COUNTIFS(Table2[[#All],[De (Lote)]],Input_APM!F75)&gt;0,INDEX(Table2[[#All],[Para (Ticker Daniel)]],MATCH(Input_APM!F75,Table2[[#All],[De (Lote)]],0)),Input_APM!F75))</f>
        <v>XLP</v>
      </c>
      <c r="M75" s="214" t="str">
        <f t="shared" si="5"/>
        <v>EQTY.IntlUS.off</v>
      </c>
      <c r="N75" s="215">
        <f t="shared" si="6"/>
        <v>-25765</v>
      </c>
      <c r="O75" s="215">
        <f t="shared" si="7"/>
        <v>-25765</v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52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30.5703125" style="213" bestFit="1" customWidth="1"/>
    <col min="12" max="12" width="48" style="213" bestFit="1" customWidth="1"/>
    <col min="13" max="13" width="24" style="213" bestFit="1" customWidth="1"/>
    <col min="14" max="14" width="9.8554687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2337</v>
      </c>
      <c r="F2" s="213" t="s">
        <v>2322</v>
      </c>
      <c r="G2" s="213" t="s">
        <v>282</v>
      </c>
      <c r="H2" s="213">
        <v>3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14" t="str">
        <f>IF(E2="","",G2)</f>
        <v>EQTY.IntlUS.off</v>
      </c>
      <c r="N2" s="215">
        <f>IF(E2="","",H2)</f>
        <v>3</v>
      </c>
      <c r="O2" s="215">
        <f>IF(E2="","",I2)</f>
        <v>0</v>
      </c>
    </row>
    <row r="3" spans="5:15">
      <c r="E3" s="213" t="s">
        <v>317</v>
      </c>
      <c r="F3" s="213" t="s">
        <v>2296</v>
      </c>
      <c r="G3" s="213" t="s">
        <v>282</v>
      </c>
      <c r="H3" s="213">
        <v>0</v>
      </c>
      <c r="I3" s="213">
        <v>133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AMAT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133</v>
      </c>
    </row>
    <row r="4" spans="5:15">
      <c r="E4" s="213" t="s">
        <v>319</v>
      </c>
      <c r="F4" s="213" t="s">
        <v>2294</v>
      </c>
      <c r="G4" s="213" t="s">
        <v>282</v>
      </c>
      <c r="H4" s="213">
        <v>-2</v>
      </c>
      <c r="I4" s="213">
        <v>-8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P280</v>
      </c>
      <c r="M4" s="214" t="str">
        <f t="shared" si="1"/>
        <v>EQTY.IntlUS.off</v>
      </c>
      <c r="N4" s="215">
        <f t="shared" si="2"/>
        <v>-2</v>
      </c>
      <c r="O4" s="215">
        <f t="shared" si="3"/>
        <v>-8</v>
      </c>
    </row>
    <row r="5" spans="5:15">
      <c r="E5" s="213" t="s">
        <v>319</v>
      </c>
      <c r="F5" s="213" t="s">
        <v>2295</v>
      </c>
      <c r="G5" s="213" t="s">
        <v>282</v>
      </c>
      <c r="H5" s="213">
        <v>8</v>
      </c>
      <c r="I5" s="213">
        <v>8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AMAT US 01/23/26 P290</v>
      </c>
      <c r="M5" s="214" t="str">
        <f t="shared" si="1"/>
        <v>EQTY.IntlUS.off</v>
      </c>
      <c r="N5" s="215">
        <f t="shared" si="2"/>
        <v>8</v>
      </c>
      <c r="O5" s="215">
        <f t="shared" si="3"/>
        <v>8</v>
      </c>
    </row>
    <row r="6" spans="5:15">
      <c r="E6" s="213" t="s">
        <v>317</v>
      </c>
      <c r="F6" s="213" t="s">
        <v>399</v>
      </c>
      <c r="G6" s="213" t="s">
        <v>282</v>
      </c>
      <c r="H6" s="213">
        <v>726</v>
      </c>
      <c r="I6" s="213">
        <v>1039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726</v>
      </c>
      <c r="O6" s="215">
        <f t="shared" si="3"/>
        <v>1039</v>
      </c>
    </row>
    <row r="7" spans="5:15">
      <c r="E7" s="213" t="s">
        <v>324</v>
      </c>
      <c r="F7" s="213" t="s">
        <v>2267</v>
      </c>
      <c r="G7" s="213" t="s">
        <v>282</v>
      </c>
      <c r="H7" s="213">
        <v>95</v>
      </c>
      <c r="I7" s="213">
        <v>95</v>
      </c>
      <c r="K7" s="214" t="str">
        <f t="shared" si="0"/>
        <v>ETF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ASHR US 02/20/26 C35</v>
      </c>
      <c r="M7" s="214" t="str">
        <f t="shared" si="1"/>
        <v>EQTY.IntlUS.off</v>
      </c>
      <c r="N7" s="215">
        <f t="shared" si="2"/>
        <v>95</v>
      </c>
      <c r="O7" s="215">
        <f t="shared" si="3"/>
        <v>95</v>
      </c>
    </row>
    <row r="8" spans="5:15">
      <c r="E8" s="213" t="s">
        <v>439</v>
      </c>
      <c r="F8" s="213" t="s">
        <v>2323</v>
      </c>
      <c r="G8" s="213" t="s">
        <v>282</v>
      </c>
      <c r="H8" s="213">
        <v>0</v>
      </c>
      <c r="I8" s="213">
        <v>25</v>
      </c>
      <c r="K8" s="214" t="str">
        <f t="shared" si="0"/>
        <v>EUR Equity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ASML NA</v>
      </c>
      <c r="M8" s="214" t="str">
        <f t="shared" si="1"/>
        <v>EQTY.IntlUS.off</v>
      </c>
      <c r="N8" s="215">
        <f t="shared" si="2"/>
        <v>0</v>
      </c>
      <c r="O8" s="215">
        <f t="shared" si="3"/>
        <v>25</v>
      </c>
    </row>
    <row r="9" spans="5:15">
      <c r="E9" s="213" t="s">
        <v>317</v>
      </c>
      <c r="F9" s="213" t="s">
        <v>137</v>
      </c>
      <c r="G9" s="213" t="s">
        <v>282</v>
      </c>
      <c r="H9" s="213">
        <v>596</v>
      </c>
      <c r="I9" s="213">
        <v>596</v>
      </c>
      <c r="K9" s="214" t="str">
        <f t="shared" si="0"/>
        <v>US Equity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</v>
      </c>
      <c r="M9" s="214" t="str">
        <f t="shared" si="1"/>
        <v>EQTY.IntlUS.off</v>
      </c>
      <c r="N9" s="215">
        <f t="shared" si="2"/>
        <v>596</v>
      </c>
      <c r="O9" s="215">
        <f t="shared" si="3"/>
        <v>596</v>
      </c>
    </row>
    <row r="10" spans="5:15">
      <c r="E10" s="213" t="s">
        <v>319</v>
      </c>
      <c r="F10" s="213" t="s">
        <v>2120</v>
      </c>
      <c r="G10" s="213" t="s">
        <v>282</v>
      </c>
      <c r="H10" s="213">
        <v>2</v>
      </c>
      <c r="I10" s="213">
        <v>2</v>
      </c>
      <c r="K10" s="214" t="str">
        <f t="shared" si="0"/>
        <v>US Equity Options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AVGO US 06/18/26 C350</v>
      </c>
      <c r="M10" s="214" t="str">
        <f t="shared" si="1"/>
        <v>EQTY.IntlUS.off</v>
      </c>
      <c r="N10" s="215">
        <f t="shared" si="2"/>
        <v>2</v>
      </c>
      <c r="O10" s="215">
        <f t="shared" si="3"/>
        <v>2</v>
      </c>
    </row>
    <row r="11" spans="5:15">
      <c r="E11" s="213" t="s">
        <v>319</v>
      </c>
      <c r="F11" s="213" t="s">
        <v>2122</v>
      </c>
      <c r="G11" s="213" t="s">
        <v>282</v>
      </c>
      <c r="H11" s="213">
        <v>-1</v>
      </c>
      <c r="I11" s="213">
        <v>-2</v>
      </c>
      <c r="K11" s="214" t="str">
        <f t="shared" si="0"/>
        <v>US Equity Options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AVGO US 06/18/26 C410</v>
      </c>
      <c r="M11" s="214" t="str">
        <f t="shared" si="1"/>
        <v>EQTY.IntlUS.off</v>
      </c>
      <c r="N11" s="215">
        <f t="shared" si="2"/>
        <v>-1</v>
      </c>
      <c r="O11" s="215">
        <f t="shared" si="3"/>
        <v>-2</v>
      </c>
    </row>
    <row r="12" spans="5:15">
      <c r="E12" s="213" t="s">
        <v>39</v>
      </c>
      <c r="F12" s="213" t="s">
        <v>461</v>
      </c>
      <c r="G12" s="213" t="s">
        <v>282</v>
      </c>
      <c r="H12" s="213">
        <v>215</v>
      </c>
      <c r="I12" s="213">
        <v>215</v>
      </c>
      <c r="K12" s="214" t="str">
        <f t="shared" si="0"/>
        <v>ADR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214" t="str">
        <f t="shared" si="1"/>
        <v>EQTY.IntlUS.off</v>
      </c>
      <c r="N12" s="215">
        <f t="shared" si="2"/>
        <v>215</v>
      </c>
      <c r="O12" s="215">
        <f t="shared" si="3"/>
        <v>215</v>
      </c>
    </row>
    <row r="13" spans="5:15">
      <c r="E13" s="213" t="s">
        <v>39</v>
      </c>
      <c r="F13" s="213" t="s">
        <v>2166</v>
      </c>
      <c r="G13" s="213" t="s">
        <v>282</v>
      </c>
      <c r="H13" s="213">
        <v>225</v>
      </c>
      <c r="I13" s="213">
        <v>225</v>
      </c>
      <c r="K13" s="214" t="str">
        <f t="shared" si="0"/>
        <v>ADR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214" t="str">
        <f t="shared" si="1"/>
        <v>EQTY.IntlUS.off</v>
      </c>
      <c r="N13" s="215">
        <f t="shared" si="2"/>
        <v>225</v>
      </c>
      <c r="O13" s="215">
        <f t="shared" si="3"/>
        <v>225</v>
      </c>
    </row>
    <row r="14" spans="5:15">
      <c r="E14" s="213" t="s">
        <v>321</v>
      </c>
      <c r="F14" s="213" t="s">
        <v>295</v>
      </c>
      <c r="G14" s="213" t="s">
        <v>282</v>
      </c>
      <c r="H14" s="213">
        <v>0.05</v>
      </c>
      <c r="I14" s="213">
        <v>0.05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214" t="str">
        <f t="shared" si="1"/>
        <v>EQTY.IntlUS.off</v>
      </c>
      <c r="N14" s="215">
        <f t="shared" si="2"/>
        <v>0.05</v>
      </c>
      <c r="O14" s="215">
        <f t="shared" si="3"/>
        <v>0.05</v>
      </c>
    </row>
    <row r="15" spans="5:15">
      <c r="E15" s="213" t="s">
        <v>321</v>
      </c>
      <c r="F15" s="213" t="s">
        <v>296</v>
      </c>
      <c r="G15" s="213" t="s">
        <v>283</v>
      </c>
      <c r="H15" s="213">
        <v>0.49</v>
      </c>
      <c r="I15" s="213">
        <v>0.49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214" t="str">
        <f t="shared" si="1"/>
        <v>EQTY.InternacionalUS2.off</v>
      </c>
      <c r="N15" s="215">
        <f t="shared" si="2"/>
        <v>0.49</v>
      </c>
      <c r="O15" s="215">
        <f t="shared" si="3"/>
        <v>0.49</v>
      </c>
    </row>
    <row r="16" spans="5:15">
      <c r="E16" s="213" t="s">
        <v>321</v>
      </c>
      <c r="F16" s="213" t="s">
        <v>296</v>
      </c>
      <c r="G16" s="213" t="s">
        <v>282</v>
      </c>
      <c r="H16" s="213">
        <v>-2610.69</v>
      </c>
      <c r="I16" s="213">
        <v>-2610.69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214" t="str">
        <f t="shared" si="1"/>
        <v>EQTY.IntlUS.off</v>
      </c>
      <c r="N16" s="215">
        <f t="shared" si="2"/>
        <v>-2610.69</v>
      </c>
      <c r="O16" s="215">
        <f t="shared" si="3"/>
        <v>-2610.69</v>
      </c>
    </row>
    <row r="17" spans="5:15">
      <c r="E17" s="213" t="s">
        <v>321</v>
      </c>
      <c r="F17" s="213" t="s">
        <v>297</v>
      </c>
      <c r="G17" s="213" t="s">
        <v>282</v>
      </c>
      <c r="H17" s="213">
        <v>0.16</v>
      </c>
      <c r="I17" s="213">
        <v>0.16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214" t="str">
        <f t="shared" si="1"/>
        <v>EQTY.IntlUS.off</v>
      </c>
      <c r="N17" s="215">
        <f t="shared" si="2"/>
        <v>0.16</v>
      </c>
      <c r="O17" s="215">
        <f t="shared" si="3"/>
        <v>0.16</v>
      </c>
    </row>
    <row r="18" spans="5:15">
      <c r="E18" s="213" t="s">
        <v>321</v>
      </c>
      <c r="F18" s="213" t="s">
        <v>2141</v>
      </c>
      <c r="G18" s="213" t="s">
        <v>283</v>
      </c>
      <c r="H18" s="213">
        <v>-0.21</v>
      </c>
      <c r="I18" s="213">
        <v>-0.21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214" t="str">
        <f t="shared" si="1"/>
        <v>EQTY.InternacionalUS2.off</v>
      </c>
      <c r="N18" s="215">
        <f t="shared" si="2"/>
        <v>-0.21</v>
      </c>
      <c r="O18" s="215">
        <f t="shared" si="3"/>
        <v>-0.21</v>
      </c>
    </row>
    <row r="19" spans="5:15">
      <c r="E19" s="213" t="s">
        <v>321</v>
      </c>
      <c r="F19" s="213" t="s">
        <v>2141</v>
      </c>
      <c r="G19" s="213" t="s">
        <v>282</v>
      </c>
      <c r="H19" s="213">
        <v>-10000.790000000001</v>
      </c>
      <c r="I19" s="213">
        <v>-10000.790000000001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214" t="str">
        <f t="shared" si="1"/>
        <v>EQTY.IntlUS.off</v>
      </c>
      <c r="N19" s="215">
        <f t="shared" si="2"/>
        <v>-10000.790000000001</v>
      </c>
      <c r="O19" s="215">
        <f t="shared" si="3"/>
        <v>-10000.790000000001</v>
      </c>
    </row>
    <row r="20" spans="5:15">
      <c r="E20" s="213" t="s">
        <v>321</v>
      </c>
      <c r="F20" s="213" t="s">
        <v>298</v>
      </c>
      <c r="G20" s="213" t="s">
        <v>283</v>
      </c>
      <c r="H20" s="213">
        <v>0.47</v>
      </c>
      <c r="I20" s="213">
        <v>0.47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214" t="str">
        <f t="shared" si="1"/>
        <v>EQTY.InternacionalUS2.off</v>
      </c>
      <c r="N20" s="215">
        <f t="shared" si="2"/>
        <v>0.47</v>
      </c>
      <c r="O20" s="215">
        <f t="shared" si="3"/>
        <v>0.47</v>
      </c>
    </row>
    <row r="21" spans="5:15">
      <c r="E21" s="213" t="s">
        <v>321</v>
      </c>
      <c r="F21" s="213" t="s">
        <v>298</v>
      </c>
      <c r="G21" s="213" t="s">
        <v>282</v>
      </c>
      <c r="H21" s="213">
        <v>3360.55</v>
      </c>
      <c r="I21" s="213">
        <v>3360.55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214" t="str">
        <f t="shared" si="1"/>
        <v>EQTY.IntlUS.off</v>
      </c>
      <c r="N21" s="215">
        <f t="shared" si="2"/>
        <v>3360.55</v>
      </c>
      <c r="O21" s="215">
        <f t="shared" si="3"/>
        <v>3360.55</v>
      </c>
    </row>
    <row r="22" spans="5:15">
      <c r="E22" s="213" t="s">
        <v>321</v>
      </c>
      <c r="F22" s="213" t="s">
        <v>299</v>
      </c>
      <c r="G22" s="213" t="s">
        <v>282</v>
      </c>
      <c r="H22" s="213">
        <v>0.82</v>
      </c>
      <c r="I22" s="213">
        <v>0.82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214" t="str">
        <f t="shared" si="1"/>
        <v>EQTY.IntlUS.off</v>
      </c>
      <c r="N22" s="215">
        <f t="shared" si="2"/>
        <v>0.82</v>
      </c>
      <c r="O22" s="215">
        <f t="shared" si="3"/>
        <v>0.82</v>
      </c>
    </row>
    <row r="23" spans="5:15">
      <c r="E23" s="213" t="s">
        <v>321</v>
      </c>
      <c r="F23" s="213" t="s">
        <v>300</v>
      </c>
      <c r="G23" s="213" t="s">
        <v>283</v>
      </c>
      <c r="H23" s="213">
        <v>-0.06</v>
      </c>
      <c r="I23" s="213">
        <v>-0.06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214" t="str">
        <f t="shared" si="1"/>
        <v>EQTY.InternacionalUS2.off</v>
      </c>
      <c r="N23" s="215">
        <f t="shared" si="2"/>
        <v>-0.06</v>
      </c>
      <c r="O23" s="215">
        <f t="shared" si="3"/>
        <v>-0.06</v>
      </c>
    </row>
    <row r="24" spans="5:15">
      <c r="E24" s="213" t="s">
        <v>321</v>
      </c>
      <c r="F24" s="213" t="s">
        <v>300</v>
      </c>
      <c r="G24" s="213" t="s">
        <v>282</v>
      </c>
      <c r="H24" s="213">
        <v>-17957.060000000001</v>
      </c>
      <c r="I24" s="213">
        <v>-17957.060000000001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214" t="str">
        <f t="shared" si="1"/>
        <v>EQTY.IntlUS.off</v>
      </c>
      <c r="N24" s="215">
        <f t="shared" si="2"/>
        <v>-17957.060000000001</v>
      </c>
      <c r="O24" s="215">
        <f t="shared" si="3"/>
        <v>-17957.060000000001</v>
      </c>
    </row>
    <row r="25" spans="5:15">
      <c r="E25" s="213" t="s">
        <v>321</v>
      </c>
      <c r="F25" s="213" t="s">
        <v>301</v>
      </c>
      <c r="G25" s="213" t="s">
        <v>282</v>
      </c>
      <c r="H25" s="213">
        <v>-0.01</v>
      </c>
      <c r="I25" s="213">
        <v>-0.01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214" t="str">
        <f t="shared" si="1"/>
        <v>EQTY.IntlUS.off</v>
      </c>
      <c r="N25" s="215">
        <f t="shared" si="2"/>
        <v>-0.01</v>
      </c>
      <c r="O25" s="215">
        <f t="shared" si="3"/>
        <v>-0.01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121440.83385590999</v>
      </c>
      <c r="I26" s="213">
        <v>3.8559100000000002E-3</v>
      </c>
      <c r="K26" s="214" t="str">
        <f t="shared" si="0"/>
        <v>Cash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214" t="str">
        <f t="shared" si="1"/>
        <v>EQTY.IntlUS.off</v>
      </c>
      <c r="N26" s="215">
        <f t="shared" si="2"/>
        <v>121440.83385590999</v>
      </c>
      <c r="O26" s="215">
        <f t="shared" si="3"/>
        <v>3.8559100000000002E-3</v>
      </c>
    </row>
    <row r="27" spans="5:15">
      <c r="E27" s="213" t="s">
        <v>477</v>
      </c>
      <c r="F27" s="213" t="s">
        <v>1914</v>
      </c>
      <c r="G27" s="213" t="s">
        <v>282</v>
      </c>
      <c r="H27" s="213">
        <v>375000</v>
      </c>
      <c r="I27" s="213">
        <v>375000</v>
      </c>
      <c r="K27" s="214" t="str">
        <f t="shared" si="0"/>
        <v>CDS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214" t="str">
        <f t="shared" si="1"/>
        <v>EQTY.IntlUS.off</v>
      </c>
      <c r="N27" s="215">
        <f t="shared" si="2"/>
        <v>375000</v>
      </c>
      <c r="O27" s="215">
        <f t="shared" si="3"/>
        <v>375000</v>
      </c>
    </row>
    <row r="28" spans="5:15">
      <c r="E28" s="213" t="s">
        <v>317</v>
      </c>
      <c r="F28" s="213" t="s">
        <v>2167</v>
      </c>
      <c r="G28" s="213" t="s">
        <v>282</v>
      </c>
      <c r="H28" s="213">
        <v>0</v>
      </c>
      <c r="I28" s="213">
        <v>127</v>
      </c>
      <c r="K28" s="214" t="str">
        <f t="shared" si="0"/>
        <v>US Equity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COHR</v>
      </c>
      <c r="M28" s="214" t="str">
        <f t="shared" si="1"/>
        <v>EQTY.IntlUS.off</v>
      </c>
      <c r="N28" s="215">
        <f t="shared" si="2"/>
        <v>0</v>
      </c>
      <c r="O28" s="215">
        <f t="shared" si="3"/>
        <v>127</v>
      </c>
    </row>
    <row r="29" spans="5:15">
      <c r="E29" s="213" t="s">
        <v>318</v>
      </c>
      <c r="F29" s="213" t="s">
        <v>2338</v>
      </c>
      <c r="G29" s="213" t="s">
        <v>283</v>
      </c>
      <c r="H29" s="213">
        <v>9.9999999999340599E-3</v>
      </c>
      <c r="I29" s="213">
        <v>0</v>
      </c>
      <c r="K29" s="214" t="str">
        <f t="shared" si="0"/>
        <v>Provisions and Costs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DELL DIVIDEND_</v>
      </c>
      <c r="M29" s="214" t="str">
        <f t="shared" si="1"/>
        <v>EQTY.InternacionalUS2.off</v>
      </c>
      <c r="N29" s="215">
        <f t="shared" si="2"/>
        <v>9.9999999999340599E-3</v>
      </c>
      <c r="O29" s="215">
        <f t="shared" si="3"/>
        <v>0</v>
      </c>
    </row>
    <row r="30" spans="5:15">
      <c r="E30" s="213" t="s">
        <v>320</v>
      </c>
      <c r="F30" s="213" t="s">
        <v>1754</v>
      </c>
      <c r="G30" s="213" t="s">
        <v>282</v>
      </c>
      <c r="H30" s="213">
        <v>2692</v>
      </c>
      <c r="I30" s="213">
        <v>3361</v>
      </c>
      <c r="K30" s="214" t="str">
        <f t="shared" si="0"/>
        <v>ETF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14" t="str">
        <f t="shared" si="1"/>
        <v>EQTY.IntlUS.off</v>
      </c>
      <c r="N30" s="215">
        <f t="shared" si="2"/>
        <v>2692</v>
      </c>
      <c r="O30" s="215">
        <f t="shared" si="3"/>
        <v>3361</v>
      </c>
    </row>
    <row r="31" spans="5:15">
      <c r="E31" s="213" t="s">
        <v>320</v>
      </c>
      <c r="F31" s="213" t="s">
        <v>131</v>
      </c>
      <c r="G31" s="213" t="s">
        <v>282</v>
      </c>
      <c r="H31" s="213">
        <v>801</v>
      </c>
      <c r="I31" s="213">
        <v>1779</v>
      </c>
      <c r="K31" s="214" t="str">
        <f t="shared" si="0"/>
        <v>ETF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14" t="str">
        <f t="shared" si="1"/>
        <v>EQTY.IntlUS.off</v>
      </c>
      <c r="N31" s="215">
        <f t="shared" si="2"/>
        <v>801</v>
      </c>
      <c r="O31" s="215">
        <f t="shared" si="3"/>
        <v>1779</v>
      </c>
    </row>
    <row r="32" spans="5:15">
      <c r="E32" s="213" t="s">
        <v>324</v>
      </c>
      <c r="F32" s="213" t="s">
        <v>2327</v>
      </c>
      <c r="G32" s="213" t="s">
        <v>282</v>
      </c>
      <c r="H32" s="213">
        <v>69</v>
      </c>
      <c r="I32" s="213">
        <v>0</v>
      </c>
      <c r="K32" s="214" t="str">
        <f t="shared" si="0"/>
        <v>ETF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14" t="str">
        <f t="shared" si="1"/>
        <v>EQTY.IntlUS.off</v>
      </c>
      <c r="N32" s="215">
        <f t="shared" si="2"/>
        <v>69</v>
      </c>
      <c r="O32" s="215">
        <f t="shared" si="3"/>
        <v>0</v>
      </c>
    </row>
    <row r="33" spans="5:15">
      <c r="E33" s="213" t="s">
        <v>324</v>
      </c>
      <c r="F33" s="213" t="s">
        <v>2328</v>
      </c>
      <c r="G33" s="213" t="s">
        <v>282</v>
      </c>
      <c r="H33" s="213">
        <v>-69</v>
      </c>
      <c r="I33" s="213">
        <v>0</v>
      </c>
      <c r="K33" s="214" t="str">
        <f t="shared" si="0"/>
        <v>ETF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14" t="str">
        <f t="shared" si="1"/>
        <v>EQTY.IntlUS.off</v>
      </c>
      <c r="N33" s="215">
        <f t="shared" si="2"/>
        <v>-69</v>
      </c>
      <c r="O33" s="215">
        <f t="shared" si="3"/>
        <v>0</v>
      </c>
    </row>
    <row r="34" spans="5:15">
      <c r="E34" s="213" t="s">
        <v>317</v>
      </c>
      <c r="F34" s="213" t="s">
        <v>2175</v>
      </c>
      <c r="G34" s="213" t="s">
        <v>282</v>
      </c>
      <c r="H34" s="213">
        <v>463</v>
      </c>
      <c r="I34" s="213">
        <v>112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14" t="str">
        <f t="shared" si="1"/>
        <v>EQTY.IntlUS.off</v>
      </c>
      <c r="N34" s="215">
        <f t="shared" si="2"/>
        <v>463</v>
      </c>
      <c r="O34" s="215">
        <f t="shared" si="3"/>
        <v>112</v>
      </c>
    </row>
    <row r="35" spans="5:15">
      <c r="E35" s="213" t="s">
        <v>325</v>
      </c>
      <c r="F35" s="213" t="s">
        <v>1898</v>
      </c>
      <c r="G35" s="213" t="s">
        <v>282</v>
      </c>
      <c r="H35" s="213">
        <v>19314</v>
      </c>
      <c r="I35" s="213">
        <v>19314</v>
      </c>
      <c r="K35" s="214" t="str">
        <f t="shared" si="0"/>
        <v>Basket Index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14" t="str">
        <f t="shared" si="1"/>
        <v>EQTY.IntlUS.off</v>
      </c>
      <c r="N35" s="215">
        <f t="shared" si="2"/>
        <v>19314</v>
      </c>
      <c r="O35" s="215">
        <f t="shared" si="3"/>
        <v>19314</v>
      </c>
    </row>
    <row r="36" spans="5:15">
      <c r="E36" s="213" t="s">
        <v>325</v>
      </c>
      <c r="F36" s="213" t="s">
        <v>1899</v>
      </c>
      <c r="G36" s="213" t="s">
        <v>282</v>
      </c>
      <c r="H36" s="213">
        <v>-19314</v>
      </c>
      <c r="I36" s="213">
        <v>-19314</v>
      </c>
      <c r="K36" s="214" t="str">
        <f t="shared" si="0"/>
        <v>Basket Index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14" t="str">
        <f t="shared" si="1"/>
        <v>EQTY.IntlUS.off</v>
      </c>
      <c r="N36" s="215">
        <f t="shared" si="2"/>
        <v>-19314</v>
      </c>
      <c r="O36" s="215">
        <f t="shared" si="3"/>
        <v>-19314</v>
      </c>
    </row>
    <row r="37" spans="5:15">
      <c r="E37" s="213" t="s">
        <v>39</v>
      </c>
      <c r="F37" s="213" t="s">
        <v>526</v>
      </c>
      <c r="G37" s="213" t="s">
        <v>282</v>
      </c>
      <c r="H37" s="213">
        <v>0</v>
      </c>
      <c r="I37" s="213">
        <v>1</v>
      </c>
      <c r="K37" s="214" t="str">
        <f t="shared" si="0"/>
        <v>ADR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ITUB</v>
      </c>
      <c r="M37" s="214" t="str">
        <f t="shared" si="1"/>
        <v>EQTY.IntlUS.off</v>
      </c>
      <c r="N37" s="215">
        <f t="shared" si="2"/>
        <v>0</v>
      </c>
      <c r="O37" s="215">
        <f t="shared" si="3"/>
        <v>1</v>
      </c>
    </row>
    <row r="38" spans="5:15">
      <c r="E38" s="213" t="s">
        <v>317</v>
      </c>
      <c r="F38" s="213" t="s">
        <v>2330</v>
      </c>
      <c r="G38" s="213" t="s">
        <v>282</v>
      </c>
      <c r="H38" s="213">
        <v>-626</v>
      </c>
      <c r="I38" s="213">
        <v>0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KHC</v>
      </c>
      <c r="M38" s="214" t="str">
        <f t="shared" si="1"/>
        <v>EQTY.IntlUS.off</v>
      </c>
      <c r="N38" s="215">
        <f t="shared" si="2"/>
        <v>-626</v>
      </c>
      <c r="O38" s="215">
        <f t="shared" si="3"/>
        <v>0</v>
      </c>
    </row>
    <row r="39" spans="5:15">
      <c r="E39" s="213" t="s">
        <v>317</v>
      </c>
      <c r="F39" s="213" t="s">
        <v>2072</v>
      </c>
      <c r="G39" s="213" t="s">
        <v>282</v>
      </c>
      <c r="H39" s="213">
        <v>-116</v>
      </c>
      <c r="I39" s="213">
        <v>87</v>
      </c>
      <c r="K39" s="214" t="str">
        <f t="shared" si="0"/>
        <v>US Equity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LITE</v>
      </c>
      <c r="M39" s="214" t="str">
        <f t="shared" si="1"/>
        <v>EQTY.IntlUS.off</v>
      </c>
      <c r="N39" s="215">
        <f t="shared" si="2"/>
        <v>-116</v>
      </c>
      <c r="O39" s="215">
        <f t="shared" si="3"/>
        <v>87</v>
      </c>
    </row>
    <row r="40" spans="5:15">
      <c r="E40" s="213" t="s">
        <v>319</v>
      </c>
      <c r="F40" s="213" t="s">
        <v>2084</v>
      </c>
      <c r="G40" s="213" t="s">
        <v>282</v>
      </c>
      <c r="H40" s="213">
        <v>6</v>
      </c>
      <c r="I40" s="213">
        <v>6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LITE US 02/20/26 C400</v>
      </c>
      <c r="M40" s="214" t="str">
        <f t="shared" si="1"/>
        <v>EQTY.IntlUS.off</v>
      </c>
      <c r="N40" s="215">
        <f t="shared" si="2"/>
        <v>6</v>
      </c>
      <c r="O40" s="215">
        <f t="shared" si="3"/>
        <v>6</v>
      </c>
    </row>
    <row r="41" spans="5:15">
      <c r="E41" s="213" t="s">
        <v>317</v>
      </c>
      <c r="F41" s="213" t="s">
        <v>326</v>
      </c>
      <c r="G41" s="213" t="s">
        <v>282</v>
      </c>
      <c r="H41" s="213">
        <v>382</v>
      </c>
      <c r="I41" s="213">
        <v>382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META</v>
      </c>
      <c r="M41" s="214" t="str">
        <f t="shared" si="1"/>
        <v>EQTY.IntlUS.off</v>
      </c>
      <c r="N41" s="215">
        <f t="shared" si="2"/>
        <v>382</v>
      </c>
      <c r="O41" s="215">
        <f t="shared" si="3"/>
        <v>382</v>
      </c>
    </row>
    <row r="42" spans="5:15">
      <c r="E42" s="213" t="s">
        <v>319</v>
      </c>
      <c r="F42" s="213" t="s">
        <v>2078</v>
      </c>
      <c r="G42" s="213" t="s">
        <v>282</v>
      </c>
      <c r="H42" s="213">
        <v>3</v>
      </c>
      <c r="I42" s="213">
        <v>3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META US 04/17/26 C690</v>
      </c>
      <c r="M42" s="214" t="str">
        <f t="shared" si="1"/>
        <v>EQTY.IntlUS.off</v>
      </c>
      <c r="N42" s="215">
        <f t="shared" si="2"/>
        <v>3</v>
      </c>
      <c r="O42" s="215">
        <f t="shared" si="3"/>
        <v>3</v>
      </c>
    </row>
    <row r="43" spans="5:15">
      <c r="E43" s="213" t="s">
        <v>319</v>
      </c>
      <c r="F43" s="213" t="s">
        <v>2124</v>
      </c>
      <c r="G43" s="213" t="s">
        <v>282</v>
      </c>
      <c r="H43" s="213">
        <v>1</v>
      </c>
      <c r="I43" s="213">
        <v>1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US 04/17/26 P570</v>
      </c>
      <c r="M43" s="214" t="str">
        <f t="shared" si="1"/>
        <v>EQTY.IntlUS.off</v>
      </c>
      <c r="N43" s="215">
        <f t="shared" si="2"/>
        <v>1</v>
      </c>
      <c r="O43" s="215">
        <f t="shared" si="3"/>
        <v>1</v>
      </c>
    </row>
    <row r="44" spans="5:15">
      <c r="E44" s="213" t="s">
        <v>319</v>
      </c>
      <c r="F44" s="213" t="s">
        <v>2123</v>
      </c>
      <c r="G44" s="213" t="s">
        <v>282</v>
      </c>
      <c r="H44" s="213">
        <v>-1</v>
      </c>
      <c r="I44" s="213">
        <v>-1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 US 04/17/26 P600</v>
      </c>
      <c r="M44" s="214" t="str">
        <f t="shared" si="1"/>
        <v>EQTY.IntlUS.off</v>
      </c>
      <c r="N44" s="215">
        <f t="shared" si="2"/>
        <v>-1</v>
      </c>
      <c r="O44" s="215">
        <f t="shared" si="3"/>
        <v>-1</v>
      </c>
    </row>
    <row r="45" spans="5:15">
      <c r="E45" s="213" t="s">
        <v>317</v>
      </c>
      <c r="F45" s="213" t="s">
        <v>138</v>
      </c>
      <c r="G45" s="213" t="s">
        <v>282</v>
      </c>
      <c r="H45" s="213">
        <v>-94</v>
      </c>
      <c r="I45" s="213">
        <v>0</v>
      </c>
      <c r="K45" s="214" t="str">
        <f t="shared" si="0"/>
        <v>US Equity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MRVL</v>
      </c>
      <c r="M45" s="214" t="str">
        <f t="shared" si="1"/>
        <v>EQTY.IntlUS.off</v>
      </c>
      <c r="N45" s="215">
        <f t="shared" si="2"/>
        <v>-94</v>
      </c>
      <c r="O45" s="215">
        <f t="shared" si="3"/>
        <v>0</v>
      </c>
    </row>
    <row r="46" spans="5:15">
      <c r="E46" s="213" t="s">
        <v>319</v>
      </c>
      <c r="F46" s="213" t="s">
        <v>2108</v>
      </c>
      <c r="G46" s="213" t="s">
        <v>282</v>
      </c>
      <c r="H46" s="213">
        <v>-12</v>
      </c>
      <c r="I46" s="213">
        <v>-6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MRVL US 03/20/26 P75</v>
      </c>
      <c r="M46" s="214" t="str">
        <f t="shared" si="1"/>
        <v>EQTY.IntlUS.off</v>
      </c>
      <c r="N46" s="215">
        <f t="shared" si="2"/>
        <v>-12</v>
      </c>
      <c r="O46" s="215">
        <f t="shared" si="3"/>
        <v>-6</v>
      </c>
    </row>
    <row r="47" spans="5:15">
      <c r="E47" s="213" t="s">
        <v>319</v>
      </c>
      <c r="F47" s="213" t="s">
        <v>2067</v>
      </c>
      <c r="G47" s="213" t="s">
        <v>282</v>
      </c>
      <c r="H47" s="213">
        <v>0</v>
      </c>
      <c r="I47" s="213">
        <v>-6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MRVL US 03/20/26 P80</v>
      </c>
      <c r="M47" s="214" t="str">
        <f t="shared" si="1"/>
        <v>EQTY.IntlUS.off</v>
      </c>
      <c r="N47" s="215">
        <f t="shared" si="2"/>
        <v>0</v>
      </c>
      <c r="O47" s="215">
        <f t="shared" si="3"/>
        <v>-6</v>
      </c>
    </row>
    <row r="48" spans="5:15">
      <c r="E48" s="213" t="s">
        <v>319</v>
      </c>
      <c r="F48" s="213" t="s">
        <v>2107</v>
      </c>
      <c r="G48" s="213" t="s">
        <v>282</v>
      </c>
      <c r="H48" s="213">
        <v>14</v>
      </c>
      <c r="I48" s="213">
        <v>14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 US 03/20/26 P85</v>
      </c>
      <c r="M48" s="214" t="str">
        <f t="shared" si="1"/>
        <v>EQTY.IntlUS.off</v>
      </c>
      <c r="N48" s="215">
        <f t="shared" si="2"/>
        <v>14</v>
      </c>
      <c r="O48" s="215">
        <f t="shared" si="3"/>
        <v>14</v>
      </c>
    </row>
    <row r="49" spans="5:15">
      <c r="E49" s="213" t="s">
        <v>317</v>
      </c>
      <c r="F49" s="213" t="s">
        <v>90</v>
      </c>
      <c r="G49" s="213" t="s">
        <v>282</v>
      </c>
      <c r="H49" s="213">
        <v>300</v>
      </c>
      <c r="I49" s="213">
        <v>544</v>
      </c>
      <c r="K49" s="214" t="str">
        <f t="shared" si="0"/>
        <v>US Equity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MSFT</v>
      </c>
      <c r="M49" s="214" t="str">
        <f t="shared" si="1"/>
        <v>EQTY.IntlUS.off</v>
      </c>
      <c r="N49" s="215">
        <f t="shared" si="2"/>
        <v>300</v>
      </c>
      <c r="O49" s="215">
        <f t="shared" si="3"/>
        <v>544</v>
      </c>
    </row>
    <row r="50" spans="5:15">
      <c r="E50" s="213" t="s">
        <v>319</v>
      </c>
      <c r="F50" s="213" t="s">
        <v>2057</v>
      </c>
      <c r="G50" s="213" t="s">
        <v>282</v>
      </c>
      <c r="H50" s="213">
        <v>7</v>
      </c>
      <c r="I50" s="213">
        <v>7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MSFT US 03/20/26 C490</v>
      </c>
      <c r="M50" s="214" t="str">
        <f t="shared" si="1"/>
        <v>EQTY.IntlUS.off</v>
      </c>
      <c r="N50" s="215">
        <f t="shared" si="2"/>
        <v>7</v>
      </c>
      <c r="O50" s="215">
        <f t="shared" si="3"/>
        <v>7</v>
      </c>
    </row>
    <row r="51" spans="5:15">
      <c r="E51" s="213" t="s">
        <v>319</v>
      </c>
      <c r="F51" s="213" t="s">
        <v>2058</v>
      </c>
      <c r="G51" s="213" t="s">
        <v>282</v>
      </c>
      <c r="H51" s="213">
        <v>-4</v>
      </c>
      <c r="I51" s="213">
        <v>-4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MSFT US 03/20/26 P465</v>
      </c>
      <c r="M51" s="214" t="str">
        <f t="shared" si="1"/>
        <v>EQTY.IntlUS.off</v>
      </c>
      <c r="N51" s="215">
        <f t="shared" si="2"/>
        <v>-4</v>
      </c>
      <c r="O51" s="215">
        <f t="shared" si="3"/>
        <v>-4</v>
      </c>
    </row>
    <row r="52" spans="5:15">
      <c r="E52" s="213" t="s">
        <v>317</v>
      </c>
      <c r="F52" s="213" t="s">
        <v>2074</v>
      </c>
      <c r="G52" s="213" t="s">
        <v>282</v>
      </c>
      <c r="H52" s="213">
        <v>0</v>
      </c>
      <c r="I52" s="213">
        <v>0</v>
      </c>
      <c r="K52" s="214" t="str">
        <f t="shared" si="0"/>
        <v>US Equity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NFLX</v>
      </c>
      <c r="M52" s="214" t="str">
        <f t="shared" si="1"/>
        <v>EQTY.IntlUS.off</v>
      </c>
      <c r="N52" s="215">
        <f t="shared" si="2"/>
        <v>0</v>
      </c>
      <c r="O52" s="215">
        <f t="shared" si="3"/>
        <v>0</v>
      </c>
    </row>
    <row r="53" spans="5:15">
      <c r="E53" s="213" t="s">
        <v>319</v>
      </c>
      <c r="F53" s="213" t="s">
        <v>2101</v>
      </c>
      <c r="G53" s="213" t="s">
        <v>282</v>
      </c>
      <c r="H53" s="213">
        <v>0</v>
      </c>
      <c r="I53" s="213">
        <v>-9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NFLX US 03/20/26 C104</v>
      </c>
      <c r="M53" s="214" t="str">
        <f t="shared" si="1"/>
        <v>EQTY.IntlUS.off</v>
      </c>
      <c r="N53" s="215">
        <f t="shared" si="2"/>
        <v>0</v>
      </c>
      <c r="O53" s="215">
        <f t="shared" si="3"/>
        <v>-9</v>
      </c>
    </row>
    <row r="54" spans="5:15">
      <c r="E54" s="213" t="s">
        <v>319</v>
      </c>
      <c r="F54" s="213" t="s">
        <v>2102</v>
      </c>
      <c r="G54" s="213" t="s">
        <v>282</v>
      </c>
      <c r="H54" s="213">
        <v>0</v>
      </c>
      <c r="I54" s="213">
        <v>-16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NFLX US 03/20/26 P83</v>
      </c>
      <c r="M54" s="214" t="str">
        <f t="shared" si="1"/>
        <v>EQTY.IntlUS.off</v>
      </c>
      <c r="N54" s="215">
        <f t="shared" si="2"/>
        <v>0</v>
      </c>
      <c r="O54" s="215">
        <f t="shared" si="3"/>
        <v>-16</v>
      </c>
    </row>
    <row r="55" spans="5:15">
      <c r="E55" s="213" t="s">
        <v>319</v>
      </c>
      <c r="F55" s="213" t="s">
        <v>2100</v>
      </c>
      <c r="G55" s="213" t="s">
        <v>282</v>
      </c>
      <c r="H55" s="213">
        <v>0</v>
      </c>
      <c r="I55" s="213">
        <v>11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NFLX US 03/20/26 P92</v>
      </c>
      <c r="M55" s="214" t="str">
        <f t="shared" si="1"/>
        <v>EQTY.IntlUS.off</v>
      </c>
      <c r="N55" s="215">
        <f t="shared" si="2"/>
        <v>0</v>
      </c>
      <c r="O55" s="215">
        <f t="shared" si="3"/>
        <v>11</v>
      </c>
    </row>
    <row r="56" spans="5:15">
      <c r="E56" s="213" t="s">
        <v>317</v>
      </c>
      <c r="F56" s="213" t="s">
        <v>94</v>
      </c>
      <c r="G56" s="213" t="s">
        <v>282</v>
      </c>
      <c r="H56" s="213">
        <v>1636</v>
      </c>
      <c r="I56" s="213">
        <v>1636</v>
      </c>
      <c r="K56" s="214" t="str">
        <f t="shared" si="0"/>
        <v>US Equity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14" t="str">
        <f t="shared" si="1"/>
        <v>EQTY.IntlUS.off</v>
      </c>
      <c r="N56" s="215">
        <f t="shared" si="2"/>
        <v>1636</v>
      </c>
      <c r="O56" s="215">
        <f t="shared" si="3"/>
        <v>1636</v>
      </c>
    </row>
    <row r="57" spans="5:15">
      <c r="E57" s="213" t="s">
        <v>318</v>
      </c>
      <c r="F57" s="213" t="s">
        <v>336</v>
      </c>
      <c r="G57" s="213" t="s">
        <v>282</v>
      </c>
      <c r="H57" s="213">
        <v>0</v>
      </c>
      <c r="I57" s="213">
        <v>623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ETF Options USD_</v>
      </c>
      <c r="M57" s="214" t="str">
        <f t="shared" si="1"/>
        <v>EQTY.IntlUS.off</v>
      </c>
      <c r="N57" s="215">
        <f t="shared" si="2"/>
        <v>0</v>
      </c>
      <c r="O57" s="215">
        <f t="shared" si="3"/>
        <v>623</v>
      </c>
    </row>
    <row r="58" spans="5:15">
      <c r="E58" s="213" t="s">
        <v>318</v>
      </c>
      <c r="F58" s="213" t="s">
        <v>306</v>
      </c>
      <c r="G58" s="213" t="s">
        <v>282</v>
      </c>
      <c r="H58" s="225">
        <v>-1.45519152283669E-11</v>
      </c>
      <c r="I58" s="213">
        <v>-68673.61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ETF USD_</v>
      </c>
      <c r="M58" s="214" t="str">
        <f t="shared" si="1"/>
        <v>EQTY.IntlUS.off</v>
      </c>
      <c r="N58" s="215">
        <f t="shared" si="2"/>
        <v>-1.45519152283669E-11</v>
      </c>
      <c r="O58" s="215">
        <f t="shared" si="3"/>
        <v>-68673.61</v>
      </c>
    </row>
    <row r="59" spans="5:15">
      <c r="E59" s="213" t="s">
        <v>318</v>
      </c>
      <c r="F59" s="213" t="s">
        <v>2339</v>
      </c>
      <c r="G59" s="213" t="s">
        <v>282</v>
      </c>
      <c r="H59" s="213">
        <v>-28201.65</v>
      </c>
      <c r="I59" s="213">
        <v>-28201.65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EUR Equity EUR_</v>
      </c>
      <c r="M59" s="214" t="str">
        <f t="shared" si="1"/>
        <v>EQTY.IntlUS.off</v>
      </c>
      <c r="N59" s="215">
        <f t="shared" si="2"/>
        <v>-28201.65</v>
      </c>
      <c r="O59" s="215">
        <f t="shared" si="3"/>
        <v>-28201.65</v>
      </c>
    </row>
    <row r="60" spans="5:15">
      <c r="E60" s="213" t="s">
        <v>318</v>
      </c>
      <c r="F60" s="213" t="s">
        <v>1666</v>
      </c>
      <c r="G60" s="213" t="s">
        <v>282</v>
      </c>
      <c r="H60" s="213">
        <v>0</v>
      </c>
      <c r="I60" s="213">
        <v>201000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NYSE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201000</v>
      </c>
    </row>
    <row r="61" spans="5:15">
      <c r="E61" s="213" t="s">
        <v>318</v>
      </c>
      <c r="F61" s="213" t="s">
        <v>2340</v>
      </c>
      <c r="G61" s="213" t="s">
        <v>282</v>
      </c>
      <c r="H61" s="213">
        <v>2171.44</v>
      </c>
      <c r="I61" s="213">
        <v>2171.44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Total Return Swap USD_</v>
      </c>
      <c r="M61" s="214" t="str">
        <f t="shared" si="1"/>
        <v>EQTY.IntlUS.off</v>
      </c>
      <c r="N61" s="215">
        <f t="shared" si="2"/>
        <v>2171.44</v>
      </c>
      <c r="O61" s="215">
        <f t="shared" si="3"/>
        <v>2171.44</v>
      </c>
    </row>
    <row r="62" spans="5:15">
      <c r="E62" s="213" t="s">
        <v>318</v>
      </c>
      <c r="F62" s="213" t="s">
        <v>337</v>
      </c>
      <c r="G62" s="213" t="s">
        <v>282</v>
      </c>
      <c r="H62" s="213">
        <v>0</v>
      </c>
      <c r="I62" s="213">
        <v>-948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US Equity Options USD_</v>
      </c>
      <c r="M62" s="214" t="str">
        <f t="shared" si="1"/>
        <v>EQTY.IntlUS.off</v>
      </c>
      <c r="N62" s="215">
        <f t="shared" si="2"/>
        <v>0</v>
      </c>
      <c r="O62" s="215">
        <f t="shared" si="3"/>
        <v>-948</v>
      </c>
    </row>
    <row r="63" spans="5:15">
      <c r="E63" s="213" t="s">
        <v>318</v>
      </c>
      <c r="F63" s="213" t="s">
        <v>307</v>
      </c>
      <c r="G63" s="213" t="s">
        <v>282</v>
      </c>
      <c r="H63" s="225">
        <v>1.2732925824821E-11</v>
      </c>
      <c r="I63" s="213">
        <v>-10560.56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US Equity USD_</v>
      </c>
      <c r="M63" s="214" t="str">
        <f t="shared" si="1"/>
        <v>EQTY.IntlUS.off</v>
      </c>
      <c r="N63" s="215">
        <f t="shared" si="2"/>
        <v>1.2732925824821E-11</v>
      </c>
      <c r="O63" s="215">
        <f t="shared" si="3"/>
        <v>-10560.56</v>
      </c>
    </row>
    <row r="64" spans="5:15">
      <c r="E64" s="213" t="s">
        <v>320</v>
      </c>
      <c r="F64" s="213" t="s">
        <v>135</v>
      </c>
      <c r="G64" s="213" t="s">
        <v>282</v>
      </c>
      <c r="H64" s="213">
        <v>0</v>
      </c>
      <c r="I64" s="213">
        <v>-31</v>
      </c>
      <c r="K64" s="214" t="str">
        <f t="shared" si="0"/>
        <v>ETF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QQQ</v>
      </c>
      <c r="M64" s="214" t="str">
        <f t="shared" si="1"/>
        <v>EQTY.IntlUS.off</v>
      </c>
      <c r="N64" s="215">
        <f t="shared" si="2"/>
        <v>0</v>
      </c>
      <c r="O64" s="215">
        <f t="shared" si="3"/>
        <v>-31</v>
      </c>
    </row>
    <row r="65" spans="5:15">
      <c r="E65" s="213" t="s">
        <v>320</v>
      </c>
      <c r="F65" s="213" t="s">
        <v>143</v>
      </c>
      <c r="G65" s="213" t="s">
        <v>282</v>
      </c>
      <c r="H65" s="213">
        <v>0</v>
      </c>
      <c r="I65" s="213">
        <v>-741</v>
      </c>
      <c r="K65" s="214" t="str">
        <f t="shared" si="0"/>
        <v>ETF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QQQE</v>
      </c>
      <c r="M65" s="214" t="str">
        <f t="shared" si="1"/>
        <v>EQTY.IntlUS.off</v>
      </c>
      <c r="N65" s="215">
        <f t="shared" si="2"/>
        <v>0</v>
      </c>
      <c r="O65" s="215">
        <f t="shared" si="3"/>
        <v>-741</v>
      </c>
    </row>
    <row r="66" spans="5:15">
      <c r="E66" s="213" t="s">
        <v>317</v>
      </c>
      <c r="F66" s="213" t="s">
        <v>2150</v>
      </c>
      <c r="G66" s="213" t="s">
        <v>282</v>
      </c>
      <c r="H66" s="213">
        <v>1433</v>
      </c>
      <c r="I66" s="213">
        <v>1433</v>
      </c>
      <c r="K66" s="214" t="str">
        <f t="shared" si="0"/>
        <v>US Equity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RIOT</v>
      </c>
      <c r="M66" s="214" t="str">
        <f t="shared" si="1"/>
        <v>EQTY.IntlUS.off</v>
      </c>
      <c r="N66" s="215">
        <f t="shared" si="2"/>
        <v>1433</v>
      </c>
      <c r="O66" s="215">
        <f t="shared" si="3"/>
        <v>1433</v>
      </c>
    </row>
    <row r="67" spans="5:15">
      <c r="E67" s="213" t="s">
        <v>320</v>
      </c>
      <c r="F67" s="213" t="s">
        <v>3</v>
      </c>
      <c r="G67" s="213" t="s">
        <v>282</v>
      </c>
      <c r="H67" s="213">
        <v>0</v>
      </c>
      <c r="I67" s="213">
        <v>-657</v>
      </c>
      <c r="K67" s="214" t="str">
        <f t="shared" ref="K67:K130" si="4">IF(E67="","",E67)</f>
        <v>ETF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RSP</v>
      </c>
      <c r="M67" s="214" t="str">
        <f t="shared" ref="M67:M130" si="5">IF(E67="","",G67)</f>
        <v>EQTY.IntlUS.off</v>
      </c>
      <c r="N67" s="215">
        <f t="shared" ref="N67:N130" si="6">IF(E67="","",H67)</f>
        <v>0</v>
      </c>
      <c r="O67" s="215">
        <f t="shared" ref="O67:O130" si="7">IF(E67="","",I67)</f>
        <v>-657</v>
      </c>
    </row>
    <row r="68" spans="5:15">
      <c r="E68" s="213" t="s">
        <v>2152</v>
      </c>
      <c r="F68" s="213" t="s">
        <v>2153</v>
      </c>
      <c r="G68" s="213" t="s">
        <v>282</v>
      </c>
      <c r="H68" s="213">
        <v>100</v>
      </c>
      <c r="I68" s="213">
        <v>100</v>
      </c>
      <c r="K68" s="214" t="str">
        <f t="shared" si="4"/>
        <v>Equity Total Return Swap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000660 KS</v>
      </c>
      <c r="M68" s="214" t="str">
        <f t="shared" si="5"/>
        <v>EQTY.IntlUS.off</v>
      </c>
      <c r="N68" s="215">
        <f t="shared" si="6"/>
        <v>100</v>
      </c>
      <c r="O68" s="215">
        <f t="shared" si="7"/>
        <v>100</v>
      </c>
    </row>
    <row r="69" spans="5:15">
      <c r="E69" s="213" t="s">
        <v>639</v>
      </c>
      <c r="F69" s="213" t="s">
        <v>2325</v>
      </c>
      <c r="G69" s="213" t="s">
        <v>282</v>
      </c>
      <c r="H69" s="213">
        <v>-1</v>
      </c>
      <c r="I69" s="213">
        <v>-2</v>
      </c>
      <c r="K69" s="214" t="str">
        <f t="shared" si="4"/>
        <v>Total Return Swap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SWAP KMH6 21JAN2026 16MAR2026 0.483389265383573</v>
      </c>
      <c r="M69" s="214" t="str">
        <f t="shared" si="5"/>
        <v>EQTY.IntlUS.off</v>
      </c>
      <c r="N69" s="215">
        <f t="shared" si="6"/>
        <v>-1</v>
      </c>
      <c r="O69" s="215">
        <f t="shared" si="7"/>
        <v>-2</v>
      </c>
    </row>
    <row r="70" spans="5:15">
      <c r="E70" s="213" t="s">
        <v>39</v>
      </c>
      <c r="F70" s="213" t="s">
        <v>96</v>
      </c>
      <c r="G70" s="213" t="s">
        <v>282</v>
      </c>
      <c r="H70" s="213">
        <v>597</v>
      </c>
      <c r="I70" s="213">
        <v>315</v>
      </c>
      <c r="K70" s="214" t="str">
        <f t="shared" si="4"/>
        <v>ADR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TSM</v>
      </c>
      <c r="M70" s="214" t="str">
        <f t="shared" si="5"/>
        <v>EQTY.IntlUS.off</v>
      </c>
      <c r="N70" s="215">
        <f t="shared" si="6"/>
        <v>597</v>
      </c>
      <c r="O70" s="215">
        <f t="shared" si="7"/>
        <v>315</v>
      </c>
    </row>
    <row r="71" spans="5:15">
      <c r="E71" s="213" t="s">
        <v>327</v>
      </c>
      <c r="F71" s="213" t="s">
        <v>2109</v>
      </c>
      <c r="G71" s="213" t="s">
        <v>282</v>
      </c>
      <c r="H71" s="213">
        <v>5</v>
      </c>
      <c r="I71" s="213">
        <v>5</v>
      </c>
      <c r="K71" s="214" t="str">
        <f t="shared" si="4"/>
        <v>ADR Options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TSM US 03/20/26 C300</v>
      </c>
      <c r="M71" s="214" t="str">
        <f t="shared" si="5"/>
        <v>EQTY.IntlUS.off</v>
      </c>
      <c r="N71" s="215">
        <f t="shared" si="6"/>
        <v>5</v>
      </c>
      <c r="O71" s="215">
        <f t="shared" si="7"/>
        <v>5</v>
      </c>
    </row>
    <row r="72" spans="5:15">
      <c r="E72" s="213" t="s">
        <v>327</v>
      </c>
      <c r="F72" s="213" t="s">
        <v>2268</v>
      </c>
      <c r="G72" s="213" t="s">
        <v>282</v>
      </c>
      <c r="H72" s="213">
        <v>59</v>
      </c>
      <c r="I72" s="213">
        <v>59</v>
      </c>
      <c r="K72" s="214" t="str">
        <f t="shared" si="4"/>
        <v>ADR Options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TSM US 06/18/26 C340</v>
      </c>
      <c r="M72" s="214" t="str">
        <f t="shared" si="5"/>
        <v>EQTY.IntlUS.off</v>
      </c>
      <c r="N72" s="215">
        <f t="shared" si="6"/>
        <v>59</v>
      </c>
      <c r="O72" s="215">
        <f t="shared" si="7"/>
        <v>59</v>
      </c>
    </row>
    <row r="73" spans="5:15">
      <c r="E73" s="213" t="s">
        <v>327</v>
      </c>
      <c r="F73" s="213" t="s">
        <v>2269</v>
      </c>
      <c r="G73" s="213" t="s">
        <v>282</v>
      </c>
      <c r="H73" s="213">
        <v>-56</v>
      </c>
      <c r="I73" s="213">
        <v>-59</v>
      </c>
      <c r="K73" s="214" t="str">
        <f t="shared" si="4"/>
        <v>ADR Options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TSM US 06/18/26 C380</v>
      </c>
      <c r="M73" s="214" t="str">
        <f t="shared" si="5"/>
        <v>EQTY.IntlUS.off</v>
      </c>
      <c r="N73" s="215">
        <f t="shared" si="6"/>
        <v>-56</v>
      </c>
      <c r="O73" s="215">
        <f t="shared" si="7"/>
        <v>-59</v>
      </c>
    </row>
    <row r="74" spans="5:15">
      <c r="E74" s="213" t="s">
        <v>320</v>
      </c>
      <c r="F74" s="213" t="s">
        <v>88</v>
      </c>
      <c r="G74" s="213" t="s">
        <v>282</v>
      </c>
      <c r="H74" s="213">
        <v>2606</v>
      </c>
      <c r="I74" s="213">
        <v>2606</v>
      </c>
      <c r="K74" s="214" t="str">
        <f t="shared" si="4"/>
        <v>ETF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XLF</v>
      </c>
      <c r="M74" s="214" t="str">
        <f t="shared" si="5"/>
        <v>EQTY.IntlUS.off</v>
      </c>
      <c r="N74" s="215">
        <f t="shared" si="6"/>
        <v>2606</v>
      </c>
      <c r="O74" s="215">
        <f t="shared" si="7"/>
        <v>2606</v>
      </c>
    </row>
    <row r="75" spans="5:15">
      <c r="E75" s="213" t="s">
        <v>320</v>
      </c>
      <c r="F75" s="213" t="s">
        <v>4</v>
      </c>
      <c r="G75" s="213" t="s">
        <v>282</v>
      </c>
      <c r="H75" s="213">
        <v>-1735</v>
      </c>
      <c r="I75" s="213">
        <v>-1735</v>
      </c>
      <c r="K75" s="214" t="str">
        <f t="shared" si="4"/>
        <v>ETF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XLP</v>
      </c>
      <c r="M75" s="214" t="str">
        <f t="shared" si="5"/>
        <v>EQTY.IntlUS.off</v>
      </c>
      <c r="N75" s="215">
        <f t="shared" si="6"/>
        <v>-1735</v>
      </c>
      <c r="O75" s="215">
        <f t="shared" si="7"/>
        <v>-1735</v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300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300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0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0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597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597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46043</v>
      </c>
      <c r="C2" s="210">
        <v>0</v>
      </c>
    </row>
    <row r="3" spans="1:7">
      <c r="A3" s="208" t="s">
        <v>342</v>
      </c>
      <c r="B3" s="236">
        <f ca="1">B2-1</f>
        <v>46042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Daniel\BooksOverviewResume20Jan2026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Daniel\BooksOverviewResume20Jan2026_zenith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2153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1859</v>
      </c>
      <c r="G22" s="353" t="s">
        <v>1856</v>
      </c>
    </row>
    <row r="23" spans="6:7">
      <c r="F23" s="213" t="s">
        <v>1859</v>
      </c>
      <c r="G23" s="353" t="s">
        <v>1856</v>
      </c>
    </row>
    <row r="24" spans="6:7">
      <c r="F24" s="213" t="s">
        <v>1866</v>
      </c>
      <c r="G24" s="353" t="s">
        <v>1856</v>
      </c>
    </row>
    <row r="25" spans="6:7">
      <c r="F25" s="213" t="s">
        <v>1866</v>
      </c>
      <c r="G25" s="353" t="s">
        <v>1856</v>
      </c>
    </row>
    <row r="26" spans="6:7">
      <c r="F26" s="213" t="s">
        <v>1869</v>
      </c>
      <c r="G26" s="353" t="s">
        <v>1856</v>
      </c>
    </row>
    <row r="27" spans="6:7">
      <c r="F27" s="213" t="s">
        <v>1869</v>
      </c>
      <c r="G27" s="353" t="s">
        <v>1856</v>
      </c>
    </row>
    <row r="28" spans="6:7">
      <c r="F28" s="213" t="s">
        <v>1872</v>
      </c>
      <c r="G28" s="353" t="s">
        <v>1856</v>
      </c>
    </row>
    <row r="29" spans="6:7">
      <c r="F29" s="213" t="s">
        <v>1872</v>
      </c>
      <c r="G29" s="353" t="s">
        <v>1856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1887</v>
      </c>
      <c r="G34" s="22" t="s">
        <v>1742</v>
      </c>
    </row>
    <row r="35" spans="6:7">
      <c r="F35" s="362" t="s">
        <v>1886</v>
      </c>
      <c r="G35" s="163" t="s">
        <v>1883</v>
      </c>
    </row>
    <row r="36" spans="6:7">
      <c r="F36" s="362" t="s">
        <v>1885</v>
      </c>
      <c r="G36" s="22" t="s">
        <v>1884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1888</v>
      </c>
      <c r="G39" s="22" t="s">
        <v>2</v>
      </c>
    </row>
    <row r="40" spans="6:7">
      <c r="F40" t="s">
        <v>131</v>
      </c>
      <c r="G40" s="22" t="s">
        <v>2160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1916</v>
      </c>
      <c r="G50" s="22" t="s">
        <v>1917</v>
      </c>
    </row>
    <row r="51" spans="6:7">
      <c r="F51" s="22" t="s">
        <v>1847</v>
      </c>
      <c r="G51" s="22" t="s">
        <v>1846</v>
      </c>
    </row>
    <row r="52" spans="6:7">
      <c r="F52" s="22" t="s">
        <v>358</v>
      </c>
      <c r="G52" s="22" t="s">
        <v>2</v>
      </c>
    </row>
    <row r="53" spans="6:7">
      <c r="F53" s="213" t="s">
        <v>1870</v>
      </c>
      <c r="G53" s="353" t="s">
        <v>1855</v>
      </c>
    </row>
    <row r="54" spans="6:7">
      <c r="F54" s="213" t="s">
        <v>1870</v>
      </c>
      <c r="G54" s="353" t="s">
        <v>1855</v>
      </c>
    </row>
    <row r="55" spans="6:7">
      <c r="F55" s="213" t="s">
        <v>1867</v>
      </c>
      <c r="G55" s="353" t="s">
        <v>1855</v>
      </c>
    </row>
    <row r="56" spans="6:7">
      <c r="F56" s="213" t="s">
        <v>1867</v>
      </c>
      <c r="G56" s="353" t="s">
        <v>1855</v>
      </c>
    </row>
    <row r="57" spans="6:7">
      <c r="F57" s="213" t="s">
        <v>1871</v>
      </c>
      <c r="G57" s="353" t="s">
        <v>1855</v>
      </c>
    </row>
    <row r="58" spans="6:7">
      <c r="F58" s="213" t="s">
        <v>1871</v>
      </c>
      <c r="G58" s="353" t="s">
        <v>1855</v>
      </c>
    </row>
    <row r="59" spans="6:7">
      <c r="F59" s="213" t="s">
        <v>1873</v>
      </c>
      <c r="G59" s="353" t="s">
        <v>1855</v>
      </c>
    </row>
    <row r="60" spans="6:7">
      <c r="F60" s="213" t="s">
        <v>1873</v>
      </c>
      <c r="G60" s="353" t="s">
        <v>1855</v>
      </c>
    </row>
    <row r="61" spans="6:7">
      <c r="F61" s="22" t="s">
        <v>1853</v>
      </c>
      <c r="G61" s="22" t="s">
        <v>1846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2160</v>
      </c>
      <c r="G98" s="22" t="s">
        <v>2160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1859</v>
      </c>
      <c r="G104" s="22" t="s">
        <v>1856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1858</v>
      </c>
      <c r="G112" s="22" t="s">
        <v>1857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1860</v>
      </c>
      <c r="G126" s="22" t="s">
        <v>1855</v>
      </c>
    </row>
    <row r="127" spans="6:7">
      <c r="F127" s="22" t="s">
        <v>1867</v>
      </c>
      <c r="G127" s="22" t="s">
        <v>1855</v>
      </c>
    </row>
    <row r="128" spans="6:7">
      <c r="F128" s="22" t="s">
        <v>1866</v>
      </c>
      <c r="G128" s="22" t="s">
        <v>1856</v>
      </c>
    </row>
    <row r="129" spans="6:7">
      <c r="F129" s="22" t="s">
        <v>1868</v>
      </c>
      <c r="G129" s="22" t="s">
        <v>1854</v>
      </c>
    </row>
    <row r="130" spans="6:7">
      <c r="F130" s="22" t="s">
        <v>1864</v>
      </c>
      <c r="G130" s="22" t="s">
        <v>1761</v>
      </c>
    </row>
    <row r="131" spans="6:7">
      <c r="F131" s="22" t="s">
        <v>1865</v>
      </c>
      <c r="G131" s="22" t="s">
        <v>1761</v>
      </c>
    </row>
    <row r="132" spans="6:7">
      <c r="F132" s="22" t="s">
        <v>1862</v>
      </c>
      <c r="G132" s="22" t="s">
        <v>1742</v>
      </c>
    </row>
    <row r="133" spans="6:7">
      <c r="F133" s="22" t="s">
        <v>1863</v>
      </c>
      <c r="G133" s="22" t="s">
        <v>1861</v>
      </c>
    </row>
    <row r="134" spans="6:7">
      <c r="F134" s="22" t="s">
        <v>1870</v>
      </c>
      <c r="G134" s="22" t="s">
        <v>1855</v>
      </c>
    </row>
    <row r="135" spans="6:7">
      <c r="F135" s="22" t="s">
        <v>1871</v>
      </c>
      <c r="G135" s="22" t="s">
        <v>1855</v>
      </c>
    </row>
    <row r="136" spans="6:7">
      <c r="F136" s="22" t="s">
        <v>1869</v>
      </c>
      <c r="G136" s="22" t="s">
        <v>1856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IF(R2="","",IF(LEN(R2)&gt;9,SUMIFS(Options!$AZ$3:$AZ$32,Options!$B$3:$B$32,'Check result'!R2),SUMIFS('Master P&amp;L'!$AE$11:$AE$88,'Master P&amp;L'!$B$11:$B$88,'Check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IF(R3="","",IF(LEN(R3)&gt;9,SUMIFS(Options!$AZ$3:$AZ$32,Options!$B$3:$B$32,'Check result'!R3),SUMIFS('Master P&amp;L'!$AE$11:$AE$88,'Master P&amp;L'!$B$11:$B$88,'Check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IF(R4="","",IF(LEN(R4)&gt;9,SUMIFS(Options!$AZ$3:$AZ$32,Options!$B$3:$B$32,'Check result'!R4),SUMIFS('Master P&amp;L'!$AE$11:$AE$88,'Master P&amp;L'!$B$11:$B$88,'Check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IF(R5="","",IF(LEN(R5)&gt;9,SUMIFS(Options!$AZ$3:$AZ$32,Options!$B$3:$B$32,'Check result'!R5),SUMIFS('Master P&amp;L'!$AE$11:$AE$88,'Master P&amp;L'!$B$11:$B$88,'Check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IF(R6="","",IF(LEN(R6)&gt;9,SUMIFS(Options!$AZ$3:$AZ$32,Options!$B$3:$B$32,'Check result'!R6),SUMIFS('Master P&amp;L'!$AE$11:$AE$88,'Master P&amp;L'!$B$11:$B$88,'Check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IF(R7="","",IF(LEN(R7)&gt;9,SUMIFS(Options!$AZ$3:$AZ$32,Options!$B$3:$B$32,'Check result'!R7),SUMIFS('Master P&amp;L'!$AE$11:$AE$88,'Master P&amp;L'!$B$11:$B$88,'Check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IF(R8="","",IF(LEN(R8)&gt;9,SUMIFS(Options!$AZ$3:$AZ$32,Options!$B$3:$B$32,'Check result'!R8),SUMIFS('Master P&amp;L'!$AE$11:$AE$88,'Master P&amp;L'!$B$11:$B$88,'Check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IF(R9="","",IF(LEN(R9)&gt;9,SUMIFS(Options!$AZ$3:$AZ$32,Options!$B$3:$B$32,'Check result'!R9),SUMIFS('Master P&amp;L'!$AE$11:$AE$88,'Master P&amp;L'!$B$11:$B$88,'Check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IF(R10="","",IF(LEN(R10)&gt;9,SUMIFS(Options!$AZ$3:$AZ$32,Options!$B$3:$B$32,'Check result'!R10),SUMIFS('Master P&amp;L'!$AE$11:$AE$88,'Master P&amp;L'!$B$11:$B$88,'Check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IF(R11="","",IF(LEN(R11)&gt;9,SUMIFS(Options!$AZ$3:$AZ$32,Options!$B$3:$B$32,'Check result'!R11),SUMIFS('Master P&amp;L'!$AE$11:$AE$88,'Master P&amp;L'!$B$11:$B$88,'Check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IF(R12="","",IF(LEN(R12)&gt;9,SUMIFS(Options!$AZ$3:$AZ$32,Options!$B$3:$B$32,'Check result'!R12),SUMIFS('Master P&amp;L'!$AE$11:$AE$88,'Master P&amp;L'!$B$11:$B$88,'Check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IF(R13="","",IF(LEN(R13)&gt;9,SUMIFS(Options!$AZ$3:$AZ$32,Options!$B$3:$B$32,'Check result'!R13),SUMIFS('Master P&amp;L'!$AE$11:$AE$88,'Master P&amp;L'!$B$11:$B$88,'Check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IF(R14="","",IF(LEN(R14)&gt;9,SUMIFS(Options!$AZ$3:$AZ$32,Options!$B$3:$B$32,'Check result'!R14),SUMIFS('Master P&amp;L'!$AE$11:$AE$88,'Master P&amp;L'!$B$11:$B$88,'Check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IF(R15="","",IF(LEN(R15)&gt;9,SUMIFS(Options!$AZ$3:$AZ$32,Options!$B$3:$B$32,'Check result'!R15),SUMIFS('Master P&amp;L'!$AE$11:$AE$88,'Master P&amp;L'!$B$11:$B$88,'Check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IF(R16="","",IF(LEN(R16)&gt;9,SUMIFS(Options!$AZ$3:$AZ$32,Options!$B$3:$B$32,'Check result'!R16),SUMIFS('Master P&amp;L'!$AE$11:$AE$88,'Master P&amp;L'!$B$11:$B$88,'Check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IF(R17="","",IF(LEN(R17)&gt;9,SUMIFS(Options!$AZ$3:$AZ$32,Options!$B$3:$B$32,'Check result'!R17),SUMIFS('Master P&amp;L'!$AE$11:$AE$88,'Master P&amp;L'!$B$11:$B$88,'Check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IF(R18="","",IF(LEN(R18)&gt;9,SUMIFS(Options!$AZ$3:$AZ$32,Options!$B$3:$B$32,'Check result'!R18),SUMIFS('Master P&amp;L'!$AE$11:$AE$88,'Master P&amp;L'!$B$11:$B$88,'Check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IF(R19="","",IF(LEN(R19)&gt;9,SUMIFS(Options!$AZ$3:$AZ$32,Options!$B$3:$B$32,'Check result'!R19),SUMIFS('Master P&amp;L'!$AE$11:$AE$88,'Master P&amp;L'!$B$11:$B$88,'Check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IF(R20="","",IF(LEN(R20)&gt;9,SUMIFS(Options!$AZ$3:$AZ$32,Options!$B$3:$B$32,'Check result'!R20),SUMIFS('Master P&amp;L'!$AE$11:$AE$88,'Master P&amp;L'!$B$11:$B$88,'Check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IF(R21="","",IF(LEN(R21)&gt;9,SUMIFS(Options!$AZ$3:$AZ$32,Options!$B$3:$B$32,'Check result'!R21),SUMIFS('Master P&amp;L'!$AE$11:$AE$88,'Master P&amp;L'!$B$11:$B$88,'Check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IF(R22="","",IF(LEN(R22)&gt;9,SUMIFS(Options!$AZ$3:$AZ$32,Options!$B$3:$B$32,'Check result'!R22),SUMIFS('Master P&amp;L'!$AE$11:$AE$88,'Master P&amp;L'!$B$11:$B$88,'Check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IF(R23="","",IF(LEN(R23)&gt;9,SUMIFS(Options!$AZ$3:$AZ$32,Options!$B$3:$B$32,'Check result'!R23),SUMIFS('Master P&amp;L'!$AE$11:$AE$88,'Master P&amp;L'!$B$11:$B$88,'Check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IF(R24="","",IF(LEN(R24)&gt;9,SUMIFS(Options!$AZ$3:$AZ$32,Options!$B$3:$B$32,'Check result'!R24),SUMIFS('Master P&amp;L'!$AE$11:$AE$88,'Master P&amp;L'!$B$11:$B$88,'Check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IF(R25="","",IF(LEN(R25)&gt;9,SUMIFS(Options!$AZ$3:$AZ$32,Options!$B$3:$B$32,'Check result'!R25),SUMIFS('Master P&amp;L'!$AE$11:$AE$88,'Master P&amp;L'!$B$11:$B$88,'Check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IF(R26="","",IF(LEN(R26)&gt;9,SUMIFS(Options!$AZ$3:$AZ$32,Options!$B$3:$B$32,'Check result'!R26),SUMIFS('Master P&amp;L'!$AE$11:$AE$88,'Master P&amp;L'!$B$11:$B$88,'Check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IF(R27="","",IF(LEN(R27)&gt;9,SUMIFS(Options!$AZ$3:$AZ$32,Options!$B$3:$B$32,'Check result'!R27),SUMIFS('Master P&amp;L'!$AE$11:$AE$88,'Master P&amp;L'!$B$11:$B$88,'Check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IF(R28="","",IF(LEN(R28)&gt;9,SUMIFS(Options!$AZ$3:$AZ$32,Options!$B$3:$B$32,'Check result'!R28),SUMIFS('Master P&amp;L'!$AE$11:$AE$88,'Master P&amp;L'!$B$11:$B$88,'Check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IF(R29="","",IF(LEN(R29)&gt;9,SUMIFS(Options!$AZ$3:$AZ$32,Options!$B$3:$B$32,'Check result'!R29),SUMIFS('Master P&amp;L'!$AE$11:$AE$88,'Master P&amp;L'!$B$11:$B$88,'Check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IF(R30="","",IF(LEN(R30)&gt;9,SUMIFS(Options!$AZ$3:$AZ$32,Options!$B$3:$B$32,'Check result'!R30),SUMIFS('Master P&amp;L'!$AE$11:$AE$88,'Master P&amp;L'!$B$11:$B$88,'Check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IF(R31="","",IF(LEN(R31)&gt;9,SUMIFS(Options!$AZ$3:$AZ$32,Options!$B$3:$B$32,'Check result'!R31),SUMIFS('Master P&amp;L'!$AE$11:$AE$88,'Master P&amp;L'!$B$11:$B$88,'Check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IF(R32="","",IF(LEN(R32)&gt;9,SUMIFS(Options!$AZ$3:$AZ$32,Options!$B$3:$B$32,'Check result'!R32),SUMIFS('Master P&amp;L'!$AE$11:$AE$88,'Master P&amp;L'!$B$11:$B$88,'Check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IF(R33="","",IF(LEN(R33)&gt;9,SUMIFS(Options!$AZ$3:$AZ$32,Options!$B$3:$B$32,'Check result'!R33),SUMIFS('Master P&amp;L'!$AE$11:$AE$88,'Master P&amp;L'!$B$11:$B$88,'Check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IF(R34="","",IF(LEN(R34)&gt;9,SUMIFS(Options!$AZ$3:$AZ$32,Options!$B$3:$B$32,'Check result'!R34),SUMIFS('Master P&amp;L'!$AE$11:$AE$88,'Master P&amp;L'!$B$11:$B$88,'Check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IF(R35="","",IF(LEN(R35)&gt;9,SUMIFS(Options!$AZ$3:$AZ$32,Options!$B$3:$B$32,'Check result'!R35),SUMIFS('Master P&amp;L'!$AE$11:$AE$88,'Master P&amp;L'!$B$11:$B$88,'Check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IF(R36="","",IF(LEN(R36)&gt;9,SUMIFS(Options!$AZ$3:$AZ$32,Options!$B$3:$B$32,'Check result'!R36),SUMIFS('Master P&amp;L'!$AE$11:$AE$88,'Master P&amp;L'!$B$11:$B$88,'Check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IF(R37="","",IF(LEN(R37)&gt;9,SUMIFS(Options!$AZ$3:$AZ$32,Options!$B$3:$B$32,'Check result'!R37),SUMIFS('Master P&amp;L'!$AE$11:$AE$88,'Master P&amp;L'!$B$11:$B$88,'Check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IF(R38="","",IF(LEN(R38)&gt;9,SUMIFS(Options!$AZ$3:$AZ$32,Options!$B$3:$B$32,'Check result'!R38),SUMIFS('Master P&amp;L'!$AE$11:$AE$88,'Master P&amp;L'!$B$11:$B$88,'Check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IF(R39="","",IF(LEN(R39)&gt;9,SUMIFS(Options!$AZ$3:$AZ$32,Options!$B$3:$B$32,'Check result'!R39),SUMIFS('Master P&amp;L'!$AE$11:$AE$88,'Master P&amp;L'!$B$11:$B$88,'Check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IF(R40="","",IF(LEN(R40)&gt;9,SUMIFS(Options!$AZ$3:$AZ$32,Options!$B$3:$B$32,'Check result'!R40),SUMIFS('Master P&amp;L'!$AE$11:$AE$88,'Master P&amp;L'!$B$11:$B$88,'Check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IF(R41="","",IF(LEN(R41)&gt;9,SUMIFS(Options!$AZ$3:$AZ$32,Options!$B$3:$B$32,'Check result'!R41),SUMIFS('Master P&amp;L'!$AE$11:$AE$88,'Master P&amp;L'!$B$11:$B$88,'Check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IF(R42="","",IF(LEN(R42)&gt;9,SUMIFS(Options!$AZ$3:$AZ$32,Options!$B$3:$B$32,'Check result'!R42),SUMIFS('Master P&amp;L'!$AE$11:$AE$88,'Master P&amp;L'!$B$11:$B$88,'Check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IF(R43="","",IF(LEN(R43)&gt;9,SUMIFS(Options!$AZ$3:$AZ$32,Options!$B$3:$B$32,'Check result'!R43),SUMIFS('Master P&amp;L'!$AE$11:$AE$88,'Master P&amp;L'!$B$11:$B$88,'Check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IF(R44="","",IF(LEN(R44)&gt;9,SUMIFS(Options!$AZ$3:$AZ$32,Options!$B$3:$B$32,'Check result'!R44),SUMIFS('Master P&amp;L'!$AE$11:$AE$88,'Master P&amp;L'!$B$11:$B$88,'Check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IF(R45="","",IF(LEN(R45)&gt;9,SUMIFS(Options!$AZ$3:$AZ$32,Options!$B$3:$B$32,'Check result'!R45),SUMIFS('Master P&amp;L'!$AE$11:$AE$88,'Master P&amp;L'!$B$11:$B$88,'Check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IF(R46="","",IF(LEN(R46)&gt;9,SUMIFS(Options!$AZ$3:$AZ$32,Options!$B$3:$B$32,'Check result'!R46),SUMIFS('Master P&amp;L'!$AE$11:$AE$88,'Master P&amp;L'!$B$11:$B$88,'Check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IF(R47="","",IF(LEN(R47)&gt;9,SUMIFS(Options!$AZ$3:$AZ$32,Options!$B$3:$B$32,'Check result'!R47),SUMIFS('Master P&amp;L'!$AE$11:$AE$88,'Master P&amp;L'!$B$11:$B$88,'Check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IF(R48="","",IF(LEN(R48)&gt;9,SUMIFS(Options!$AZ$3:$AZ$32,Options!$B$3:$B$32,'Check result'!R48),SUMIFS('Master P&amp;L'!$AE$11:$AE$88,'Master P&amp;L'!$B$11:$B$88,'Check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IF(R49="","",IF(LEN(R49)&gt;9,SUMIFS(Options!$AZ$3:$AZ$32,Options!$B$3:$B$32,'Check result'!R49),SUMIFS('Master P&amp;L'!$AE$11:$AE$88,'Master P&amp;L'!$B$11:$B$88,'Check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IF(R50="","",IF(LEN(R50)&gt;9,SUMIFS(Options!$AZ$3:$AZ$32,Options!$B$3:$B$32,'Check result'!R50),SUMIFS('Master P&amp;L'!$AE$11:$AE$88,'Master P&amp;L'!$B$11:$B$88,'Check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IF(R51="","",IF(LEN(R51)&gt;9,SUMIFS(Options!$AZ$3:$AZ$32,Options!$B$3:$B$32,'Check result'!R51),SUMIFS('Master P&amp;L'!$AE$11:$AE$88,'Master P&amp;L'!$B$11:$B$88,'Check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IF(R52="","",IF(LEN(R52)&gt;9,SUMIFS(Options!$AZ$3:$AZ$32,Options!$B$3:$B$32,'Check result'!R52),SUMIFS('Master P&amp;L'!$AE$11:$AE$88,'Master P&amp;L'!$B$11:$B$88,'Check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IF(R53="","",IF(LEN(R53)&gt;9,SUMIFS(Options!$AZ$3:$AZ$32,Options!$B$3:$B$32,'Check result'!R53),SUMIFS('Master P&amp;L'!$AE$11:$AE$88,'Master P&amp;L'!$B$11:$B$88,'Check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IF(R54="","",IF(LEN(R54)&gt;9,SUMIFS(Options!$AZ$3:$AZ$32,Options!$B$3:$B$32,'Check result'!R54),SUMIFS('Master P&amp;L'!$AE$11:$AE$88,'Master P&amp;L'!$B$11:$B$88,'Check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IF(R55="","",IF(LEN(R55)&gt;9,SUMIFS(Options!$AZ$3:$AZ$32,Options!$B$3:$B$32,'Check result'!R55),SUMIFS('Master P&amp;L'!$AE$11:$AE$88,'Master P&amp;L'!$B$11:$B$88,'Check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IF(R56="","",IF(LEN(R56)&gt;9,SUMIFS(Options!$AZ$3:$AZ$32,Options!$B$3:$B$32,'Check result'!R56),SUMIFS('Master P&amp;L'!$AE$11:$AE$88,'Master P&amp;L'!$B$11:$B$88,'Check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IF(R57="","",IF(LEN(R57)&gt;9,SUMIFS(Options!$AZ$3:$AZ$32,Options!$B$3:$B$32,'Check result'!R57),SUMIFS('Master P&amp;L'!$AE$11:$AE$88,'Master P&amp;L'!$B$11:$B$88,'Check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IF(R58="","",IF(LEN(R58)&gt;9,SUMIFS(Options!$AZ$3:$AZ$32,Options!$B$3:$B$32,'Check result'!R58),SUMIFS('Master P&amp;L'!$AE$11:$AE$88,'Master P&amp;L'!$B$11:$B$88,'Check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IF(R59="","",IF(LEN(R59)&gt;9,SUMIFS(Options!$AZ$3:$AZ$32,Options!$B$3:$B$32,'Check result'!R59),SUMIFS('Master P&amp;L'!$AE$11:$AE$88,'Master P&amp;L'!$B$11:$B$88,'Check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IF(R60="","",IF(LEN(R60)&gt;9,SUMIFS(Options!$AZ$3:$AZ$32,Options!$B$3:$B$32,'Check result'!R60),SUMIFS('Master P&amp;L'!$AE$11:$AE$88,'Master P&amp;L'!$B$11:$B$88,'Check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IF(R61="","",IF(LEN(R61)&gt;9,SUMIFS(Options!$AZ$3:$AZ$32,Options!$B$3:$B$32,'Check result'!R61),SUMIFS('Master P&amp;L'!$AE$11:$AE$88,'Master P&amp;L'!$B$11:$B$88,'Check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IF(R62="","",IF(LEN(R62)&gt;9,SUMIFS(Options!$AZ$3:$AZ$32,Options!$B$3:$B$32,'Check result'!R62),SUMIFS('Master P&amp;L'!$AE$11:$AE$88,'Master P&amp;L'!$B$11:$B$88,'Check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IF(R63="","",IF(LEN(R63)&gt;9,SUMIFS(Options!$AZ$3:$AZ$32,Options!$B$3:$B$32,'Check result'!R63),SUMIFS('Master P&amp;L'!$AE$11:$AE$88,'Master P&amp;L'!$B$11:$B$88,'Check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IF(R64="","",IF(LEN(R64)&gt;9,SUMIFS(Options!$AZ$3:$AZ$32,Options!$B$3:$B$32,'Check result'!R64),SUMIFS('Master P&amp;L'!$AE$11:$AE$88,'Master P&amp;L'!$B$11:$B$88,'Check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IF(R65="","",IF(LEN(R65)&gt;9,SUMIFS(Options!$AZ$3:$AZ$32,Options!$B$3:$B$32,'Check result'!R65),SUMIFS('Master P&amp;L'!$AE$11:$AE$88,'Master P&amp;L'!$B$11:$B$88,'Check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IF(R66="","",IF(LEN(R66)&gt;9,SUMIFS(Options!$AZ$3:$AZ$32,Options!$B$3:$B$32,'Check result'!R66),SUMIFS('Master P&amp;L'!$AE$11:$AE$88,'Master P&amp;L'!$B$11:$B$88,'Check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IF(R67="","",IF(LEN(R67)&gt;9,SUMIFS(Options!$AZ$3:$AZ$32,Options!$B$3:$B$32,'Check result'!R67),SUMIFS('Master P&amp;L'!$AE$11:$AE$88,'Master P&amp;L'!$B$11:$B$88,'Check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IF(R68="","",IF(LEN(R68)&gt;9,SUMIFS(Options!$AZ$3:$AZ$32,Options!$B$3:$B$32,'Check result'!R68),SUMIFS('Master P&amp;L'!$AE$11:$AE$88,'Master P&amp;L'!$B$11:$B$88,'Check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IF(R69="","",IF(LEN(R69)&gt;9,SUMIFS(Options!$AZ$3:$AZ$32,Options!$B$3:$B$32,'Check result'!R69),SUMIFS('Master P&amp;L'!$AE$11:$AE$88,'Master P&amp;L'!$B$11:$B$88,'Check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IF(R70="","",IF(LEN(R70)&gt;9,SUMIFS(Options!$AZ$3:$AZ$32,Options!$B$3:$B$32,'Check result'!R70),SUMIFS('Master P&amp;L'!$AE$11:$AE$88,'Master P&amp;L'!$B$11:$B$88,'Check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IF(R71="","",IF(LEN(R71)&gt;9,SUMIFS(Options!$AZ$3:$AZ$32,Options!$B$3:$B$32,'Check result'!R71),SUMIFS('Master P&amp;L'!$AE$11:$AE$88,'Master P&amp;L'!$B$11:$B$88,'Check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IF(R72="","",IF(LEN(R72)&gt;9,SUMIFS(Options!$AZ$3:$AZ$32,Options!$B$3:$B$32,'Check result'!R72),SUMIFS('Master P&amp;L'!$AE$11:$AE$88,'Master P&amp;L'!$B$11:$B$88,'Check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IF(R73="","",IF(LEN(R73)&gt;9,SUMIFS(Options!$AZ$3:$AZ$32,Options!$B$3:$B$32,'Check result'!R73),SUMIFS('Master P&amp;L'!$AE$11:$AE$88,'Master P&amp;L'!$B$11:$B$88,'Check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IF(R74="","",IF(LEN(R74)&gt;9,SUMIFS(Options!$AZ$3:$AZ$32,Options!$B$3:$B$32,'Check result'!R74),SUMIFS('Master P&amp;L'!$AE$11:$AE$88,'Master P&amp;L'!$B$11:$B$88,'Check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IF(R75="","",IF(LEN(R75)&gt;9,SUMIFS(Options!$AZ$3:$AZ$32,Options!$B$3:$B$32,'Check result'!R75),SUMIFS('Master P&amp;L'!$AE$11:$AE$88,'Master P&amp;L'!$B$11:$B$88,'Check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IF(R76="","",IF(LEN(R76)&gt;9,SUMIFS(Options!$AZ$3:$AZ$32,Options!$B$3:$B$32,'Check result'!R76),SUMIFS('Master P&amp;L'!$AE$11:$AE$88,'Master P&amp;L'!$B$11:$B$88,'Check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IF(R77="","",IF(LEN(R77)&gt;9,SUMIFS(Options!$AZ$3:$AZ$32,Options!$B$3:$B$32,'Check result'!R77),SUMIFS('Master P&amp;L'!$AE$11:$AE$88,'Master P&amp;L'!$B$11:$B$88,'Check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IF(R78="","",IF(LEN(R78)&gt;9,SUMIFS(Options!$AZ$3:$AZ$32,Options!$B$3:$B$32,'Check result'!R78),SUMIFS('Master P&amp;L'!$AE$11:$AE$88,'Master P&amp;L'!$B$11:$B$88,'Check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IF(R79="","",IF(LEN(R79)&gt;9,SUMIFS(Options!$AZ$3:$AZ$32,Options!$B$3:$B$32,'Check result'!R79),SUMIFS('Master P&amp;L'!$AE$11:$AE$88,'Master P&amp;L'!$B$11:$B$88,'Check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IF(R80="","",IF(LEN(R80)&gt;9,SUMIFS(Options!$AZ$3:$AZ$32,Options!$B$3:$B$32,'Check result'!R80),SUMIFS('Master P&amp;L'!$AE$11:$AE$88,'Master P&amp;L'!$B$11:$B$88,'Check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IF(R81="","",IF(LEN(R81)&gt;9,SUMIFS(Options!$AZ$3:$AZ$32,Options!$B$3:$B$32,'Check result'!R81),SUMIFS('Master P&amp;L'!$AE$11:$AE$88,'Master P&amp;L'!$B$11:$B$88,'Check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IF(R82="","",IF(LEN(R82)&gt;9,SUMIFS(Options!$AZ$3:$AZ$32,Options!$B$3:$B$32,'Check result'!R82),SUMIFS('Master P&amp;L'!$AE$11:$AE$88,'Master P&amp;L'!$B$11:$B$88,'Check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IF(R83="","",IF(LEN(R83)&gt;9,SUMIFS(Options!$AZ$3:$AZ$32,Options!$B$3:$B$32,'Check result'!R83),SUMIFS('Master P&amp;L'!$AE$11:$AE$88,'Master P&amp;L'!$B$11:$B$88,'Check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IF(R84="","",IF(LEN(R84)&gt;9,SUMIFS(Options!$AZ$3:$AZ$32,Options!$B$3:$B$32,'Check result'!R84),SUMIFS('Master P&amp;L'!$AE$11:$AE$88,'Master P&amp;L'!$B$11:$B$88,'Check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IF(R85="","",IF(LEN(R85)&gt;9,SUMIFS(Options!$AZ$3:$AZ$32,Options!$B$3:$B$32,'Check result'!R85),SUMIFS('Master P&amp;L'!$AE$11:$AE$88,'Master P&amp;L'!$B$11:$B$88,'Check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IF(R86="","",IF(LEN(R86)&gt;9,SUMIFS(Options!$AZ$3:$AZ$32,Options!$B$3:$B$32,'Check result'!R86),SUMIFS('Master P&amp;L'!$AE$11:$AE$88,'Master P&amp;L'!$B$11:$B$88,'Check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IF(R87="","",IF(LEN(R87)&gt;9,SUMIFS(Options!$AZ$3:$AZ$32,Options!$B$3:$B$32,'Check result'!R87),SUMIFS('Master P&amp;L'!$AE$11:$AE$88,'Master P&amp;L'!$B$11:$B$88,'Check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IF(R88="","",IF(LEN(R88)&gt;9,SUMIFS(Options!$AZ$3:$AZ$32,Options!$B$3:$B$32,'Check result'!R88),SUMIFS('Master P&amp;L'!$AE$11:$AE$88,'Master P&amp;L'!$B$11:$B$88,'Check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IF(R89="","",IF(LEN(R89)&gt;9,SUMIFS(Options!$AZ$3:$AZ$32,Options!$B$3:$B$32,'Check result'!R89),SUMIFS('Master P&amp;L'!$AE$11:$AE$88,'Master P&amp;L'!$B$11:$B$88,'Check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IF(R90="","",IF(LEN(R90)&gt;9,SUMIFS(Options!$AZ$3:$AZ$32,Options!$B$3:$B$32,'Check result'!R90),SUMIFS('Master P&amp;L'!$AE$11:$AE$88,'Master P&amp;L'!$B$11:$B$88,'Check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IF(R91="","",IF(LEN(R91)&gt;9,SUMIFS(Options!$AZ$3:$AZ$32,Options!$B$3:$B$32,'Check result'!R91),SUMIFS('Master P&amp;L'!$AE$11:$AE$88,'Master P&amp;L'!$B$11:$B$88,'Check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IF(R92="","",IF(LEN(R92)&gt;9,SUMIFS(Options!$AZ$3:$AZ$32,Options!$B$3:$B$32,'Check result'!R92),SUMIFS('Master P&amp;L'!$AE$11:$AE$88,'Master P&amp;L'!$B$11:$B$88,'Check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IF(R93="","",IF(LEN(R93)&gt;9,SUMIFS(Options!$AZ$3:$AZ$32,Options!$B$3:$B$32,'Check result'!R93),SUMIFS('Master P&amp;L'!$AE$11:$AE$88,'Master P&amp;L'!$B$11:$B$88,'Check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IF(R94="","",IF(LEN(R94)&gt;9,SUMIFS(Options!$AZ$3:$AZ$32,Options!$B$3:$B$32,'Check result'!R94),SUMIFS('Master P&amp;L'!$AE$11:$AE$88,'Master P&amp;L'!$B$11:$B$88,'Check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IF(R95="","",IF(LEN(R95)&gt;9,SUMIFS(Options!$AZ$3:$AZ$32,Options!$B$3:$B$32,'Check result'!R95),SUMIFS('Master P&amp;L'!$AE$11:$AE$88,'Master P&amp;L'!$B$11:$B$88,'Check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IF(R96="","",IF(LEN(R96)&gt;9,SUMIFS(Options!$AZ$3:$AZ$32,Options!$B$3:$B$32,'Check result'!R96),SUMIFS('Master P&amp;L'!$AE$11:$AE$88,'Master P&amp;L'!$B$11:$B$88,'Check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IF(R97="","",IF(LEN(R97)&gt;9,SUMIFS(Options!$AZ$3:$AZ$32,Options!$B$3:$B$32,'Check result'!R97),SUMIFS('Master P&amp;L'!$AE$11:$AE$88,'Master P&amp;L'!$B$11:$B$88,'Check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IF(R98="","",IF(LEN(R98)&gt;9,SUMIFS(Options!$AZ$3:$AZ$32,Options!$B$3:$B$32,'Check result'!R98),SUMIFS('Master P&amp;L'!$AE$11:$AE$88,'Master P&amp;L'!$B$11:$B$88,'Check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IF(R99="","",IF(LEN(R99)&gt;9,SUMIFS(Options!$AZ$3:$AZ$32,Options!$B$3:$B$32,'Check result'!R99),SUMIFS('Master P&amp;L'!$AE$11:$AE$88,'Master P&amp;L'!$B$11:$B$88,'Check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IF(R100="","",IF(LEN(R100)&gt;9,SUMIFS(Options!$AZ$3:$AZ$32,Options!$B$3:$B$32,'Check result'!R100),SUMIFS('Master P&amp;L'!$AE$11:$AE$88,'Master P&amp;L'!$B$11:$B$88,'Check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IF(R101="","",IF(LEN(R101)&gt;9,SUMIFS(Options!$AZ$3:$AZ$32,Options!$B$3:$B$32,'Check result'!R101),SUMIFS('Master P&amp;L'!$AE$11:$AE$88,'Master P&amp;L'!$B$11:$B$88,'Check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IF(R102="","",IF(LEN(R102)&gt;9,SUMIFS(Options!$AZ$3:$AZ$32,Options!$B$3:$B$32,'Check result'!R102),SUMIFS('Master P&amp;L'!$AE$11:$AE$88,'Master P&amp;L'!$B$11:$B$88,'Check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IF(R103="","",IF(LEN(R103)&gt;9,SUMIFS(Options!$AZ$3:$AZ$32,Options!$B$3:$B$32,'Check result'!R103),SUMIFS('Master P&amp;L'!$AE$11:$AE$88,'Master P&amp;L'!$B$11:$B$88,'Check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IF(R104="","",IF(LEN(R104)&gt;9,SUMIFS(Options!$AZ$3:$AZ$32,Options!$B$3:$B$32,'Check result'!R104),SUMIFS('Master P&amp;L'!$AE$11:$AE$88,'Master P&amp;L'!$B$11:$B$88,'Check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IF(R105="","",IF(LEN(R105)&gt;9,SUMIFS(Options!$AZ$3:$AZ$32,Options!$B$3:$B$32,'Check result'!R105),SUMIFS('Master P&amp;L'!$AE$11:$AE$88,'Master P&amp;L'!$B$11:$B$88,'Check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IF(R106="","",IF(LEN(R106)&gt;9,SUMIFS(Options!$AZ$3:$AZ$32,Options!$B$3:$B$32,'Check result'!R106),SUMIFS('Master P&amp;L'!$AE$11:$AE$88,'Master P&amp;L'!$B$11:$B$88,'Check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IF(R107="","",IF(LEN(R107)&gt;9,SUMIFS(Options!$AZ$3:$AZ$32,Options!$B$3:$B$32,'Check result'!R107),SUMIFS('Master P&amp;L'!$AE$11:$AE$88,'Master P&amp;L'!$B$11:$B$88,'Check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IF(R108="","",IF(LEN(R108)&gt;9,SUMIFS(Options!$AZ$3:$AZ$32,Options!$B$3:$B$32,'Check result'!R108),SUMIFS('Master P&amp;L'!$AE$11:$AE$88,'Master P&amp;L'!$B$11:$B$88,'Check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IF(R109="","",IF(LEN(R109)&gt;9,SUMIFS(Options!$AZ$3:$AZ$32,Options!$B$3:$B$32,'Check result'!R109),SUMIFS('Master P&amp;L'!$AE$11:$AE$88,'Master P&amp;L'!$B$11:$B$88,'Check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IF(R110="","",IF(LEN(R110)&gt;9,SUMIFS(Options!$AZ$3:$AZ$32,Options!$B$3:$B$32,'Check result'!R110),SUMIFS('Master P&amp;L'!$AE$11:$AE$88,'Master P&amp;L'!$B$11:$B$88,'Check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IF(R111="","",IF(LEN(R111)&gt;9,SUMIFS(Options!$AZ$3:$AZ$32,Options!$B$3:$B$32,'Check result'!R111),SUMIFS('Master P&amp;L'!$AE$11:$AE$88,'Master P&amp;L'!$B$11:$B$88,'Check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IF(R112="","",IF(LEN(R112)&gt;9,SUMIFS(Options!$AZ$3:$AZ$32,Options!$B$3:$B$32,'Check result'!R112),SUMIFS('Master P&amp;L'!$AE$11:$AE$88,'Master P&amp;L'!$B$11:$B$88,'Check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IF(R113="","",IF(LEN(R113)&gt;9,SUMIFS(Options!$AZ$3:$AZ$32,Options!$B$3:$B$32,'Check result'!R113),SUMIFS('Master P&amp;L'!$AE$11:$AE$88,'Master P&amp;L'!$B$11:$B$88,'Check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IF(R114="","",IF(LEN(R114)&gt;9,SUMIFS(Options!$AZ$3:$AZ$32,Options!$B$3:$B$32,'Check result'!R114),SUMIFS('Master P&amp;L'!$AE$11:$AE$88,'Master P&amp;L'!$B$11:$B$88,'Check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IF(R115="","",IF(LEN(R115)&gt;9,SUMIFS(Options!$AZ$3:$AZ$32,Options!$B$3:$B$32,'Check result'!R115),SUMIFS('Master P&amp;L'!$AE$11:$AE$88,'Master P&amp;L'!$B$11:$B$88,'Check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IF(R116="","",IF(LEN(R116)&gt;9,SUMIFS(Options!$AZ$3:$AZ$32,Options!$B$3:$B$32,'Check result'!R116),SUMIFS('Master P&amp;L'!$AE$11:$AE$88,'Master P&amp;L'!$B$11:$B$88,'Check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IF(R117="","",IF(LEN(R117)&gt;9,SUMIFS(Options!$AZ$3:$AZ$32,Options!$B$3:$B$32,'Check result'!R117),SUMIFS('Master P&amp;L'!$AE$11:$AE$88,'Master P&amp;L'!$B$11:$B$88,'Check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IF(R118="","",IF(LEN(R118)&gt;9,SUMIFS(Options!$AZ$3:$AZ$32,Options!$B$3:$B$32,'Check result'!R118),SUMIFS('Master P&amp;L'!$AE$11:$AE$88,'Master P&amp;L'!$B$11:$B$88,'Check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IF(R119="","",IF(LEN(R119)&gt;9,SUMIFS(Options!$AZ$3:$AZ$32,Options!$B$3:$B$32,'Check result'!R119),SUMIFS('Master P&amp;L'!$AE$11:$AE$88,'Master P&amp;L'!$B$11:$B$88,'Check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IF(R120="","",IF(LEN(R120)&gt;9,SUMIFS(Options!$AZ$3:$AZ$32,Options!$B$3:$B$32,'Check result'!R120),SUMIFS('Master P&amp;L'!$AE$11:$AE$88,'Master P&amp;L'!$B$11:$B$88,'Check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IF(R121="","",IF(LEN(R121)&gt;9,SUMIFS(Options!$AZ$3:$AZ$32,Options!$B$3:$B$32,'Check result'!R121),SUMIFS('Master P&amp;L'!$AE$11:$AE$88,'Master P&amp;L'!$B$11:$B$88,'Check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IF(R122="","",IF(LEN(R122)&gt;9,SUMIFS(Options!$AZ$3:$AZ$32,Options!$B$3:$B$32,'Check result'!R122),SUMIFS('Master P&amp;L'!$AE$11:$AE$88,'Master P&amp;L'!$B$11:$B$88,'Check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IF(R123="","",IF(LEN(R123)&gt;9,SUMIFS(Options!$AZ$3:$AZ$32,Options!$B$3:$B$32,'Check result'!R123),SUMIFS('Master P&amp;L'!$AE$11:$AE$88,'Master P&amp;L'!$B$11:$B$88,'Check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IF(R124="","",IF(LEN(R124)&gt;9,SUMIFS(Options!$AZ$3:$AZ$32,Options!$B$3:$B$32,'Check result'!R124),SUMIFS('Master P&amp;L'!$AE$11:$AE$88,'Master P&amp;L'!$B$11:$B$88,'Check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IF(R125="","",IF(LEN(R125)&gt;9,SUMIFS(Options!$AZ$3:$AZ$32,Options!$B$3:$B$32,'Check result'!R125),SUMIFS('Master P&amp;L'!$AE$11:$AE$88,'Master P&amp;L'!$B$11:$B$88,'Check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IF(R126="","",IF(LEN(R126)&gt;9,SUMIFS(Options!$AZ$3:$AZ$32,Options!$B$3:$B$32,'Check result'!R126),SUMIFS('Master P&amp;L'!$AE$11:$AE$88,'Master P&amp;L'!$B$11:$B$88,'Check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IF(R127="","",IF(LEN(R127)&gt;9,SUMIFS(Options!$AZ$3:$AZ$32,Options!$B$3:$B$32,'Check result'!R127),SUMIFS('Master P&amp;L'!$AE$11:$AE$88,'Master P&amp;L'!$B$11:$B$88,'Check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IF(R128="","",IF(LEN(R128)&gt;9,SUMIFS(Options!$AZ$3:$AZ$32,Options!$B$3:$B$32,'Check result'!R128),SUMIFS('Master P&amp;L'!$AE$11:$AE$88,'Master P&amp;L'!$B$11:$B$88,'Check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IF(R129="","",IF(LEN(R129)&gt;9,SUMIFS(Options!$AZ$3:$AZ$32,Options!$B$3:$B$32,'Check result'!R129),SUMIFS('Master P&amp;L'!$AE$11:$AE$88,'Master P&amp;L'!$B$11:$B$88,'Check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IF(R130="","",IF(LEN(R130)&gt;9,SUMIFS(Options!$AZ$3:$AZ$32,Options!$B$3:$B$32,'Check result'!R130),SUMIFS('Master P&amp;L'!$AE$11:$AE$88,'Master P&amp;L'!$B$11:$B$88,'Check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IF(R131="","",IF(LEN(R131)&gt;9,SUMIFS(Options!$AZ$3:$AZ$32,Options!$B$3:$B$32,'Check result'!R131),SUMIFS('Master P&amp;L'!$AE$11:$AE$88,'Master P&amp;L'!$B$11:$B$88,'Check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IF(R132="","",IF(LEN(R132)&gt;9,SUMIFS(Options!$AZ$3:$AZ$32,Options!$B$3:$B$32,'Check result'!R132),SUMIFS('Master P&amp;L'!$AE$11:$AE$88,'Master P&amp;L'!$B$11:$B$88,'Check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IF(R133="","",IF(LEN(R133)&gt;9,SUMIFS(Options!$AZ$3:$AZ$32,Options!$B$3:$B$32,'Check result'!R133),SUMIFS('Master P&amp;L'!$AE$11:$AE$88,'Master P&amp;L'!$B$11:$B$88,'Check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IF(R134="","",IF(LEN(R134)&gt;9,SUMIFS(Options!$AZ$3:$AZ$32,Options!$B$3:$B$32,'Check result'!R134),SUMIFS('Master P&amp;L'!$AE$11:$AE$88,'Master P&amp;L'!$B$11:$B$88,'Check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IF(R135="","",IF(LEN(R135)&gt;9,SUMIFS(Options!$AZ$3:$AZ$32,Options!$B$3:$B$32,'Check result'!R135),SUMIFS('Master P&amp;L'!$AE$11:$AE$88,'Master P&amp;L'!$B$11:$B$88,'Check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IF(R136="","",IF(LEN(R136)&gt;9,SUMIFS(Options!$AZ$3:$AZ$32,Options!$B$3:$B$32,'Check result'!R136),SUMIFS('Master P&amp;L'!$AE$11:$AE$88,'Master P&amp;L'!$B$11:$B$88,'Check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IF(R137="","",IF(LEN(R137)&gt;9,SUMIFS(Options!$AZ$3:$AZ$32,Options!$B$3:$B$32,'Check result'!R137),SUMIFS('Master P&amp;L'!$AE$11:$AE$88,'Master P&amp;L'!$B$11:$B$88,'Check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IF(R138="","",IF(LEN(R138)&gt;9,SUMIFS(Options!$AZ$3:$AZ$32,Options!$B$3:$B$32,'Check result'!R138),SUMIFS('Master P&amp;L'!$AE$11:$AE$88,'Master P&amp;L'!$B$11:$B$88,'Check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IF(R139="","",IF(LEN(R139)&gt;9,SUMIFS(Options!$AZ$3:$AZ$32,Options!$B$3:$B$32,'Check result'!R139),SUMIFS('Master P&amp;L'!$AE$11:$AE$88,'Master P&amp;L'!$B$11:$B$88,'Check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IF(R140="","",IF(LEN(R140)&gt;9,SUMIFS(Options!$AZ$3:$AZ$32,Options!$B$3:$B$32,'Check result'!R140),SUMIFS('Master P&amp;L'!$AE$11:$AE$88,'Master P&amp;L'!$B$11:$B$88,'Check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IF(R141="","",IF(LEN(R141)&gt;9,SUMIFS(Options!$AZ$3:$AZ$32,Options!$B$3:$B$32,'Check result'!R141),SUMIFS('Master P&amp;L'!$AE$11:$AE$88,'Master P&amp;L'!$B$11:$B$88,'Check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IF(R142="","",IF(LEN(R142)&gt;9,SUMIFS(Options!$AZ$3:$AZ$32,Options!$B$3:$B$32,'Check result'!R142),SUMIFS('Master P&amp;L'!$AE$11:$AE$88,'Master P&amp;L'!$B$11:$B$88,'Check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IF(R143="","",IF(LEN(R143)&gt;9,SUMIFS(Options!$AZ$3:$AZ$32,Options!$B$3:$B$32,'Check result'!R143),SUMIFS('Master P&amp;L'!$AE$11:$AE$88,'Master P&amp;L'!$B$11:$B$88,'Check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IF(R144="","",IF(LEN(R144)&gt;9,SUMIFS(Options!$AZ$3:$AZ$32,Options!$B$3:$B$32,'Check result'!R144),SUMIFS('Master P&amp;L'!$AE$11:$AE$88,'Master P&amp;L'!$B$11:$B$88,'Check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IF(R145="","",IF(LEN(R145)&gt;9,SUMIFS(Options!$AZ$3:$AZ$32,Options!$B$3:$B$32,'Check result'!R145),SUMIFS('Master P&amp;L'!$AE$11:$AE$88,'Master P&amp;L'!$B$11:$B$88,'Check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IF(R146="","",IF(LEN(R146)&gt;9,SUMIFS(Options!$AZ$3:$AZ$32,Options!$B$3:$B$32,'Check result'!R146),SUMIFS('Master P&amp;L'!$AE$11:$AE$88,'Master P&amp;L'!$B$11:$B$88,'Check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IF(R147="","",IF(LEN(R147)&gt;9,SUMIFS(Options!$AZ$3:$AZ$32,Options!$B$3:$B$32,'Check result'!R147),SUMIFS('Master P&amp;L'!$AE$11:$AE$88,'Master P&amp;L'!$B$11:$B$88,'Check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IF(R148="","",IF(LEN(R148)&gt;9,SUMIFS(Options!$AZ$3:$AZ$32,Options!$B$3:$B$32,'Check result'!R148),SUMIFS('Master P&amp;L'!$AE$11:$AE$88,'Master P&amp;L'!$B$11:$B$88,'Check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IF(R149="","",IF(LEN(R149)&gt;9,SUMIFS(Options!$AZ$3:$AZ$32,Options!$B$3:$B$32,'Check result'!R149),SUMIFS('Master P&amp;L'!$AE$11:$AE$88,'Master P&amp;L'!$B$11:$B$88,'Check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IF(R150="","",IF(LEN(R150)&gt;9,SUMIFS(Options!$AZ$3:$AZ$32,Options!$B$3:$B$32,'Check result'!R150),SUMIFS('Master P&amp;L'!$AE$11:$AE$88,'Master P&amp;L'!$B$11:$B$88,'Check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IF(R151="","",IF(LEN(R151)&gt;9,SUMIFS(Options!$AZ$3:$AZ$32,Options!$B$3:$B$32,'Check result'!R151),SUMIFS('Master P&amp;L'!$AE$11:$AE$88,'Master P&amp;L'!$B$11:$B$88,'Check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IF(R152="","",IF(LEN(R152)&gt;9,SUMIFS(Options!$AZ$3:$AZ$32,Options!$B$3:$B$32,'Check result'!R152),SUMIFS('Master P&amp;L'!$AE$11:$AE$88,'Master P&amp;L'!$B$11:$B$88,'Check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IF(R153="","",IF(LEN(R153)&gt;9,SUMIFS(Options!$AZ$3:$AZ$32,Options!$B$3:$B$32,'Check result'!R153),SUMIFS('Master P&amp;L'!$AE$11:$AE$88,'Master P&amp;L'!$B$11:$B$88,'Check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IF(R154="","",IF(LEN(R154)&gt;9,SUMIFS(Options!$AZ$3:$AZ$32,Options!$B$3:$B$32,'Check result'!R154),SUMIFS('Master P&amp;L'!$AE$11:$AE$88,'Master P&amp;L'!$B$11:$B$88,'Check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IF(R155="","",IF(LEN(R155)&gt;9,SUMIFS(Options!$AZ$3:$AZ$32,Options!$B$3:$B$32,'Check result'!R155),SUMIFS('Master P&amp;L'!$AE$11:$AE$88,'Master P&amp;L'!$B$11:$B$88,'Check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IF(R156="","",IF(LEN(R156)&gt;9,SUMIFS(Options!$AZ$3:$AZ$32,Options!$B$3:$B$32,'Check result'!R156),SUMIFS('Master P&amp;L'!$AE$11:$AE$88,'Master P&amp;L'!$B$11:$B$88,'Check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IF(R157="","",IF(LEN(R157)&gt;9,SUMIFS(Options!$AZ$3:$AZ$32,Options!$B$3:$B$32,'Check result'!R157),SUMIFS('Master P&amp;L'!$AE$11:$AE$88,'Master P&amp;L'!$B$11:$B$88,'Check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IF(R158="","",IF(LEN(R158)&gt;9,SUMIFS(Options!$AZ$3:$AZ$32,Options!$B$3:$B$32,'Check result'!R158),SUMIFS('Master P&amp;L'!$AE$11:$AE$88,'Master P&amp;L'!$B$11:$B$88,'Check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IF(R159="","",IF(LEN(R159)&gt;9,SUMIFS(Options!$AZ$3:$AZ$32,Options!$B$3:$B$32,'Check result'!R159),SUMIFS('Master P&amp;L'!$AE$11:$AE$88,'Master P&amp;L'!$B$11:$B$88,'Check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IF(R160="","",IF(LEN(R160)&gt;9,SUMIFS(Options!$AZ$3:$AZ$32,Options!$B$3:$B$32,'Check result'!R160),SUMIFS('Master P&amp;L'!$AE$11:$AE$88,'Master P&amp;L'!$B$11:$B$88,'Check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IF(R161="","",IF(LEN(R161)&gt;9,SUMIFS(Options!$AZ$3:$AZ$32,Options!$B$3:$B$32,'Check result'!R161),SUMIFS('Master P&amp;L'!$AE$11:$AE$88,'Master P&amp;L'!$B$11:$B$88,'Check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IF(R162="","",IF(LEN(R162)&gt;9,SUMIFS(Options!$AZ$3:$AZ$32,Options!$B$3:$B$32,'Check result'!R162),SUMIFS('Master P&amp;L'!$AE$11:$AE$88,'Master P&amp;L'!$B$11:$B$88,'Check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IF(R163="","",IF(LEN(R163)&gt;9,SUMIFS(Options!$AZ$3:$AZ$32,Options!$B$3:$B$32,'Check result'!R163),SUMIFS('Master P&amp;L'!$AE$11:$AE$88,'Master P&amp;L'!$B$11:$B$88,'Check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IF(R164="","",IF(LEN(R164)&gt;9,SUMIFS(Options!$AZ$3:$AZ$32,Options!$B$3:$B$32,'Check result'!R164),SUMIFS('Master P&amp;L'!$AE$11:$AE$88,'Master P&amp;L'!$B$11:$B$88,'Check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IF(R165="","",IF(LEN(R165)&gt;9,SUMIFS(Options!$AZ$3:$AZ$32,Options!$B$3:$B$32,'Check result'!R165),SUMIFS('Master P&amp;L'!$AE$11:$AE$88,'Master P&amp;L'!$B$11:$B$88,'Check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33"/>
  <sheetViews>
    <sheetView workbookViewId="0">
      <selection activeCell="C27" sqref="C27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9" bestFit="1" customWidth="1"/>
    <col min="11" max="16" width="12" bestFit="1" customWidth="1"/>
    <col min="17" max="17" width="19.42578125" bestFit="1" customWidth="1"/>
  </cols>
  <sheetData>
    <row r="1" spans="1:17">
      <c r="A1" s="519" t="s">
        <v>339</v>
      </c>
      <c r="B1" s="520" t="s">
        <v>1921</v>
      </c>
      <c r="C1" s="521" t="s">
        <v>1922</v>
      </c>
      <c r="D1" s="522" t="s">
        <v>1923</v>
      </c>
      <c r="E1" s="523" t="s">
        <v>1924</v>
      </c>
      <c r="F1" s="523" t="s">
        <v>1925</v>
      </c>
      <c r="G1" s="523" t="s">
        <v>203</v>
      </c>
      <c r="H1" s="523" t="s">
        <v>218</v>
      </c>
      <c r="I1" s="523" t="s">
        <v>1926</v>
      </c>
      <c r="J1" s="523" t="s">
        <v>1927</v>
      </c>
      <c r="K1" s="524" t="s">
        <v>1928</v>
      </c>
      <c r="L1" s="525" t="s">
        <v>1929</v>
      </c>
      <c r="M1" s="526" t="s">
        <v>1930</v>
      </c>
      <c r="N1" s="522" t="s">
        <v>1931</v>
      </c>
      <c r="O1" s="517" t="s">
        <v>1932</v>
      </c>
      <c r="P1" s="527" t="s">
        <v>1</v>
      </c>
      <c r="Q1" s="533" t="s">
        <v>1933</v>
      </c>
    </row>
    <row r="2" spans="1:17">
      <c r="A2" s="443">
        <v>46042</v>
      </c>
      <c r="B2" s="444" t="s">
        <v>1898</v>
      </c>
      <c r="C2" s="445" t="s">
        <v>1937</v>
      </c>
      <c r="D2" s="446" t="s">
        <v>1938</v>
      </c>
      <c r="E2" s="447">
        <v>46101</v>
      </c>
      <c r="F2" s="446" t="s">
        <v>1939</v>
      </c>
      <c r="G2" s="446" t="s">
        <v>1940</v>
      </c>
      <c r="H2" s="446" t="s">
        <v>2176</v>
      </c>
      <c r="I2" s="446" t="s">
        <v>1935</v>
      </c>
      <c r="J2" s="534">
        <v>110.9</v>
      </c>
      <c r="K2" s="446">
        <v>6.9000000000000057</v>
      </c>
      <c r="L2" s="535">
        <v>7.56</v>
      </c>
      <c r="M2" s="536">
        <v>7.56</v>
      </c>
      <c r="N2" s="534">
        <v>7.56</v>
      </c>
      <c r="O2" s="537">
        <v>7.56</v>
      </c>
      <c r="P2" s="538">
        <v>21.577934920000001</v>
      </c>
      <c r="Q2" s="448" t="s">
        <v>1936</v>
      </c>
    </row>
    <row r="3" spans="1:17">
      <c r="A3" s="443">
        <v>46042</v>
      </c>
      <c r="B3" s="444" t="s">
        <v>1899</v>
      </c>
      <c r="C3" s="445" t="s">
        <v>1942</v>
      </c>
      <c r="D3" s="446" t="s">
        <v>1938</v>
      </c>
      <c r="E3" s="447">
        <v>46101</v>
      </c>
      <c r="F3" s="446" t="s">
        <v>1939</v>
      </c>
      <c r="G3" s="446" t="s">
        <v>1940</v>
      </c>
      <c r="H3" s="446" t="s">
        <v>2177</v>
      </c>
      <c r="I3" s="446" t="s">
        <v>1935</v>
      </c>
      <c r="J3" s="534">
        <v>110.9</v>
      </c>
      <c r="K3" s="446">
        <v>0</v>
      </c>
      <c r="L3" s="535">
        <v>1.29</v>
      </c>
      <c r="M3" s="536">
        <v>1.29</v>
      </c>
      <c r="N3" s="534">
        <v>1.29</v>
      </c>
      <c r="O3" s="537">
        <v>1.29</v>
      </c>
      <c r="P3" s="538">
        <v>23.747859859999998</v>
      </c>
      <c r="Q3" s="448" t="s">
        <v>1941</v>
      </c>
    </row>
    <row r="4" spans="1:17">
      <c r="A4" s="443">
        <v>46042</v>
      </c>
      <c r="B4" s="444" t="s">
        <v>1947</v>
      </c>
      <c r="C4" s="445" t="s">
        <v>1948</v>
      </c>
      <c r="D4" s="446" t="s">
        <v>1949</v>
      </c>
      <c r="E4" s="447">
        <v>46280</v>
      </c>
      <c r="F4" s="446" t="s">
        <v>1939</v>
      </c>
      <c r="G4" s="446" t="s">
        <v>1940</v>
      </c>
      <c r="H4" s="446" t="s">
        <v>2178</v>
      </c>
      <c r="I4" s="446" t="s">
        <v>1935</v>
      </c>
      <c r="J4" s="528">
        <v>8163.5</v>
      </c>
      <c r="K4" s="446">
        <v>676.2510000000002</v>
      </c>
      <c r="L4" s="529">
        <v>898.75640964510296</v>
      </c>
      <c r="M4" s="530">
        <v>898.75640964510296</v>
      </c>
      <c r="N4" s="446">
        <v>898.75640964510296</v>
      </c>
      <c r="O4" s="531">
        <v>731.59142121159573</v>
      </c>
      <c r="P4" s="449">
        <v>19.965616818767305</v>
      </c>
      <c r="Q4" s="448" t="s">
        <v>1936</v>
      </c>
    </row>
    <row r="5" spans="1:17">
      <c r="A5" s="443">
        <v>46042</v>
      </c>
      <c r="B5" s="444" t="s">
        <v>1950</v>
      </c>
      <c r="C5" s="445" t="s">
        <v>1951</v>
      </c>
      <c r="D5" s="446" t="s">
        <v>1949</v>
      </c>
      <c r="E5" s="447">
        <v>46280</v>
      </c>
      <c r="F5" s="446" t="s">
        <v>1939</v>
      </c>
      <c r="G5" s="446" t="s">
        <v>1940</v>
      </c>
      <c r="H5" s="446" t="s">
        <v>2179</v>
      </c>
      <c r="I5" s="446" t="s">
        <v>1935</v>
      </c>
      <c r="J5" s="528">
        <v>8163.5</v>
      </c>
      <c r="K5" s="446">
        <v>0</v>
      </c>
      <c r="L5" s="529">
        <v>499.83114477865655</v>
      </c>
      <c r="M5" s="530">
        <v>499.83114477865655</v>
      </c>
      <c r="N5" s="446">
        <v>499.83114477865655</v>
      </c>
      <c r="O5" s="531">
        <v>384.03585203757183</v>
      </c>
      <c r="P5" s="449">
        <v>19.965616818767305</v>
      </c>
      <c r="Q5" s="448" t="s">
        <v>1936</v>
      </c>
    </row>
    <row r="6" spans="1:17">
      <c r="A6" s="443">
        <v>46042</v>
      </c>
      <c r="B6" s="449" t="s">
        <v>1952</v>
      </c>
      <c r="C6" s="445" t="s">
        <v>1953</v>
      </c>
      <c r="D6" s="446" t="s">
        <v>1954</v>
      </c>
      <c r="E6" s="447">
        <v>46129</v>
      </c>
      <c r="F6" s="446" t="s">
        <v>1939</v>
      </c>
      <c r="G6" s="446" t="s">
        <v>194</v>
      </c>
      <c r="H6" s="446" t="s">
        <v>2180</v>
      </c>
      <c r="I6" s="446"/>
      <c r="J6" s="450">
        <v>2.6</v>
      </c>
      <c r="K6" s="446">
        <v>5.0000000000000266E-2</v>
      </c>
      <c r="L6" s="451">
        <v>0.19127187532205092</v>
      </c>
      <c r="M6" s="452">
        <v>0.19127187532205092</v>
      </c>
      <c r="N6" s="446">
        <v>0.19127187532205092</v>
      </c>
      <c r="O6" s="446">
        <v>0.19146232746530242</v>
      </c>
      <c r="P6" s="449">
        <v>31.205622599606791</v>
      </c>
      <c r="Q6" s="448" t="s">
        <v>1936</v>
      </c>
    </row>
    <row r="7" spans="1:17">
      <c r="A7" s="443">
        <v>46042</v>
      </c>
      <c r="B7" s="449" t="s">
        <v>1955</v>
      </c>
      <c r="C7" s="445" t="s">
        <v>1956</v>
      </c>
      <c r="D7" s="446" t="s">
        <v>1954</v>
      </c>
      <c r="E7" s="447">
        <v>46129</v>
      </c>
      <c r="F7" s="446" t="s">
        <v>1934</v>
      </c>
      <c r="G7" s="446" t="s">
        <v>194</v>
      </c>
      <c r="H7" s="446" t="s">
        <v>2181</v>
      </c>
      <c r="I7" s="446"/>
      <c r="J7" s="450">
        <v>2.6</v>
      </c>
      <c r="K7" s="446">
        <v>0</v>
      </c>
      <c r="L7" s="451">
        <v>1.4251777155675651E-2</v>
      </c>
      <c r="M7" s="452">
        <v>1.4251777155675651E-2</v>
      </c>
      <c r="N7" s="446">
        <v>1.4251777155675651E-2</v>
      </c>
      <c r="O7" s="446">
        <v>1.4251777155675651E-2</v>
      </c>
      <c r="P7" s="449">
        <v>41.154166653384983</v>
      </c>
      <c r="Q7" s="448" t="s">
        <v>1936</v>
      </c>
    </row>
    <row r="8" spans="1:17">
      <c r="A8" s="443">
        <v>46042</v>
      </c>
      <c r="B8" s="449" t="s">
        <v>1957</v>
      </c>
      <c r="C8" s="445" t="s">
        <v>1958</v>
      </c>
      <c r="D8" s="446" t="s">
        <v>1954</v>
      </c>
      <c r="E8" s="447">
        <v>46129</v>
      </c>
      <c r="F8" s="446" t="s">
        <v>1934</v>
      </c>
      <c r="G8" s="446" t="s">
        <v>194</v>
      </c>
      <c r="H8" s="446" t="s">
        <v>2182</v>
      </c>
      <c r="I8" s="446"/>
      <c r="J8" s="450">
        <v>2.6</v>
      </c>
      <c r="K8" s="446">
        <v>0</v>
      </c>
      <c r="L8" s="451">
        <v>4.2333210045203462E-2</v>
      </c>
      <c r="M8" s="452">
        <v>4.2333210045203462E-2</v>
      </c>
      <c r="N8" s="446">
        <v>4.2333210045203462E-2</v>
      </c>
      <c r="O8" s="446">
        <v>4.2333210045203462E-2</v>
      </c>
      <c r="P8" s="449">
        <v>34.941076331654074</v>
      </c>
      <c r="Q8" s="448" t="s">
        <v>1936</v>
      </c>
    </row>
    <row r="9" spans="1:17">
      <c r="A9" s="443">
        <v>46042</v>
      </c>
      <c r="B9" s="449" t="s">
        <v>2025</v>
      </c>
      <c r="C9" s="445" t="s">
        <v>2031</v>
      </c>
      <c r="D9" s="446" t="s">
        <v>1946</v>
      </c>
      <c r="E9" s="447">
        <v>46191</v>
      </c>
      <c r="F9" s="446" t="s">
        <v>1939</v>
      </c>
      <c r="G9" s="446" t="s">
        <v>194</v>
      </c>
      <c r="H9" s="446" t="s">
        <v>2183</v>
      </c>
      <c r="I9" s="446"/>
      <c r="J9" s="450">
        <v>327.16000000000003</v>
      </c>
      <c r="K9" s="446">
        <v>27.160000000000025</v>
      </c>
      <c r="L9" s="451">
        <v>50</v>
      </c>
      <c r="M9" s="452">
        <v>51.9</v>
      </c>
      <c r="N9" s="446">
        <v>50.95</v>
      </c>
      <c r="O9" s="446">
        <v>50.95</v>
      </c>
      <c r="P9" s="449"/>
      <c r="Q9" s="448" t="s">
        <v>1943</v>
      </c>
    </row>
    <row r="10" spans="1:17">
      <c r="A10" s="443">
        <v>46042</v>
      </c>
      <c r="B10" s="449" t="s">
        <v>2024</v>
      </c>
      <c r="C10" s="445" t="s">
        <v>2032</v>
      </c>
      <c r="D10" s="446" t="s">
        <v>1946</v>
      </c>
      <c r="E10" s="447">
        <v>46191</v>
      </c>
      <c r="F10" s="446" t="s">
        <v>1939</v>
      </c>
      <c r="G10" s="446" t="s">
        <v>194</v>
      </c>
      <c r="H10" s="446" t="s">
        <v>2184</v>
      </c>
      <c r="I10" s="446"/>
      <c r="J10" s="450">
        <v>327.16000000000003</v>
      </c>
      <c r="K10" s="446">
        <v>0</v>
      </c>
      <c r="L10" s="451">
        <v>18.2</v>
      </c>
      <c r="M10" s="452">
        <v>20.149999999999999</v>
      </c>
      <c r="N10" s="446">
        <v>19.174999999999997</v>
      </c>
      <c r="O10" s="446">
        <v>19.174999999999997</v>
      </c>
      <c r="P10" s="449"/>
      <c r="Q10" s="448" t="s">
        <v>1943</v>
      </c>
    </row>
    <row r="11" spans="1:17">
      <c r="A11" s="443">
        <v>46042</v>
      </c>
      <c r="B11" s="449" t="s">
        <v>2027</v>
      </c>
      <c r="C11" s="445" t="s">
        <v>2033</v>
      </c>
      <c r="D11" s="446" t="s">
        <v>1946</v>
      </c>
      <c r="E11" s="447">
        <v>46191</v>
      </c>
      <c r="F11" s="446" t="s">
        <v>1934</v>
      </c>
      <c r="G11" s="446" t="s">
        <v>194</v>
      </c>
      <c r="H11" s="446" t="s">
        <v>2185</v>
      </c>
      <c r="I11" s="446"/>
      <c r="J11" s="450">
        <v>327.16000000000003</v>
      </c>
      <c r="K11" s="446">
        <v>0</v>
      </c>
      <c r="L11" s="451">
        <v>6.45</v>
      </c>
      <c r="M11" s="452">
        <v>6.8</v>
      </c>
      <c r="N11" s="446">
        <v>6.625</v>
      </c>
      <c r="O11" s="446">
        <v>6.625</v>
      </c>
      <c r="P11" s="449"/>
      <c r="Q11" s="448" t="s">
        <v>1943</v>
      </c>
    </row>
    <row r="12" spans="1:17">
      <c r="A12" s="443">
        <v>46042</v>
      </c>
      <c r="B12" s="449" t="s">
        <v>2026</v>
      </c>
      <c r="C12" s="445" t="s">
        <v>2034</v>
      </c>
      <c r="D12" s="446" t="s">
        <v>1946</v>
      </c>
      <c r="E12" s="447">
        <v>46191</v>
      </c>
      <c r="F12" s="446" t="s">
        <v>1934</v>
      </c>
      <c r="G12" s="446" t="s">
        <v>194</v>
      </c>
      <c r="H12" s="446" t="s">
        <v>2186</v>
      </c>
      <c r="I12" s="446"/>
      <c r="J12" s="450">
        <v>327.16000000000003</v>
      </c>
      <c r="K12" s="446">
        <v>0</v>
      </c>
      <c r="L12" s="451">
        <v>2.21</v>
      </c>
      <c r="M12" s="452">
        <v>3.05</v>
      </c>
      <c r="N12" s="446">
        <v>2.63</v>
      </c>
      <c r="O12" s="446">
        <v>2.63</v>
      </c>
      <c r="P12" s="449"/>
      <c r="Q12" s="448" t="s">
        <v>1943</v>
      </c>
    </row>
    <row r="13" spans="1:17">
      <c r="A13" s="443">
        <v>46042</v>
      </c>
      <c r="B13" s="449" t="s">
        <v>2030</v>
      </c>
      <c r="C13" s="445" t="s">
        <v>2035</v>
      </c>
      <c r="D13" s="446" t="s">
        <v>1945</v>
      </c>
      <c r="E13" s="447">
        <v>46191</v>
      </c>
      <c r="F13" s="446" t="s">
        <v>1934</v>
      </c>
      <c r="G13" s="446" t="s">
        <v>194</v>
      </c>
      <c r="H13" s="446" t="s">
        <v>2187</v>
      </c>
      <c r="I13" s="446"/>
      <c r="J13" s="450">
        <v>454.79</v>
      </c>
      <c r="K13" s="446">
        <v>0</v>
      </c>
      <c r="L13" s="451">
        <v>17.850000000000001</v>
      </c>
      <c r="M13" s="452">
        <v>18.05</v>
      </c>
      <c r="N13" s="446">
        <v>17.950000000000003</v>
      </c>
      <c r="O13" s="446">
        <v>17.950000000000003</v>
      </c>
      <c r="P13" s="449"/>
      <c r="Q13" s="448" t="s">
        <v>1943</v>
      </c>
    </row>
    <row r="14" spans="1:17">
      <c r="A14" s="443">
        <v>46042</v>
      </c>
      <c r="B14" s="449" t="s">
        <v>2029</v>
      </c>
      <c r="C14" s="445" t="s">
        <v>2036</v>
      </c>
      <c r="D14" s="446" t="s">
        <v>1945</v>
      </c>
      <c r="E14" s="447">
        <v>46191</v>
      </c>
      <c r="F14" s="446" t="s">
        <v>1939</v>
      </c>
      <c r="G14" s="446" t="s">
        <v>194</v>
      </c>
      <c r="H14" s="446" t="s">
        <v>2188</v>
      </c>
      <c r="I14" s="446"/>
      <c r="J14" s="450">
        <v>454.79</v>
      </c>
      <c r="K14" s="446">
        <v>0</v>
      </c>
      <c r="L14" s="451">
        <v>12.4</v>
      </c>
      <c r="M14" s="452">
        <v>12.6</v>
      </c>
      <c r="N14" s="446">
        <v>12.5</v>
      </c>
      <c r="O14" s="446">
        <v>12.5</v>
      </c>
      <c r="P14" s="449"/>
      <c r="Q14" s="448" t="s">
        <v>1943</v>
      </c>
    </row>
    <row r="15" spans="1:17">
      <c r="A15" s="443">
        <v>46042</v>
      </c>
      <c r="B15" s="449" t="s">
        <v>2028</v>
      </c>
      <c r="C15" s="445" t="s">
        <v>2037</v>
      </c>
      <c r="D15" s="446" t="s">
        <v>1945</v>
      </c>
      <c r="E15" s="447">
        <v>46191</v>
      </c>
      <c r="F15" s="446" t="s">
        <v>1939</v>
      </c>
      <c r="G15" s="446" t="s">
        <v>194</v>
      </c>
      <c r="H15" s="446" t="s">
        <v>2189</v>
      </c>
      <c r="I15" s="446"/>
      <c r="J15" s="450">
        <v>454.79</v>
      </c>
      <c r="K15" s="446">
        <v>0</v>
      </c>
      <c r="L15" s="451">
        <v>2.77</v>
      </c>
      <c r="M15" s="452">
        <v>2.9</v>
      </c>
      <c r="N15" s="446">
        <v>2.835</v>
      </c>
      <c r="O15" s="446">
        <v>2.835</v>
      </c>
      <c r="P15" s="449"/>
      <c r="Q15" s="448" t="s">
        <v>1943</v>
      </c>
    </row>
    <row r="16" spans="1:17">
      <c r="A16" s="443">
        <v>46042</v>
      </c>
      <c r="B16" s="449" t="s">
        <v>2040</v>
      </c>
      <c r="C16" s="445" t="s">
        <v>2041</v>
      </c>
      <c r="D16" s="446" t="s">
        <v>1959</v>
      </c>
      <c r="E16" s="447">
        <v>46101</v>
      </c>
      <c r="F16" s="446" t="s">
        <v>1934</v>
      </c>
      <c r="G16" s="446" t="s">
        <v>194</v>
      </c>
      <c r="H16" s="446" t="s">
        <v>2190</v>
      </c>
      <c r="I16" s="446"/>
      <c r="J16" s="450">
        <v>608.05999999999995</v>
      </c>
      <c r="K16" s="446">
        <v>0</v>
      </c>
      <c r="L16" s="451">
        <v>5.97</v>
      </c>
      <c r="M16" s="452">
        <v>6.02</v>
      </c>
      <c r="N16" s="446">
        <v>5.9949999999999992</v>
      </c>
      <c r="O16" s="446">
        <v>5.9949999999999992</v>
      </c>
      <c r="P16" s="449"/>
      <c r="Q16" s="448" t="s">
        <v>1943</v>
      </c>
    </row>
    <row r="17" spans="1:17">
      <c r="A17" s="443">
        <v>46042</v>
      </c>
      <c r="B17" s="449" t="s">
        <v>2039</v>
      </c>
      <c r="C17" s="445" t="s">
        <v>2043</v>
      </c>
      <c r="D17" s="446" t="s">
        <v>1959</v>
      </c>
      <c r="E17" s="447">
        <v>46101</v>
      </c>
      <c r="F17" s="446" t="s">
        <v>1934</v>
      </c>
      <c r="G17" s="446" t="s">
        <v>194</v>
      </c>
      <c r="H17" s="446" t="s">
        <v>2191</v>
      </c>
      <c r="I17" s="446"/>
      <c r="J17" s="450">
        <v>608.05999999999995</v>
      </c>
      <c r="K17" s="446">
        <v>0</v>
      </c>
      <c r="L17" s="451">
        <v>10.9</v>
      </c>
      <c r="M17" s="452">
        <v>10.92</v>
      </c>
      <c r="N17" s="446">
        <v>10.91</v>
      </c>
      <c r="O17" s="446">
        <v>10.91</v>
      </c>
      <c r="P17" s="449"/>
      <c r="Q17" s="448" t="s">
        <v>1943</v>
      </c>
    </row>
    <row r="18" spans="1:17">
      <c r="A18" s="443">
        <v>46042</v>
      </c>
      <c r="B18" s="449" t="s">
        <v>2044</v>
      </c>
      <c r="C18" s="445" t="s">
        <v>2047</v>
      </c>
      <c r="D18" s="446" t="s">
        <v>2042</v>
      </c>
      <c r="E18" s="447">
        <v>46191</v>
      </c>
      <c r="F18" s="446" t="s">
        <v>1939</v>
      </c>
      <c r="G18" s="446" t="s">
        <v>194</v>
      </c>
      <c r="H18" s="446" t="s">
        <v>2192</v>
      </c>
      <c r="I18" s="446"/>
      <c r="J18" s="450">
        <v>231</v>
      </c>
      <c r="K18" s="446">
        <v>1</v>
      </c>
      <c r="L18" s="451">
        <v>23.15</v>
      </c>
      <c r="M18" s="452">
        <v>23.3</v>
      </c>
      <c r="N18" s="446">
        <v>23.225000000000001</v>
      </c>
      <c r="O18" s="446">
        <v>23.225000000000001</v>
      </c>
      <c r="P18" s="449"/>
      <c r="Q18" s="448" t="s">
        <v>1943</v>
      </c>
    </row>
    <row r="19" spans="1:17">
      <c r="A19" s="443">
        <v>46042</v>
      </c>
      <c r="B19" s="449" t="s">
        <v>2045</v>
      </c>
      <c r="C19" s="445" t="s">
        <v>2048</v>
      </c>
      <c r="D19" s="446" t="s">
        <v>2042</v>
      </c>
      <c r="E19" s="447">
        <v>46191</v>
      </c>
      <c r="F19" s="446" t="s">
        <v>1939</v>
      </c>
      <c r="G19" s="446" t="s">
        <v>194</v>
      </c>
      <c r="H19" s="446" t="s">
        <v>2193</v>
      </c>
      <c r="I19" s="446"/>
      <c r="J19" s="450">
        <v>231</v>
      </c>
      <c r="K19" s="446">
        <v>0</v>
      </c>
      <c r="L19" s="451">
        <v>10.85</v>
      </c>
      <c r="M19" s="452">
        <v>11</v>
      </c>
      <c r="N19" s="446">
        <v>10.925000000000001</v>
      </c>
      <c r="O19" s="446">
        <v>10.925000000000001</v>
      </c>
      <c r="P19" s="449"/>
      <c r="Q19" s="448" t="s">
        <v>1943</v>
      </c>
    </row>
    <row r="20" spans="1:17">
      <c r="A20" s="443">
        <v>46042</v>
      </c>
      <c r="B20" s="449" t="s">
        <v>2046</v>
      </c>
      <c r="C20" s="445" t="s">
        <v>2049</v>
      </c>
      <c r="D20" s="446" t="s">
        <v>2042</v>
      </c>
      <c r="E20" s="447">
        <v>46191</v>
      </c>
      <c r="F20" s="446" t="s">
        <v>1934</v>
      </c>
      <c r="G20" s="446" t="s">
        <v>194</v>
      </c>
      <c r="H20" s="446" t="s">
        <v>2194</v>
      </c>
      <c r="I20" s="446"/>
      <c r="J20" s="450">
        <v>231</v>
      </c>
      <c r="K20" s="446">
        <v>0</v>
      </c>
      <c r="L20" s="451">
        <v>7.85</v>
      </c>
      <c r="M20" s="452">
        <v>8</v>
      </c>
      <c r="N20" s="446">
        <v>7.9249999999999998</v>
      </c>
      <c r="O20" s="446">
        <v>7.9249999999999998</v>
      </c>
      <c r="P20" s="449"/>
      <c r="Q20" s="448" t="s">
        <v>1943</v>
      </c>
    </row>
    <row r="21" spans="1:17">
      <c r="A21" s="443">
        <v>46042</v>
      </c>
      <c r="B21" s="449" t="s">
        <v>2057</v>
      </c>
      <c r="C21" s="445" t="s">
        <v>2060</v>
      </c>
      <c r="D21" s="446" t="s">
        <v>1945</v>
      </c>
      <c r="E21" s="447">
        <v>46101</v>
      </c>
      <c r="F21" s="446" t="s">
        <v>1939</v>
      </c>
      <c r="G21" s="446" t="s">
        <v>194</v>
      </c>
      <c r="H21" s="446" t="s">
        <v>2196</v>
      </c>
      <c r="I21" s="446"/>
      <c r="J21" s="450">
        <v>454.79</v>
      </c>
      <c r="K21" s="446">
        <v>0</v>
      </c>
      <c r="L21" s="451">
        <v>8.0500000000000007</v>
      </c>
      <c r="M21" s="452">
        <v>8.1999999999999993</v>
      </c>
      <c r="N21" s="446">
        <v>8.125</v>
      </c>
      <c r="O21" s="446">
        <v>8.125</v>
      </c>
      <c r="P21" s="449"/>
      <c r="Q21" s="448" t="s">
        <v>1943</v>
      </c>
    </row>
    <row r="22" spans="1:17">
      <c r="A22" s="443">
        <v>46042</v>
      </c>
      <c r="B22" s="449" t="s">
        <v>2056</v>
      </c>
      <c r="C22" s="445" t="s">
        <v>2061</v>
      </c>
      <c r="D22" s="446" t="s">
        <v>1945</v>
      </c>
      <c r="E22" s="447">
        <v>46101</v>
      </c>
      <c r="F22" s="446" t="s">
        <v>1939</v>
      </c>
      <c r="G22" s="446" t="s">
        <v>194</v>
      </c>
      <c r="H22" s="446" t="s">
        <v>2188</v>
      </c>
      <c r="I22" s="446"/>
      <c r="J22" s="450">
        <v>454.79</v>
      </c>
      <c r="K22" s="446">
        <v>0</v>
      </c>
      <c r="L22" s="451">
        <v>3.35</v>
      </c>
      <c r="M22" s="452">
        <v>3.5</v>
      </c>
      <c r="N22" s="446">
        <v>3.4249999999999998</v>
      </c>
      <c r="O22" s="446">
        <v>3.4249999999999998</v>
      </c>
      <c r="P22" s="449"/>
      <c r="Q22" s="448" t="s">
        <v>1943</v>
      </c>
    </row>
    <row r="23" spans="1:17">
      <c r="A23" s="443">
        <v>46042</v>
      </c>
      <c r="B23" s="518" t="s">
        <v>2059</v>
      </c>
      <c r="C23" s="445" t="s">
        <v>2062</v>
      </c>
      <c r="D23" s="446" t="s">
        <v>1945</v>
      </c>
      <c r="E23" s="447">
        <v>46101</v>
      </c>
      <c r="F23" s="446" t="s">
        <v>1934</v>
      </c>
      <c r="G23" s="446" t="s">
        <v>194</v>
      </c>
      <c r="H23" s="446" t="s">
        <v>2197</v>
      </c>
      <c r="I23" s="446"/>
      <c r="J23" s="450">
        <v>454.79</v>
      </c>
      <c r="K23" s="446">
        <v>0.20999999999997954</v>
      </c>
      <c r="L23" s="451">
        <v>19.95</v>
      </c>
      <c r="M23" s="452">
        <v>20.2</v>
      </c>
      <c r="N23" s="446">
        <v>20.074999999999999</v>
      </c>
      <c r="O23" s="446">
        <v>20.074999999999999</v>
      </c>
      <c r="P23" s="449"/>
      <c r="Q23" s="448" t="s">
        <v>1943</v>
      </c>
    </row>
    <row r="24" spans="1:17">
      <c r="A24" s="443">
        <v>46042</v>
      </c>
      <c r="B24" s="518" t="s">
        <v>2058</v>
      </c>
      <c r="C24" s="445" t="s">
        <v>2063</v>
      </c>
      <c r="D24" s="446" t="s">
        <v>1945</v>
      </c>
      <c r="E24" s="447">
        <v>46101</v>
      </c>
      <c r="F24" s="446" t="s">
        <v>1934</v>
      </c>
      <c r="G24" s="446" t="s">
        <v>194</v>
      </c>
      <c r="H24" s="446" t="s">
        <v>2198</v>
      </c>
      <c r="I24" s="446"/>
      <c r="J24" s="450">
        <v>454.79</v>
      </c>
      <c r="K24" s="446">
        <v>10.20999999999998</v>
      </c>
      <c r="L24" s="451">
        <v>25.15</v>
      </c>
      <c r="M24" s="452">
        <v>25.4</v>
      </c>
      <c r="N24" s="446">
        <v>25.274999999999999</v>
      </c>
      <c r="O24" s="446">
        <v>25.274999999999999</v>
      </c>
      <c r="P24" s="449"/>
      <c r="Q24" s="448" t="s">
        <v>1943</v>
      </c>
    </row>
    <row r="25" spans="1:17">
      <c r="A25" s="443">
        <v>46042</v>
      </c>
      <c r="B25" s="518" t="s">
        <v>2067</v>
      </c>
      <c r="C25" s="445" t="s">
        <v>2069</v>
      </c>
      <c r="D25" s="446" t="s">
        <v>2070</v>
      </c>
      <c r="E25" s="447">
        <v>46101</v>
      </c>
      <c r="F25" s="446" t="s">
        <v>1934</v>
      </c>
      <c r="G25" s="446" t="s">
        <v>194</v>
      </c>
      <c r="H25" s="446" t="s">
        <v>2199</v>
      </c>
      <c r="I25" s="446"/>
      <c r="J25" s="450">
        <v>79.8</v>
      </c>
      <c r="K25" s="446">
        <v>0.20000000000000284</v>
      </c>
      <c r="L25" s="451">
        <v>7.35</v>
      </c>
      <c r="M25" s="452">
        <v>7.5</v>
      </c>
      <c r="N25" s="446">
        <v>7.4249999999999998</v>
      </c>
      <c r="O25" s="446">
        <v>7.4249999999999998</v>
      </c>
      <c r="P25" s="449"/>
      <c r="Q25" s="448" t="s">
        <v>1943</v>
      </c>
    </row>
    <row r="26" spans="1:17">
      <c r="A26" s="443">
        <v>46042</v>
      </c>
      <c r="B26" s="518" t="s">
        <v>2068</v>
      </c>
      <c r="C26" s="445" t="s">
        <v>2071</v>
      </c>
      <c r="D26" s="446" t="s">
        <v>2070</v>
      </c>
      <c r="E26" s="447">
        <v>46101</v>
      </c>
      <c r="F26" s="446" t="s">
        <v>1934</v>
      </c>
      <c r="G26" s="446" t="s">
        <v>194</v>
      </c>
      <c r="H26" s="446" t="s">
        <v>2200</v>
      </c>
      <c r="I26" s="446"/>
      <c r="J26" s="450">
        <v>79.8</v>
      </c>
      <c r="K26" s="446">
        <v>10.200000000000003</v>
      </c>
      <c r="L26" s="451">
        <v>12.55</v>
      </c>
      <c r="M26" s="452">
        <v>15.1</v>
      </c>
      <c r="N26" s="446">
        <v>13.824999999999999</v>
      </c>
      <c r="O26" s="446">
        <v>13.824999999999999</v>
      </c>
      <c r="P26" s="449"/>
      <c r="Q26" s="448" t="s">
        <v>1943</v>
      </c>
    </row>
    <row r="27" spans="1:17">
      <c r="A27" s="443">
        <v>46042</v>
      </c>
      <c r="B27" s="518" t="s">
        <v>2075</v>
      </c>
      <c r="C27" s="445" t="s">
        <v>2076</v>
      </c>
      <c r="D27" s="446" t="s">
        <v>1944</v>
      </c>
      <c r="E27" s="447">
        <v>46038</v>
      </c>
      <c r="F27" s="446" t="s">
        <v>1934</v>
      </c>
      <c r="G27" s="446" t="s">
        <v>194</v>
      </c>
      <c r="H27" s="446" t="s">
        <v>2201</v>
      </c>
      <c r="I27" s="446"/>
      <c r="J27" s="528">
        <v>33.619999999999997</v>
      </c>
      <c r="K27" s="446">
        <v>0.38000000000000256</v>
      </c>
      <c r="L27" s="529">
        <v>0.83499999999999996</v>
      </c>
      <c r="M27" s="530">
        <v>0.83499999999999996</v>
      </c>
      <c r="N27" s="446">
        <v>0.83499999999999996</v>
      </c>
      <c r="O27" s="446">
        <v>0.83499999999999996</v>
      </c>
      <c r="P27" s="449">
        <v>0</v>
      </c>
      <c r="Q27" s="448" t="s">
        <v>1936</v>
      </c>
    </row>
    <row r="28" spans="1:17">
      <c r="A28" s="443">
        <v>46042</v>
      </c>
      <c r="B28" s="518" t="s">
        <v>2078</v>
      </c>
      <c r="C28" s="445" t="s">
        <v>2080</v>
      </c>
      <c r="D28" s="446" t="s">
        <v>2081</v>
      </c>
      <c r="E28" s="447">
        <v>46129</v>
      </c>
      <c r="F28" s="446" t="s">
        <v>1939</v>
      </c>
      <c r="G28" s="446" t="s">
        <v>194</v>
      </c>
      <c r="H28" s="446" t="s">
        <v>2202</v>
      </c>
      <c r="I28" s="446"/>
      <c r="J28" s="450">
        <v>604.12</v>
      </c>
      <c r="K28" s="446">
        <v>0</v>
      </c>
      <c r="L28" s="451">
        <v>14.2</v>
      </c>
      <c r="M28" s="452">
        <v>14.45</v>
      </c>
      <c r="N28" s="446">
        <v>14.324999999999999</v>
      </c>
      <c r="O28" s="446">
        <v>14.324999999999999</v>
      </c>
      <c r="P28" s="449"/>
      <c r="Q28" s="448" t="s">
        <v>1943</v>
      </c>
    </row>
    <row r="29" spans="1:17">
      <c r="A29" s="443">
        <v>46042</v>
      </c>
      <c r="B29" s="444" t="s">
        <v>2077</v>
      </c>
      <c r="C29" s="445" t="s">
        <v>2082</v>
      </c>
      <c r="D29" s="446" t="s">
        <v>2081</v>
      </c>
      <c r="E29" s="447">
        <v>46129</v>
      </c>
      <c r="F29" s="446" t="s">
        <v>1939</v>
      </c>
      <c r="G29" s="446" t="s">
        <v>194</v>
      </c>
      <c r="H29" s="446" t="s">
        <v>2203</v>
      </c>
      <c r="I29" s="446"/>
      <c r="J29" s="450">
        <v>604.12</v>
      </c>
      <c r="K29" s="446">
        <v>0</v>
      </c>
      <c r="L29" s="451">
        <v>5.85</v>
      </c>
      <c r="M29" s="452">
        <v>6.05</v>
      </c>
      <c r="N29" s="446">
        <v>5.9499999999999993</v>
      </c>
      <c r="O29" s="446">
        <v>5.9499999999999993</v>
      </c>
      <c r="P29" s="449"/>
      <c r="Q29" s="448" t="s">
        <v>1943</v>
      </c>
    </row>
    <row r="30" spans="1:17">
      <c r="A30" s="443">
        <v>46042</v>
      </c>
      <c r="B30" s="518" t="s">
        <v>2079</v>
      </c>
      <c r="C30" s="445" t="s">
        <v>2083</v>
      </c>
      <c r="D30" s="446" t="s">
        <v>2081</v>
      </c>
      <c r="E30" s="447">
        <v>46129</v>
      </c>
      <c r="F30" s="446" t="s">
        <v>1934</v>
      </c>
      <c r="G30" s="446" t="s">
        <v>194</v>
      </c>
      <c r="H30" s="446" t="s">
        <v>2204</v>
      </c>
      <c r="I30" s="446"/>
      <c r="J30" s="450">
        <v>604.12</v>
      </c>
      <c r="K30" s="446">
        <v>0</v>
      </c>
      <c r="L30" s="451">
        <v>31.75</v>
      </c>
      <c r="M30" s="452">
        <v>32.15</v>
      </c>
      <c r="N30" s="446">
        <v>31.95</v>
      </c>
      <c r="O30" s="446">
        <v>31.95</v>
      </c>
      <c r="P30" s="449"/>
      <c r="Q30" s="448" t="s">
        <v>1943</v>
      </c>
    </row>
    <row r="31" spans="1:17">
      <c r="A31" s="443">
        <v>46042</v>
      </c>
      <c r="B31" s="518" t="s">
        <v>2085</v>
      </c>
      <c r="C31" s="445" t="s">
        <v>2090</v>
      </c>
      <c r="D31" s="446" t="s">
        <v>2091</v>
      </c>
      <c r="E31" s="447">
        <v>46073</v>
      </c>
      <c r="F31" s="446" t="s">
        <v>1939</v>
      </c>
      <c r="G31" s="446" t="s">
        <v>194</v>
      </c>
      <c r="H31" s="446" t="s">
        <v>2205</v>
      </c>
      <c r="I31" s="446"/>
      <c r="J31" s="450">
        <v>356.83</v>
      </c>
      <c r="K31" s="446">
        <v>0</v>
      </c>
      <c r="L31" s="451">
        <v>16.899999999999999</v>
      </c>
      <c r="M31" s="452">
        <v>20.5</v>
      </c>
      <c r="N31" s="446">
        <v>18.7</v>
      </c>
      <c r="O31" s="446">
        <v>18.7</v>
      </c>
      <c r="P31" s="449"/>
      <c r="Q31" s="448" t="s">
        <v>1943</v>
      </c>
    </row>
    <row r="32" spans="1:17">
      <c r="A32" s="443">
        <v>46042</v>
      </c>
      <c r="B32" s="518" t="s">
        <v>2084</v>
      </c>
      <c r="C32" s="445" t="s">
        <v>2092</v>
      </c>
      <c r="D32" s="446" t="s">
        <v>2091</v>
      </c>
      <c r="E32" s="447">
        <v>46073</v>
      </c>
      <c r="F32" s="446" t="s">
        <v>1939</v>
      </c>
      <c r="G32" s="446" t="s">
        <v>194</v>
      </c>
      <c r="H32" s="446" t="s">
        <v>2206</v>
      </c>
      <c r="I32" s="446"/>
      <c r="J32" s="450">
        <v>356.83</v>
      </c>
      <c r="K32" s="446">
        <v>0</v>
      </c>
      <c r="L32" s="451">
        <v>30.2</v>
      </c>
      <c r="M32" s="452">
        <v>32</v>
      </c>
      <c r="N32" s="446">
        <v>31.1</v>
      </c>
      <c r="O32" s="446">
        <v>31.1</v>
      </c>
      <c r="P32" s="449"/>
      <c r="Q32" s="448" t="s">
        <v>1943</v>
      </c>
    </row>
    <row r="33" spans="1:17">
      <c r="A33" s="443">
        <v>46042</v>
      </c>
      <c r="B33" s="518" t="s">
        <v>2088</v>
      </c>
      <c r="C33" s="445" t="s">
        <v>2093</v>
      </c>
      <c r="D33" s="446" t="s">
        <v>2094</v>
      </c>
      <c r="E33" s="447">
        <v>46101</v>
      </c>
      <c r="F33" s="446" t="s">
        <v>1939</v>
      </c>
      <c r="G33" s="446" t="s">
        <v>194</v>
      </c>
      <c r="H33" s="446" t="s">
        <v>2186</v>
      </c>
      <c r="I33" s="446"/>
      <c r="J33" s="450">
        <v>193.46</v>
      </c>
      <c r="K33" s="446">
        <v>0</v>
      </c>
      <c r="L33" s="451">
        <v>19.899999999999999</v>
      </c>
      <c r="M33" s="452">
        <v>21.5</v>
      </c>
      <c r="N33" s="446">
        <v>20.7</v>
      </c>
      <c r="O33" s="446">
        <v>20.7</v>
      </c>
      <c r="P33" s="449"/>
      <c r="Q33" s="448" t="s">
        <v>1943</v>
      </c>
    </row>
    <row r="34" spans="1:17">
      <c r="A34" s="443">
        <v>46042</v>
      </c>
      <c r="B34" s="518" t="s">
        <v>2089</v>
      </c>
      <c r="C34" s="445" t="s">
        <v>2095</v>
      </c>
      <c r="D34" s="446" t="s">
        <v>2094</v>
      </c>
      <c r="E34" s="447">
        <v>46101</v>
      </c>
      <c r="F34" s="446" t="s">
        <v>1939</v>
      </c>
      <c r="G34" s="446" t="s">
        <v>194</v>
      </c>
      <c r="H34" s="446" t="s">
        <v>2185</v>
      </c>
      <c r="I34" s="446"/>
      <c r="J34" s="450">
        <v>193.46</v>
      </c>
      <c r="K34" s="446">
        <v>0</v>
      </c>
      <c r="L34" s="451">
        <v>9.9</v>
      </c>
      <c r="M34" s="452">
        <v>10.3</v>
      </c>
      <c r="N34" s="446">
        <v>10.100000000000001</v>
      </c>
      <c r="O34" s="446">
        <v>10.100000000000001</v>
      </c>
      <c r="P34" s="449"/>
      <c r="Q34" s="448" t="s">
        <v>1943</v>
      </c>
    </row>
    <row r="35" spans="1:17">
      <c r="A35" s="443">
        <v>46042</v>
      </c>
      <c r="B35" s="518" t="s">
        <v>2101</v>
      </c>
      <c r="C35" s="445" t="s">
        <v>2103</v>
      </c>
      <c r="D35" s="446" t="s">
        <v>2104</v>
      </c>
      <c r="E35" s="447">
        <v>46101</v>
      </c>
      <c r="F35" s="446" t="s">
        <v>1939</v>
      </c>
      <c r="G35" s="446" t="s">
        <v>194</v>
      </c>
      <c r="H35" s="446" t="s">
        <v>2176</v>
      </c>
      <c r="I35" s="446"/>
      <c r="J35" s="450">
        <v>87.052999999999997</v>
      </c>
      <c r="K35" s="446">
        <v>0</v>
      </c>
      <c r="L35" s="451">
        <v>1.4</v>
      </c>
      <c r="M35" s="452">
        <v>1.52</v>
      </c>
      <c r="N35" s="446">
        <v>1.46</v>
      </c>
      <c r="O35" s="446">
        <v>1.46</v>
      </c>
      <c r="P35" s="449"/>
      <c r="Q35" s="448" t="s">
        <v>1943</v>
      </c>
    </row>
    <row r="36" spans="1:17">
      <c r="A36" s="443">
        <v>46042</v>
      </c>
      <c r="B36" s="518" t="s">
        <v>2102</v>
      </c>
      <c r="C36" s="445" t="s">
        <v>2105</v>
      </c>
      <c r="D36" s="446" t="s">
        <v>2104</v>
      </c>
      <c r="E36" s="447">
        <v>46101</v>
      </c>
      <c r="F36" s="446" t="s">
        <v>1934</v>
      </c>
      <c r="G36" s="446" t="s">
        <v>194</v>
      </c>
      <c r="H36" s="446" t="s">
        <v>2207</v>
      </c>
      <c r="I36" s="446"/>
      <c r="J36" s="450">
        <v>87.052999999999997</v>
      </c>
      <c r="K36" s="446">
        <v>0</v>
      </c>
      <c r="L36" s="451">
        <v>3.7</v>
      </c>
      <c r="M36" s="452">
        <v>3.95</v>
      </c>
      <c r="N36" s="446">
        <v>3.8250000000000002</v>
      </c>
      <c r="O36" s="446">
        <v>3.8250000000000002</v>
      </c>
      <c r="P36" s="449"/>
      <c r="Q36" s="448" t="s">
        <v>1943</v>
      </c>
    </row>
    <row r="37" spans="1:17">
      <c r="A37" s="443">
        <v>46042</v>
      </c>
      <c r="B37" s="518" t="s">
        <v>2100</v>
      </c>
      <c r="C37" s="445" t="s">
        <v>2106</v>
      </c>
      <c r="D37" s="446" t="s">
        <v>2104</v>
      </c>
      <c r="E37" s="447">
        <v>46101</v>
      </c>
      <c r="F37" s="446" t="s">
        <v>1934</v>
      </c>
      <c r="G37" s="446" t="s">
        <v>194</v>
      </c>
      <c r="H37" s="446" t="s">
        <v>2208</v>
      </c>
      <c r="I37" s="446"/>
      <c r="J37" s="450">
        <v>87.052999999999997</v>
      </c>
      <c r="K37" s="446">
        <v>4.9470000000000027</v>
      </c>
      <c r="L37" s="451">
        <v>8.4</v>
      </c>
      <c r="M37" s="452">
        <v>8.6999999999999993</v>
      </c>
      <c r="N37" s="446">
        <v>8.5500000000000007</v>
      </c>
      <c r="O37" s="446">
        <v>8.5500000000000007</v>
      </c>
      <c r="P37" s="449"/>
      <c r="Q37" s="448" t="s">
        <v>1943</v>
      </c>
    </row>
    <row r="38" spans="1:17">
      <c r="A38" s="443">
        <v>46042</v>
      </c>
      <c r="B38" s="518" t="s">
        <v>2108</v>
      </c>
      <c r="C38" s="445" t="s">
        <v>2111</v>
      </c>
      <c r="D38" s="446" t="s">
        <v>2070</v>
      </c>
      <c r="E38" s="447">
        <v>46101</v>
      </c>
      <c r="F38" s="446" t="s">
        <v>1934</v>
      </c>
      <c r="G38" s="446" t="s">
        <v>194</v>
      </c>
      <c r="H38" s="446" t="s">
        <v>2209</v>
      </c>
      <c r="I38" s="446"/>
      <c r="J38" s="450">
        <v>79.8</v>
      </c>
      <c r="K38" s="446">
        <v>0</v>
      </c>
      <c r="L38" s="451">
        <v>4.95</v>
      </c>
      <c r="M38" s="452">
        <v>5.15</v>
      </c>
      <c r="N38" s="446">
        <v>5.0500000000000007</v>
      </c>
      <c r="O38" s="446">
        <v>5.0500000000000007</v>
      </c>
      <c r="P38" s="449"/>
      <c r="Q38" s="448" t="s">
        <v>1943</v>
      </c>
    </row>
    <row r="39" spans="1:17">
      <c r="A39" s="443">
        <v>46042</v>
      </c>
      <c r="B39" s="518" t="s">
        <v>2107</v>
      </c>
      <c r="C39" s="445" t="s">
        <v>2112</v>
      </c>
      <c r="D39" s="446" t="s">
        <v>2070</v>
      </c>
      <c r="E39" s="447">
        <v>46101</v>
      </c>
      <c r="F39" s="446" t="s">
        <v>1934</v>
      </c>
      <c r="G39" s="446" t="s">
        <v>194</v>
      </c>
      <c r="H39" s="446" t="s">
        <v>2210</v>
      </c>
      <c r="I39" s="446"/>
      <c r="J39" s="450">
        <v>79.8</v>
      </c>
      <c r="K39" s="446">
        <v>5.2000000000000028</v>
      </c>
      <c r="L39" s="451">
        <v>10.25</v>
      </c>
      <c r="M39" s="452">
        <v>10.45</v>
      </c>
      <c r="N39" s="446">
        <v>10.35</v>
      </c>
      <c r="O39" s="446">
        <v>10.35</v>
      </c>
      <c r="P39" s="449"/>
      <c r="Q39" s="448" t="s">
        <v>1943</v>
      </c>
    </row>
    <row r="40" spans="1:17">
      <c r="A40" s="443">
        <v>46042</v>
      </c>
      <c r="B40" s="518" t="s">
        <v>2120</v>
      </c>
      <c r="C40" s="445" t="s">
        <v>2126</v>
      </c>
      <c r="D40" s="446" t="s">
        <v>2127</v>
      </c>
      <c r="E40" s="447">
        <v>46191</v>
      </c>
      <c r="F40" s="446" t="s">
        <v>1939</v>
      </c>
      <c r="G40" s="446" t="s">
        <v>194</v>
      </c>
      <c r="H40" s="446" t="s">
        <v>2211</v>
      </c>
      <c r="I40" s="446"/>
      <c r="J40" s="450">
        <v>332.7996</v>
      </c>
      <c r="K40" s="446">
        <v>0</v>
      </c>
      <c r="L40" s="451">
        <v>37.9</v>
      </c>
      <c r="M40" s="452">
        <v>39.35</v>
      </c>
      <c r="N40" s="446">
        <v>38.625</v>
      </c>
      <c r="O40" s="446">
        <v>38.625</v>
      </c>
      <c r="P40" s="449"/>
      <c r="Q40" s="448" t="s">
        <v>1943</v>
      </c>
    </row>
    <row r="41" spans="1:17">
      <c r="A41" s="443">
        <v>46042</v>
      </c>
      <c r="B41" s="518" t="s">
        <v>2122</v>
      </c>
      <c r="C41" s="445" t="s">
        <v>2128</v>
      </c>
      <c r="D41" s="446" t="s">
        <v>2127</v>
      </c>
      <c r="E41" s="447">
        <v>46191</v>
      </c>
      <c r="F41" s="446" t="s">
        <v>1939</v>
      </c>
      <c r="G41" s="446" t="s">
        <v>194</v>
      </c>
      <c r="H41" s="446" t="s">
        <v>2212</v>
      </c>
      <c r="I41" s="446"/>
      <c r="J41" s="450">
        <v>332.7996</v>
      </c>
      <c r="K41" s="446">
        <v>0</v>
      </c>
      <c r="L41" s="451">
        <v>19.45</v>
      </c>
      <c r="M41" s="452">
        <v>19.899999999999999</v>
      </c>
      <c r="N41" s="446">
        <v>19.674999999999997</v>
      </c>
      <c r="O41" s="446">
        <v>19.674999999999997</v>
      </c>
      <c r="P41" s="449"/>
      <c r="Q41" s="448" t="s">
        <v>1943</v>
      </c>
    </row>
    <row r="42" spans="1:17">
      <c r="A42" s="443">
        <v>46042</v>
      </c>
      <c r="B42" s="518" t="s">
        <v>2121</v>
      </c>
      <c r="C42" s="445" t="s">
        <v>2129</v>
      </c>
      <c r="D42" s="446" t="s">
        <v>2127</v>
      </c>
      <c r="E42" s="447">
        <v>46191</v>
      </c>
      <c r="F42" s="446" t="s">
        <v>1934</v>
      </c>
      <c r="G42" s="446" t="s">
        <v>194</v>
      </c>
      <c r="H42" s="446" t="s">
        <v>2213</v>
      </c>
      <c r="I42" s="446"/>
      <c r="J42" s="450">
        <v>332.7996</v>
      </c>
      <c r="K42" s="446">
        <v>0</v>
      </c>
      <c r="L42" s="451">
        <v>15.7</v>
      </c>
      <c r="M42" s="452">
        <v>16.05</v>
      </c>
      <c r="N42" s="446">
        <v>15.875</v>
      </c>
      <c r="O42" s="446">
        <v>15.875</v>
      </c>
      <c r="P42" s="449"/>
      <c r="Q42" s="448" t="s">
        <v>1943</v>
      </c>
    </row>
    <row r="43" spans="1:17">
      <c r="A43" s="443">
        <v>46042</v>
      </c>
      <c r="B43" s="518" t="s">
        <v>2119</v>
      </c>
      <c r="C43" s="445" t="s">
        <v>2130</v>
      </c>
      <c r="D43" s="446" t="s">
        <v>2127</v>
      </c>
      <c r="E43" s="447">
        <v>46191</v>
      </c>
      <c r="F43" s="446" t="s">
        <v>1934</v>
      </c>
      <c r="G43" s="446" t="s">
        <v>194</v>
      </c>
      <c r="H43" s="446" t="s">
        <v>2183</v>
      </c>
      <c r="I43" s="446"/>
      <c r="J43" s="450">
        <v>332.7996</v>
      </c>
      <c r="K43" s="446">
        <v>0</v>
      </c>
      <c r="L43" s="451">
        <v>25.75</v>
      </c>
      <c r="M43" s="452">
        <v>26.2</v>
      </c>
      <c r="N43" s="446">
        <v>25.975000000000001</v>
      </c>
      <c r="O43" s="446">
        <v>25.975000000000001</v>
      </c>
      <c r="P43" s="449"/>
      <c r="Q43" s="448" t="s">
        <v>1943</v>
      </c>
    </row>
    <row r="44" spans="1:17">
      <c r="A44" s="443">
        <v>46042</v>
      </c>
      <c r="B44" s="518" t="s">
        <v>2123</v>
      </c>
      <c r="C44" s="445" t="s">
        <v>2131</v>
      </c>
      <c r="D44" s="446" t="s">
        <v>2081</v>
      </c>
      <c r="E44" s="447">
        <v>46129</v>
      </c>
      <c r="F44" s="446" t="s">
        <v>1934</v>
      </c>
      <c r="G44" s="446" t="s">
        <v>194</v>
      </c>
      <c r="H44" s="446" t="s">
        <v>2214</v>
      </c>
      <c r="I44" s="446"/>
      <c r="J44" s="450">
        <v>604.12</v>
      </c>
      <c r="K44" s="446">
        <v>0</v>
      </c>
      <c r="L44" s="451">
        <v>36.25</v>
      </c>
      <c r="M44" s="452">
        <v>36.700000000000003</v>
      </c>
      <c r="N44" s="446">
        <v>36.475000000000001</v>
      </c>
      <c r="O44" s="446">
        <v>36.475000000000001</v>
      </c>
      <c r="P44" s="449"/>
      <c r="Q44" s="448" t="s">
        <v>1943</v>
      </c>
    </row>
    <row r="45" spans="1:17">
      <c r="A45" s="443">
        <v>46042</v>
      </c>
      <c r="B45" s="518" t="s">
        <v>2110</v>
      </c>
      <c r="C45" s="445" t="s">
        <v>2132</v>
      </c>
      <c r="D45" s="446" t="s">
        <v>1946</v>
      </c>
      <c r="E45" s="447">
        <v>46101</v>
      </c>
      <c r="F45" s="446" t="s">
        <v>1939</v>
      </c>
      <c r="G45" s="446" t="s">
        <v>194</v>
      </c>
      <c r="H45" s="446" t="s">
        <v>2195</v>
      </c>
      <c r="I45" s="446"/>
      <c r="J45" s="450">
        <v>327.16000000000003</v>
      </c>
      <c r="K45" s="446">
        <v>0</v>
      </c>
      <c r="L45" s="451">
        <v>18.7</v>
      </c>
      <c r="M45" s="452">
        <v>19.55</v>
      </c>
      <c r="N45" s="446">
        <v>19.125</v>
      </c>
      <c r="O45" s="446">
        <v>19.125</v>
      </c>
      <c r="P45" s="449"/>
      <c r="Q45" s="448" t="s">
        <v>1943</v>
      </c>
    </row>
    <row r="46" spans="1:17">
      <c r="A46" s="443">
        <v>46042</v>
      </c>
      <c r="B46" s="518" t="s">
        <v>2109</v>
      </c>
      <c r="C46" s="445" t="s">
        <v>2133</v>
      </c>
      <c r="D46" s="446" t="s">
        <v>1946</v>
      </c>
      <c r="E46" s="447">
        <v>46101</v>
      </c>
      <c r="F46" s="446" t="s">
        <v>1939</v>
      </c>
      <c r="G46" s="446" t="s">
        <v>194</v>
      </c>
      <c r="H46" s="446" t="s">
        <v>2183</v>
      </c>
      <c r="I46" s="446"/>
      <c r="J46" s="450">
        <v>327.16000000000003</v>
      </c>
      <c r="K46" s="446">
        <v>27.160000000000025</v>
      </c>
      <c r="L46" s="451">
        <v>36.6</v>
      </c>
      <c r="M46" s="452">
        <v>38</v>
      </c>
      <c r="N46" s="446">
        <v>37.299999999999997</v>
      </c>
      <c r="O46" s="446">
        <v>37.299999999999997</v>
      </c>
      <c r="P46" s="449"/>
      <c r="Q46" s="448" t="s">
        <v>1943</v>
      </c>
    </row>
    <row r="47" spans="1:17">
      <c r="A47" s="443">
        <v>46042</v>
      </c>
      <c r="B47" s="518" t="s">
        <v>2124</v>
      </c>
      <c r="C47" s="445" t="s">
        <v>2134</v>
      </c>
      <c r="D47" s="446" t="s">
        <v>2081</v>
      </c>
      <c r="E47" s="447">
        <v>46129</v>
      </c>
      <c r="F47" s="446" t="s">
        <v>1934</v>
      </c>
      <c r="G47" s="446" t="s">
        <v>194</v>
      </c>
      <c r="H47" s="446" t="s">
        <v>2215</v>
      </c>
      <c r="I47" s="446"/>
      <c r="J47" s="450">
        <v>604.12</v>
      </c>
      <c r="K47" s="446">
        <v>0</v>
      </c>
      <c r="L47" s="451">
        <v>23.9</v>
      </c>
      <c r="M47" s="452">
        <v>24.25</v>
      </c>
      <c r="N47" s="446">
        <v>24.074999999999999</v>
      </c>
      <c r="O47" s="446">
        <v>24.074999999999999</v>
      </c>
      <c r="P47" s="449"/>
      <c r="Q47" s="448" t="s">
        <v>1943</v>
      </c>
    </row>
    <row r="48" spans="1:17">
      <c r="A48" s="443">
        <v>46042</v>
      </c>
      <c r="B48" s="532" t="s">
        <v>2268</v>
      </c>
      <c r="C48" s="445" t="s">
        <v>2274</v>
      </c>
      <c r="D48" s="446" t="s">
        <v>1946</v>
      </c>
      <c r="E48" s="447">
        <v>46191</v>
      </c>
      <c r="F48" s="446" t="s">
        <v>1939</v>
      </c>
      <c r="G48" s="446" t="s">
        <v>194</v>
      </c>
      <c r="H48" s="446" t="s">
        <v>2275</v>
      </c>
      <c r="I48" s="446"/>
      <c r="J48" s="450">
        <v>327.16000000000003</v>
      </c>
      <c r="K48" s="446">
        <v>0</v>
      </c>
      <c r="L48" s="451">
        <v>28.8</v>
      </c>
      <c r="M48" s="452">
        <v>30.15</v>
      </c>
      <c r="N48" s="446">
        <v>29.475000000000001</v>
      </c>
      <c r="O48" s="446">
        <v>29.475000000000001</v>
      </c>
      <c r="P48" s="449"/>
      <c r="Q48" s="448" t="s">
        <v>1943</v>
      </c>
    </row>
    <row r="49" spans="1:17">
      <c r="A49" s="443">
        <v>46042</v>
      </c>
      <c r="B49" s="532" t="s">
        <v>2269</v>
      </c>
      <c r="C49" s="445" t="s">
        <v>2276</v>
      </c>
      <c r="D49" s="446" t="s">
        <v>1946</v>
      </c>
      <c r="E49" s="447">
        <v>46191</v>
      </c>
      <c r="F49" s="446" t="s">
        <v>1939</v>
      </c>
      <c r="G49" s="446" t="s">
        <v>194</v>
      </c>
      <c r="H49" s="446" t="s">
        <v>2277</v>
      </c>
      <c r="I49" s="446"/>
      <c r="J49" s="450">
        <v>327.16000000000003</v>
      </c>
      <c r="K49" s="446">
        <v>0</v>
      </c>
      <c r="L49" s="451">
        <v>15.75</v>
      </c>
      <c r="M49" s="452">
        <v>17.05</v>
      </c>
      <c r="N49" s="446">
        <v>16.399999999999999</v>
      </c>
      <c r="O49" s="446">
        <v>16.399999999999999</v>
      </c>
      <c r="P49" s="449"/>
      <c r="Q49" s="448" t="s">
        <v>1943</v>
      </c>
    </row>
    <row r="50" spans="1:17">
      <c r="A50" s="443">
        <v>46042</v>
      </c>
      <c r="B50" s="532" t="s">
        <v>2267</v>
      </c>
      <c r="C50" s="445" t="s">
        <v>2278</v>
      </c>
      <c r="D50" s="446" t="s">
        <v>2279</v>
      </c>
      <c r="E50" s="447">
        <v>46073</v>
      </c>
      <c r="F50" s="446" t="s">
        <v>1939</v>
      </c>
      <c r="G50" s="446" t="s">
        <v>194</v>
      </c>
      <c r="H50" s="446" t="s">
        <v>2280</v>
      </c>
      <c r="I50" s="446"/>
      <c r="J50" s="528">
        <v>33.479999999999997</v>
      </c>
      <c r="K50" s="446">
        <v>0</v>
      </c>
      <c r="L50" s="529">
        <v>0.27276257798287046</v>
      </c>
      <c r="M50" s="530">
        <v>0.27276257798287046</v>
      </c>
      <c r="N50" s="446">
        <v>0.27276257798287046</v>
      </c>
      <c r="O50" s="446">
        <v>0.2747266034293287</v>
      </c>
      <c r="P50" s="449">
        <v>19.895415108476627</v>
      </c>
      <c r="Q50" s="448" t="s">
        <v>1936</v>
      </c>
    </row>
    <row r="51" spans="1:17">
      <c r="A51" s="443">
        <v>46042</v>
      </c>
      <c r="B51" s="444" t="s">
        <v>2295</v>
      </c>
      <c r="C51" s="445" t="s">
        <v>2298</v>
      </c>
      <c r="D51" s="446" t="s">
        <v>2299</v>
      </c>
      <c r="E51" s="447">
        <v>46045</v>
      </c>
      <c r="F51" s="446" t="s">
        <v>1934</v>
      </c>
      <c r="G51" s="446" t="s">
        <v>194</v>
      </c>
      <c r="H51" s="446" t="s">
        <v>2300</v>
      </c>
      <c r="I51" s="446"/>
      <c r="J51" s="528">
        <v>318.23</v>
      </c>
      <c r="K51" s="446">
        <v>0</v>
      </c>
      <c r="L51" s="529">
        <v>0.52298435567742751</v>
      </c>
      <c r="M51" s="530">
        <v>0.52298435567742751</v>
      </c>
      <c r="N51" s="446">
        <v>0.52298435567742751</v>
      </c>
      <c r="O51" s="446">
        <v>0.59717152999301149</v>
      </c>
      <c r="P51" s="449">
        <v>67.188520566836985</v>
      </c>
      <c r="Q51" s="448" t="s">
        <v>1936</v>
      </c>
    </row>
    <row r="52" spans="1:17">
      <c r="A52" s="443">
        <v>46042</v>
      </c>
      <c r="B52" s="444" t="s">
        <v>2294</v>
      </c>
      <c r="C52" s="445" t="s">
        <v>2301</v>
      </c>
      <c r="D52" s="446" t="s">
        <v>2299</v>
      </c>
      <c r="E52" s="447">
        <v>46045</v>
      </c>
      <c r="F52" s="446" t="s">
        <v>1934</v>
      </c>
      <c r="G52" s="446" t="s">
        <v>194</v>
      </c>
      <c r="H52" s="446" t="s">
        <v>2302</v>
      </c>
      <c r="I52" s="446"/>
      <c r="J52" s="528">
        <v>318.23</v>
      </c>
      <c r="K52" s="446">
        <v>0</v>
      </c>
      <c r="L52" s="529">
        <v>0.2223431036469698</v>
      </c>
      <c r="M52" s="530">
        <v>0.2223431036469698</v>
      </c>
      <c r="N52" s="446">
        <v>0.2223431036469698</v>
      </c>
      <c r="O52" s="446">
        <v>0.26497442829221096</v>
      </c>
      <c r="P52" s="449">
        <v>74.034047710845456</v>
      </c>
      <c r="Q52" s="448" t="s">
        <v>1936</v>
      </c>
    </row>
    <row r="53" spans="1:17">
      <c r="A53" s="443">
        <v>46042</v>
      </c>
      <c r="B53" s="532" t="s">
        <v>2328</v>
      </c>
      <c r="C53" s="445" t="s">
        <v>2331</v>
      </c>
      <c r="D53" s="446" t="s">
        <v>2332</v>
      </c>
      <c r="E53" s="447">
        <v>46283</v>
      </c>
      <c r="F53" s="446" t="s">
        <v>1939</v>
      </c>
      <c r="G53" s="446" t="s">
        <v>194</v>
      </c>
      <c r="H53" s="446" t="s">
        <v>2333</v>
      </c>
      <c r="I53" s="446"/>
      <c r="J53" s="450">
        <v>102.78</v>
      </c>
      <c r="K53" s="446">
        <v>0</v>
      </c>
      <c r="L53" s="451">
        <v>10.8</v>
      </c>
      <c r="M53" s="452">
        <v>11.55</v>
      </c>
      <c r="N53" s="446">
        <v>11.175000000000001</v>
      </c>
      <c r="O53" s="446">
        <v>11.175000000000001</v>
      </c>
      <c r="P53" s="449"/>
      <c r="Q53" s="448" t="s">
        <v>1943</v>
      </c>
    </row>
    <row r="54" spans="1:17">
      <c r="A54" s="443">
        <v>46042</v>
      </c>
      <c r="B54" s="532" t="s">
        <v>2327</v>
      </c>
      <c r="C54" s="445" t="s">
        <v>2334</v>
      </c>
      <c r="D54" s="446" t="s">
        <v>2332</v>
      </c>
      <c r="E54" s="447">
        <v>46283</v>
      </c>
      <c r="F54" s="446" t="s">
        <v>1939</v>
      </c>
      <c r="G54" s="446" t="s">
        <v>194</v>
      </c>
      <c r="H54" s="446" t="s">
        <v>2335</v>
      </c>
      <c r="I54" s="446"/>
      <c r="J54" s="450">
        <v>102.78</v>
      </c>
      <c r="K54" s="446">
        <v>0</v>
      </c>
      <c r="L54" s="451">
        <v>14.3</v>
      </c>
      <c r="M54" s="452">
        <v>15.2</v>
      </c>
      <c r="N54" s="446">
        <v>14.75</v>
      </c>
      <c r="O54" s="446">
        <v>14.75</v>
      </c>
      <c r="P54" s="449"/>
      <c r="Q54" s="448" t="s">
        <v>1943</v>
      </c>
    </row>
    <row r="55" spans="1:17">
      <c r="A55" s="443">
        <v>46042</v>
      </c>
      <c r="B55" s="449" t="s">
        <v>2050</v>
      </c>
      <c r="C55" s="445" t="s">
        <v>2050</v>
      </c>
      <c r="D55" s="446" t="s">
        <v>1960</v>
      </c>
      <c r="E55" s="447">
        <v>46073</v>
      </c>
      <c r="F55" s="446" t="s">
        <v>1939</v>
      </c>
      <c r="G55" s="446" t="s">
        <v>194</v>
      </c>
      <c r="H55" s="446" t="s">
        <v>2216</v>
      </c>
      <c r="I55" s="446" t="s">
        <v>1935</v>
      </c>
      <c r="J55" s="450">
        <v>0.16</v>
      </c>
      <c r="K55" s="446">
        <v>0</v>
      </c>
      <c r="L55" s="451">
        <v>0</v>
      </c>
      <c r="M55" s="452">
        <v>0</v>
      </c>
      <c r="N55" s="446">
        <v>0</v>
      </c>
      <c r="O55" s="446">
        <v>3.673886689773973E-5</v>
      </c>
      <c r="P55" s="449">
        <v>24.359389164316898</v>
      </c>
      <c r="Q55" s="448" t="s">
        <v>1961</v>
      </c>
    </row>
    <row r="56" spans="1:17">
      <c r="A56" s="443">
        <v>46042</v>
      </c>
      <c r="B56" s="449" t="s">
        <v>2051</v>
      </c>
      <c r="C56" s="445" t="s">
        <v>2051</v>
      </c>
      <c r="D56" s="446" t="s">
        <v>1960</v>
      </c>
      <c r="E56" s="447">
        <v>46073</v>
      </c>
      <c r="F56" s="446" t="s">
        <v>1934</v>
      </c>
      <c r="G56" s="446" t="s">
        <v>194</v>
      </c>
      <c r="H56" s="446" t="s">
        <v>2217</v>
      </c>
      <c r="I56" s="446" t="s">
        <v>1935</v>
      </c>
      <c r="J56" s="450">
        <v>0.76</v>
      </c>
      <c r="K56" s="446">
        <v>20.81</v>
      </c>
      <c r="L56" s="451">
        <v>0</v>
      </c>
      <c r="M56" s="452">
        <v>0</v>
      </c>
      <c r="N56" s="446">
        <v>0</v>
      </c>
      <c r="O56" s="446">
        <v>0.10350944692244139</v>
      </c>
      <c r="P56" s="449">
        <v>31.723543948305299</v>
      </c>
      <c r="Q56" s="448" t="s">
        <v>1961</v>
      </c>
    </row>
    <row r="57" spans="1:17">
      <c r="A57" s="443">
        <v>46042</v>
      </c>
      <c r="B57" s="449" t="s">
        <v>2052</v>
      </c>
      <c r="C57" s="445" t="s">
        <v>2052</v>
      </c>
      <c r="D57" s="446" t="s">
        <v>1960</v>
      </c>
      <c r="E57" s="447">
        <v>46073</v>
      </c>
      <c r="F57" s="446" t="s">
        <v>1934</v>
      </c>
      <c r="G57" s="446" t="s">
        <v>194</v>
      </c>
      <c r="H57" s="446" t="s">
        <v>2218</v>
      </c>
      <c r="I57" s="446" t="s">
        <v>1935</v>
      </c>
      <c r="J57" s="450">
        <v>2.2200000000000002</v>
      </c>
      <c r="K57" s="446">
        <v>21.85</v>
      </c>
      <c r="L57" s="451">
        <v>0</v>
      </c>
      <c r="M57" s="452">
        <v>0</v>
      </c>
      <c r="N57" s="446">
        <v>0</v>
      </c>
      <c r="O57" s="446">
        <v>0.39805321493272899</v>
      </c>
      <c r="P57" s="449">
        <v>27.923531136111801</v>
      </c>
      <c r="Q57" s="448" t="s">
        <v>1961</v>
      </c>
    </row>
    <row r="58" spans="1:17">
      <c r="A58" s="443">
        <v>46042</v>
      </c>
      <c r="B58" s="449" t="s">
        <v>2053</v>
      </c>
      <c r="C58" s="445" t="s">
        <v>2053</v>
      </c>
      <c r="D58" s="446" t="s">
        <v>1960</v>
      </c>
      <c r="E58" s="447">
        <v>46073</v>
      </c>
      <c r="F58" s="446" t="s">
        <v>1939</v>
      </c>
      <c r="G58" s="446" t="s">
        <v>194</v>
      </c>
      <c r="H58" s="446" t="s">
        <v>2219</v>
      </c>
      <c r="I58" s="446" t="s">
        <v>1935</v>
      </c>
      <c r="J58" s="450">
        <v>0.02</v>
      </c>
      <c r="K58" s="446">
        <v>0</v>
      </c>
      <c r="L58" s="451">
        <v>0</v>
      </c>
      <c r="M58" s="452">
        <v>0</v>
      </c>
      <c r="N58" s="446">
        <v>0</v>
      </c>
      <c r="O58" s="446">
        <v>4.6119205697862306E-6</v>
      </c>
      <c r="P58" s="449">
        <v>23.827109088410598</v>
      </c>
      <c r="Q58" s="448" t="s">
        <v>1961</v>
      </c>
    </row>
    <row r="59" spans="1:17">
      <c r="A59" s="443">
        <v>46042</v>
      </c>
      <c r="B59" s="449" t="s">
        <v>2054</v>
      </c>
      <c r="C59" s="445" t="s">
        <v>2054</v>
      </c>
      <c r="D59" s="446" t="s">
        <v>1960</v>
      </c>
      <c r="E59" s="447">
        <v>46073</v>
      </c>
      <c r="F59" s="446" t="s">
        <v>1934</v>
      </c>
      <c r="G59" s="446" t="s">
        <v>194</v>
      </c>
      <c r="H59" s="446" t="s">
        <v>2220</v>
      </c>
      <c r="I59" s="446" t="s">
        <v>1935</v>
      </c>
      <c r="J59" s="450">
        <v>2.21</v>
      </c>
      <c r="K59" s="446">
        <v>21.61</v>
      </c>
      <c r="L59" s="451">
        <v>0</v>
      </c>
      <c r="M59" s="452">
        <v>0</v>
      </c>
      <c r="N59" s="446">
        <v>0</v>
      </c>
      <c r="O59" s="446">
        <v>0.35908887432453901</v>
      </c>
      <c r="P59" s="449">
        <v>28.259110736935199</v>
      </c>
      <c r="Q59" s="448" t="s">
        <v>1961</v>
      </c>
    </row>
    <row r="60" spans="1:17">
      <c r="A60" s="443">
        <v>46042</v>
      </c>
      <c r="B60" s="449" t="s">
        <v>2055</v>
      </c>
      <c r="C60" s="445" t="s">
        <v>2055</v>
      </c>
      <c r="D60" s="446" t="s">
        <v>1960</v>
      </c>
      <c r="E60" s="447">
        <v>46073</v>
      </c>
      <c r="F60" s="446" t="s">
        <v>1934</v>
      </c>
      <c r="G60" s="446" t="s">
        <v>194</v>
      </c>
      <c r="H60" s="446" t="s">
        <v>2221</v>
      </c>
      <c r="I60" s="446" t="s">
        <v>1935</v>
      </c>
      <c r="J60" s="450">
        <v>2.6</v>
      </c>
      <c r="K60" s="446">
        <v>23.72</v>
      </c>
      <c r="L60" s="451">
        <v>0</v>
      </c>
      <c r="M60" s="452">
        <v>0</v>
      </c>
      <c r="N60" s="446">
        <v>0</v>
      </c>
      <c r="O60" s="446">
        <v>0.79138671698682561</v>
      </c>
      <c r="P60" s="449">
        <v>25.407377872829699</v>
      </c>
      <c r="Q60" s="448" t="s">
        <v>1961</v>
      </c>
    </row>
    <row r="61" spans="1:17">
      <c r="A61" s="443">
        <v>46042</v>
      </c>
      <c r="B61" s="449" t="s">
        <v>2064</v>
      </c>
      <c r="C61" s="445" t="s">
        <v>2064</v>
      </c>
      <c r="D61" s="446" t="s">
        <v>2065</v>
      </c>
      <c r="E61" s="447">
        <v>46073</v>
      </c>
      <c r="F61" s="446" t="s">
        <v>1934</v>
      </c>
      <c r="G61" s="446" t="s">
        <v>194</v>
      </c>
      <c r="H61" s="446" t="s">
        <v>2222</v>
      </c>
      <c r="I61" s="446" t="s">
        <v>1935</v>
      </c>
      <c r="J61" s="450">
        <v>0.21</v>
      </c>
      <c r="K61" s="446">
        <v>18.79</v>
      </c>
      <c r="L61" s="451">
        <v>0</v>
      </c>
      <c r="M61" s="452">
        <v>0</v>
      </c>
      <c r="N61" s="446">
        <v>0</v>
      </c>
      <c r="O61" s="446">
        <v>7.7918440883680204E-2</v>
      </c>
      <c r="P61" s="449">
        <v>52.5964193387642</v>
      </c>
      <c r="Q61" s="448" t="s">
        <v>1961</v>
      </c>
    </row>
    <row r="62" spans="1:17">
      <c r="A62" s="443">
        <v>46042</v>
      </c>
      <c r="B62" s="449" t="s">
        <v>2066</v>
      </c>
      <c r="C62" s="445" t="s">
        <v>2066</v>
      </c>
      <c r="D62" s="446" t="s">
        <v>2065</v>
      </c>
      <c r="E62" s="447">
        <v>46073</v>
      </c>
      <c r="F62" s="446" t="s">
        <v>1934</v>
      </c>
      <c r="G62" s="446" t="s">
        <v>194</v>
      </c>
      <c r="H62" s="446" t="s">
        <v>2223</v>
      </c>
      <c r="I62" s="446" t="s">
        <v>1935</v>
      </c>
      <c r="J62" s="450">
        <v>0.6</v>
      </c>
      <c r="K62" s="446">
        <v>19.899999999999999</v>
      </c>
      <c r="L62" s="451">
        <v>0</v>
      </c>
      <c r="M62" s="452">
        <v>0</v>
      </c>
      <c r="N62" s="446">
        <v>0</v>
      </c>
      <c r="O62" s="446">
        <v>0.16401888970914311</v>
      </c>
      <c r="P62" s="449">
        <v>50.0821819582576</v>
      </c>
      <c r="Q62" s="448" t="s">
        <v>1961</v>
      </c>
    </row>
    <row r="63" spans="1:17">
      <c r="A63" s="443">
        <v>46042</v>
      </c>
      <c r="B63" s="449" t="s">
        <v>2086</v>
      </c>
      <c r="C63" s="445" t="s">
        <v>2086</v>
      </c>
      <c r="D63" s="446" t="s">
        <v>1962</v>
      </c>
      <c r="E63" s="447">
        <v>46073</v>
      </c>
      <c r="F63" s="446" t="s">
        <v>1934</v>
      </c>
      <c r="G63" s="446" t="s">
        <v>194</v>
      </c>
      <c r="H63" s="446" t="s">
        <v>2224</v>
      </c>
      <c r="I63" s="446" t="s">
        <v>1935</v>
      </c>
      <c r="J63" s="450">
        <v>0.02</v>
      </c>
      <c r="K63" s="446">
        <v>12.09</v>
      </c>
      <c r="L63" s="451">
        <v>0</v>
      </c>
      <c r="M63" s="452">
        <v>0</v>
      </c>
      <c r="N63" s="446">
        <v>0</v>
      </c>
      <c r="O63" s="446">
        <v>1.3001353639453597E-3</v>
      </c>
      <c r="P63" s="449">
        <v>34.295056919958903</v>
      </c>
      <c r="Q63" s="448" t="s">
        <v>1961</v>
      </c>
    </row>
    <row r="64" spans="1:17">
      <c r="A64" s="443">
        <v>46042</v>
      </c>
      <c r="B64" s="449" t="s">
        <v>2087</v>
      </c>
      <c r="C64" s="445" t="s">
        <v>2087</v>
      </c>
      <c r="D64" s="446" t="s">
        <v>1962</v>
      </c>
      <c r="E64" s="447">
        <v>46073</v>
      </c>
      <c r="F64" s="446" t="s">
        <v>1934</v>
      </c>
      <c r="G64" s="446" t="s">
        <v>194</v>
      </c>
      <c r="H64" s="446" t="s">
        <v>2225</v>
      </c>
      <c r="I64" s="446" t="s">
        <v>1935</v>
      </c>
      <c r="J64" s="450">
        <v>7.0000000000000007E-2</v>
      </c>
      <c r="K64" s="446">
        <v>13.29</v>
      </c>
      <c r="L64" s="451">
        <v>0</v>
      </c>
      <c r="M64" s="452">
        <v>0</v>
      </c>
      <c r="N64" s="446">
        <v>0</v>
      </c>
      <c r="O64" s="446">
        <v>1.2833320493504859E-2</v>
      </c>
      <c r="P64" s="449">
        <v>31.685360073349798</v>
      </c>
      <c r="Q64" s="448" t="s">
        <v>1961</v>
      </c>
    </row>
    <row r="65" spans="1:17">
      <c r="A65" s="443">
        <v>46042</v>
      </c>
      <c r="B65" s="449" t="s">
        <v>2135</v>
      </c>
      <c r="C65" s="445" t="s">
        <v>2135</v>
      </c>
      <c r="D65" s="446" t="s">
        <v>2136</v>
      </c>
      <c r="E65" s="447">
        <v>46073</v>
      </c>
      <c r="F65" s="446" t="s">
        <v>1939</v>
      </c>
      <c r="G65" s="446" t="s">
        <v>194</v>
      </c>
      <c r="H65" s="446" t="s">
        <v>2229</v>
      </c>
      <c r="I65" s="446" t="s">
        <v>1935</v>
      </c>
      <c r="J65" s="450">
        <v>1.19</v>
      </c>
      <c r="K65" s="446">
        <v>0</v>
      </c>
      <c r="L65" s="451">
        <v>0</v>
      </c>
      <c r="M65" s="452">
        <v>0</v>
      </c>
      <c r="N65" s="446">
        <v>0</v>
      </c>
      <c r="O65" s="446">
        <v>0.21908540434052184</v>
      </c>
      <c r="P65" s="449">
        <v>28.109880940537298</v>
      </c>
      <c r="Q65" s="448" t="s">
        <v>1961</v>
      </c>
    </row>
    <row r="66" spans="1:17">
      <c r="A66" s="443">
        <v>46042</v>
      </c>
      <c r="B66" s="449" t="s">
        <v>2137</v>
      </c>
      <c r="C66" s="445" t="s">
        <v>2137</v>
      </c>
      <c r="D66" s="446" t="s">
        <v>2136</v>
      </c>
      <c r="E66" s="447">
        <v>46073</v>
      </c>
      <c r="F66" s="446" t="s">
        <v>1934</v>
      </c>
      <c r="G66" s="446" t="s">
        <v>194</v>
      </c>
      <c r="H66" s="446" t="s">
        <v>2230</v>
      </c>
      <c r="I66" s="446" t="s">
        <v>1935</v>
      </c>
      <c r="J66" s="450">
        <v>0.14000000000000001</v>
      </c>
      <c r="K66" s="446">
        <v>47.68</v>
      </c>
      <c r="L66" s="451">
        <v>0</v>
      </c>
      <c r="M66" s="452">
        <v>0</v>
      </c>
      <c r="N66" s="446">
        <v>0</v>
      </c>
      <c r="O66" s="446">
        <v>2.4232825186435492E-2</v>
      </c>
      <c r="P66" s="449">
        <v>34.662290369815999</v>
      </c>
      <c r="Q66" s="448" t="s">
        <v>1961</v>
      </c>
    </row>
    <row r="67" spans="1:17">
      <c r="A67" s="443">
        <v>46042</v>
      </c>
      <c r="B67" s="449" t="s">
        <v>2138</v>
      </c>
      <c r="C67" s="445" t="s">
        <v>2138</v>
      </c>
      <c r="D67" s="446" t="s">
        <v>2136</v>
      </c>
      <c r="E67" s="447">
        <v>46073</v>
      </c>
      <c r="F67" s="446" t="s">
        <v>1934</v>
      </c>
      <c r="G67" s="446" t="s">
        <v>194</v>
      </c>
      <c r="H67" s="446" t="s">
        <v>2231</v>
      </c>
      <c r="I67" s="446" t="s">
        <v>1935</v>
      </c>
      <c r="J67" s="450">
        <v>0.53</v>
      </c>
      <c r="K67" s="446">
        <v>51.29</v>
      </c>
      <c r="L67" s="451">
        <v>0</v>
      </c>
      <c r="M67" s="452">
        <v>0</v>
      </c>
      <c r="N67" s="446">
        <v>0</v>
      </c>
      <c r="O67" s="446">
        <v>0.1030830595425693</v>
      </c>
      <c r="P67" s="449">
        <v>31.6097017759589</v>
      </c>
      <c r="Q67" s="448" t="s">
        <v>1961</v>
      </c>
    </row>
    <row r="68" spans="1:17">
      <c r="A68" s="443">
        <v>46042</v>
      </c>
      <c r="B68" s="449" t="s">
        <v>2144</v>
      </c>
      <c r="C68" s="445" t="s">
        <v>2144</v>
      </c>
      <c r="D68" s="446" t="s">
        <v>2096</v>
      </c>
      <c r="E68" s="447">
        <v>46073</v>
      </c>
      <c r="F68" s="446" t="s">
        <v>1934</v>
      </c>
      <c r="G68" s="446" t="s">
        <v>194</v>
      </c>
      <c r="H68" s="446" t="s">
        <v>2232</v>
      </c>
      <c r="I68" s="446" t="s">
        <v>1935</v>
      </c>
      <c r="J68" s="450">
        <v>0.1</v>
      </c>
      <c r="K68" s="446">
        <v>42.9</v>
      </c>
      <c r="L68" s="451">
        <v>0</v>
      </c>
      <c r="M68" s="452">
        <v>0</v>
      </c>
      <c r="N68" s="446">
        <v>0</v>
      </c>
      <c r="O68" s="446">
        <v>5.5520155242768056E-3</v>
      </c>
      <c r="P68" s="449">
        <v>31.4874624537971</v>
      </c>
      <c r="Q68" s="448" t="s">
        <v>1961</v>
      </c>
    </row>
    <row r="69" spans="1:17">
      <c r="A69" s="443">
        <v>46042</v>
      </c>
      <c r="B69" s="449" t="s">
        <v>2145</v>
      </c>
      <c r="C69" s="445" t="s">
        <v>2145</v>
      </c>
      <c r="D69" s="446" t="s">
        <v>2096</v>
      </c>
      <c r="E69" s="447">
        <v>46073</v>
      </c>
      <c r="F69" s="446" t="s">
        <v>1934</v>
      </c>
      <c r="G69" s="446" t="s">
        <v>194</v>
      </c>
      <c r="H69" s="446" t="s">
        <v>2233</v>
      </c>
      <c r="I69" s="446" t="s">
        <v>1935</v>
      </c>
      <c r="J69" s="450">
        <v>0.51</v>
      </c>
      <c r="K69" s="446">
        <v>47.49</v>
      </c>
      <c r="L69" s="451">
        <v>0</v>
      </c>
      <c r="M69" s="452">
        <v>0</v>
      </c>
      <c r="N69" s="446">
        <v>0</v>
      </c>
      <c r="O69" s="446">
        <v>6.7587232013668119E-2</v>
      </c>
      <c r="P69" s="449">
        <v>28.263791456357403</v>
      </c>
      <c r="Q69" s="448" t="s">
        <v>1961</v>
      </c>
    </row>
    <row r="70" spans="1:17">
      <c r="A70" s="443">
        <v>46042</v>
      </c>
      <c r="B70" s="444" t="s">
        <v>2156</v>
      </c>
      <c r="C70" s="444" t="s">
        <v>2156</v>
      </c>
      <c r="D70" s="446" t="s">
        <v>2157</v>
      </c>
      <c r="E70" s="447">
        <v>46073</v>
      </c>
      <c r="F70" s="446" t="s">
        <v>1934</v>
      </c>
      <c r="G70" s="446" t="s">
        <v>194</v>
      </c>
      <c r="H70" s="446" t="s">
        <v>2239</v>
      </c>
      <c r="I70" s="446" t="s">
        <v>1935</v>
      </c>
      <c r="J70" s="450">
        <v>0.78</v>
      </c>
      <c r="K70" s="446">
        <v>49.6</v>
      </c>
      <c r="L70" s="451">
        <v>0</v>
      </c>
      <c r="M70" s="452">
        <v>0</v>
      </c>
      <c r="N70" s="446">
        <v>0</v>
      </c>
      <c r="O70" s="446">
        <v>0.1425179713166497</v>
      </c>
      <c r="P70" s="449">
        <v>24.180056498853201</v>
      </c>
      <c r="Q70" s="448" t="s">
        <v>1961</v>
      </c>
    </row>
    <row r="71" spans="1:17">
      <c r="A71" s="443">
        <v>46042</v>
      </c>
      <c r="B71" s="444" t="s">
        <v>2169</v>
      </c>
      <c r="C71" s="444" t="s">
        <v>2169</v>
      </c>
      <c r="D71" s="446" t="s">
        <v>1962</v>
      </c>
      <c r="E71" s="447">
        <v>46073</v>
      </c>
      <c r="F71" s="446" t="s">
        <v>1934</v>
      </c>
      <c r="G71" s="446" t="s">
        <v>194</v>
      </c>
      <c r="H71" s="446" t="s">
        <v>2245</v>
      </c>
      <c r="I71" s="446" t="s">
        <v>1935</v>
      </c>
      <c r="J71" s="450">
        <v>0.02</v>
      </c>
      <c r="K71" s="446">
        <v>11.4</v>
      </c>
      <c r="L71" s="451">
        <v>0</v>
      </c>
      <c r="M71" s="452">
        <v>0</v>
      </c>
      <c r="N71" s="446">
        <v>0</v>
      </c>
      <c r="O71" s="446">
        <v>1.3001353639453597E-3</v>
      </c>
      <c r="P71" s="449">
        <v>34.295056919958903</v>
      </c>
      <c r="Q71" s="448" t="s">
        <v>1961</v>
      </c>
    </row>
    <row r="72" spans="1:17">
      <c r="A72" s="443">
        <v>46042</v>
      </c>
      <c r="B72" s="444" t="s">
        <v>2170</v>
      </c>
      <c r="C72" s="444" t="s">
        <v>2170</v>
      </c>
      <c r="D72" s="446" t="s">
        <v>1962</v>
      </c>
      <c r="E72" s="447">
        <v>46073</v>
      </c>
      <c r="F72" s="446" t="s">
        <v>1934</v>
      </c>
      <c r="G72" s="446" t="s">
        <v>194</v>
      </c>
      <c r="H72" s="446" t="s">
        <v>2246</v>
      </c>
      <c r="I72" s="446" t="s">
        <v>1935</v>
      </c>
      <c r="J72" s="450">
        <v>7.0000000000000007E-2</v>
      </c>
      <c r="K72" s="446">
        <v>12.6</v>
      </c>
      <c r="L72" s="451">
        <v>0</v>
      </c>
      <c r="M72" s="452">
        <v>0</v>
      </c>
      <c r="N72" s="446">
        <v>0</v>
      </c>
      <c r="O72" s="446">
        <v>1.2833320493504859E-2</v>
      </c>
      <c r="P72" s="449">
        <v>31.685360073349798</v>
      </c>
      <c r="Q72" s="448" t="s">
        <v>1961</v>
      </c>
    </row>
    <row r="73" spans="1:17">
      <c r="A73" s="443">
        <v>46042</v>
      </c>
      <c r="B73" s="444" t="s">
        <v>2171</v>
      </c>
      <c r="C73" s="444" t="s">
        <v>2171</v>
      </c>
      <c r="D73" s="446" t="s">
        <v>1962</v>
      </c>
      <c r="E73" s="447">
        <v>46073</v>
      </c>
      <c r="F73" s="446" t="s">
        <v>1934</v>
      </c>
      <c r="G73" s="446" t="s">
        <v>194</v>
      </c>
      <c r="H73" s="446" t="s">
        <v>2247</v>
      </c>
      <c r="I73" s="446" t="s">
        <v>1935</v>
      </c>
      <c r="J73" s="450">
        <v>0.25</v>
      </c>
      <c r="K73" s="446">
        <v>13.42</v>
      </c>
      <c r="L73" s="451">
        <v>0</v>
      </c>
      <c r="M73" s="452">
        <v>0</v>
      </c>
      <c r="N73" s="446">
        <v>0</v>
      </c>
      <c r="O73" s="446">
        <v>4.9880642017126185E-2</v>
      </c>
      <c r="P73" s="449">
        <v>29.080060688187199</v>
      </c>
      <c r="Q73" s="448" t="s">
        <v>1961</v>
      </c>
    </row>
    <row r="74" spans="1:17">
      <c r="A74" s="443">
        <v>46042</v>
      </c>
      <c r="B74" s="444" t="s">
        <v>2172</v>
      </c>
      <c r="C74" s="444" t="s">
        <v>2172</v>
      </c>
      <c r="D74" s="446" t="s">
        <v>2173</v>
      </c>
      <c r="E74" s="447">
        <v>46073</v>
      </c>
      <c r="F74" s="446" t="s">
        <v>1934</v>
      </c>
      <c r="G74" s="446" t="s">
        <v>194</v>
      </c>
      <c r="H74" s="446" t="s">
        <v>2248</v>
      </c>
      <c r="I74" s="446" t="s">
        <v>1935</v>
      </c>
      <c r="J74" s="450">
        <v>0.08</v>
      </c>
      <c r="K74" s="446">
        <v>11.959999999999999</v>
      </c>
      <c r="L74" s="451">
        <v>0</v>
      </c>
      <c r="M74" s="452">
        <v>0</v>
      </c>
      <c r="N74" s="446">
        <v>0</v>
      </c>
      <c r="O74" s="446">
        <v>1.5857040790274817E-2</v>
      </c>
      <c r="P74" s="449">
        <v>39.6471553658833</v>
      </c>
      <c r="Q74" s="448" t="s">
        <v>1961</v>
      </c>
    </row>
    <row r="75" spans="1:17">
      <c r="A75" s="443">
        <v>46042</v>
      </c>
      <c r="B75" s="444" t="s">
        <v>2174</v>
      </c>
      <c r="C75" s="444" t="s">
        <v>2174</v>
      </c>
      <c r="D75" s="446" t="s">
        <v>2173</v>
      </c>
      <c r="E75" s="447">
        <v>46073</v>
      </c>
      <c r="F75" s="446" t="s">
        <v>1934</v>
      </c>
      <c r="G75" s="446" t="s">
        <v>194</v>
      </c>
      <c r="H75" s="446" t="s">
        <v>2249</v>
      </c>
      <c r="I75" s="446" t="s">
        <v>1935</v>
      </c>
      <c r="J75" s="450">
        <v>0.27</v>
      </c>
      <c r="K75" s="446">
        <v>12.77</v>
      </c>
      <c r="L75" s="451">
        <v>0</v>
      </c>
      <c r="M75" s="452">
        <v>0</v>
      </c>
      <c r="N75" s="446">
        <v>0</v>
      </c>
      <c r="O75" s="446">
        <v>5.1845134933057653E-2</v>
      </c>
      <c r="P75" s="449">
        <v>37.458895502231094</v>
      </c>
      <c r="Q75" s="448" t="s">
        <v>1961</v>
      </c>
    </row>
    <row r="76" spans="1:17">
      <c r="A76" s="443">
        <v>46042</v>
      </c>
      <c r="B76" s="445" t="s">
        <v>2250</v>
      </c>
      <c r="C76" s="445" t="s">
        <v>2250</v>
      </c>
      <c r="D76" s="446" t="s">
        <v>2096</v>
      </c>
      <c r="E76" s="447">
        <v>46073</v>
      </c>
      <c r="F76" s="446" t="s">
        <v>1939</v>
      </c>
      <c r="G76" s="446" t="s">
        <v>194</v>
      </c>
      <c r="H76" s="446" t="s">
        <v>2251</v>
      </c>
      <c r="I76" s="446" t="s">
        <v>1935</v>
      </c>
      <c r="J76" s="450">
        <v>0.65</v>
      </c>
      <c r="K76" s="446">
        <v>0</v>
      </c>
      <c r="L76" s="451">
        <v>0</v>
      </c>
      <c r="M76" s="452">
        <v>0</v>
      </c>
      <c r="N76" s="446">
        <v>0</v>
      </c>
      <c r="O76" s="446">
        <v>9.4951483244754498E-2</v>
      </c>
      <c r="P76" s="449">
        <v>23.933788587435</v>
      </c>
      <c r="Q76" s="448" t="s">
        <v>1961</v>
      </c>
    </row>
    <row r="77" spans="1:17">
      <c r="A77" s="443">
        <v>46042</v>
      </c>
      <c r="B77" s="445" t="s">
        <v>2252</v>
      </c>
      <c r="C77" s="445" t="s">
        <v>2252</v>
      </c>
      <c r="D77" s="446" t="s">
        <v>2096</v>
      </c>
      <c r="E77" s="447">
        <v>46073</v>
      </c>
      <c r="F77" s="446" t="s">
        <v>1934</v>
      </c>
      <c r="G77" s="446" t="s">
        <v>194</v>
      </c>
      <c r="H77" s="446" t="s">
        <v>2253</v>
      </c>
      <c r="I77" s="446" t="s">
        <v>1935</v>
      </c>
      <c r="J77" s="450">
        <v>0.33</v>
      </c>
      <c r="K77" s="446">
        <v>46.67</v>
      </c>
      <c r="L77" s="451">
        <v>0</v>
      </c>
      <c r="M77" s="452">
        <v>0</v>
      </c>
      <c r="N77" s="446">
        <v>0</v>
      </c>
      <c r="O77" s="446">
        <v>4.3715599963453936E-2</v>
      </c>
      <c r="P77" s="449">
        <v>28.944434364624001</v>
      </c>
      <c r="Q77" s="448" t="s">
        <v>1961</v>
      </c>
    </row>
    <row r="78" spans="1:17">
      <c r="A78" s="443">
        <v>46042</v>
      </c>
      <c r="B78" s="445" t="s">
        <v>2254</v>
      </c>
      <c r="C78" s="445" t="s">
        <v>2254</v>
      </c>
      <c r="D78" s="446" t="s">
        <v>2096</v>
      </c>
      <c r="E78" s="447">
        <v>46073</v>
      </c>
      <c r="F78" s="446" t="s">
        <v>1934</v>
      </c>
      <c r="G78" s="446" t="s">
        <v>194</v>
      </c>
      <c r="H78" s="446" t="s">
        <v>2255</v>
      </c>
      <c r="I78" s="446" t="s">
        <v>1935</v>
      </c>
      <c r="J78" s="450">
        <v>1.17</v>
      </c>
      <c r="K78" s="446">
        <v>49.33</v>
      </c>
      <c r="L78" s="451">
        <v>0</v>
      </c>
      <c r="M78" s="452">
        <v>0</v>
      </c>
      <c r="N78" s="446">
        <v>0</v>
      </c>
      <c r="O78" s="446">
        <v>0.17710829939475528</v>
      </c>
      <c r="P78" s="449">
        <v>26.543930198232601</v>
      </c>
      <c r="Q78" s="448" t="s">
        <v>1961</v>
      </c>
    </row>
    <row r="79" spans="1:17">
      <c r="A79" s="443">
        <v>46042</v>
      </c>
      <c r="B79" s="444" t="s">
        <v>2256</v>
      </c>
      <c r="C79" s="444" t="s">
        <v>2256</v>
      </c>
      <c r="D79" s="446" t="s">
        <v>1960</v>
      </c>
      <c r="E79" s="447">
        <v>46101</v>
      </c>
      <c r="F79" s="446" t="s">
        <v>1939</v>
      </c>
      <c r="G79" s="446" t="s">
        <v>194</v>
      </c>
      <c r="H79" s="446" t="s">
        <v>2257</v>
      </c>
      <c r="I79" s="446" t="s">
        <v>1935</v>
      </c>
      <c r="J79" s="450">
        <v>0.82</v>
      </c>
      <c r="K79" s="446">
        <v>0</v>
      </c>
      <c r="L79" s="451">
        <v>0</v>
      </c>
      <c r="M79" s="452">
        <v>0</v>
      </c>
      <c r="N79" s="446">
        <v>0</v>
      </c>
      <c r="O79" s="446">
        <v>1.2133352121766952E-2</v>
      </c>
      <c r="P79" s="449">
        <v>26.978719625881102</v>
      </c>
      <c r="Q79" s="448" t="s">
        <v>1961</v>
      </c>
    </row>
    <row r="80" spans="1:17">
      <c r="A80" s="443">
        <v>46042</v>
      </c>
      <c r="B80" s="444" t="s">
        <v>2258</v>
      </c>
      <c r="C80" s="444" t="s">
        <v>2258</v>
      </c>
      <c r="D80" s="446" t="s">
        <v>1960</v>
      </c>
      <c r="E80" s="447">
        <v>46101</v>
      </c>
      <c r="F80" s="446" t="s">
        <v>1934</v>
      </c>
      <c r="G80" s="446" t="s">
        <v>194</v>
      </c>
      <c r="H80" s="446" t="s">
        <v>2259</v>
      </c>
      <c r="I80" s="446" t="s">
        <v>1935</v>
      </c>
      <c r="J80" s="450">
        <v>1.18</v>
      </c>
      <c r="K80" s="446">
        <v>20.13</v>
      </c>
      <c r="L80" s="451">
        <v>0</v>
      </c>
      <c r="M80" s="452">
        <v>0</v>
      </c>
      <c r="N80" s="446">
        <v>0</v>
      </c>
      <c r="O80" s="446">
        <v>0.18523053181357971</v>
      </c>
      <c r="P80" s="449">
        <v>30.933292244623001</v>
      </c>
      <c r="Q80" s="448" t="s">
        <v>1961</v>
      </c>
    </row>
    <row r="81" spans="1:17">
      <c r="A81" s="443">
        <v>46042</v>
      </c>
      <c r="B81" s="444" t="s">
        <v>2260</v>
      </c>
      <c r="C81" s="444" t="s">
        <v>2260</v>
      </c>
      <c r="D81" s="446" t="s">
        <v>1960</v>
      </c>
      <c r="E81" s="447">
        <v>46101</v>
      </c>
      <c r="F81" s="446" t="s">
        <v>1934</v>
      </c>
      <c r="G81" s="446" t="s">
        <v>194</v>
      </c>
      <c r="H81" s="446" t="s">
        <v>2261</v>
      </c>
      <c r="I81" s="446" t="s">
        <v>1935</v>
      </c>
      <c r="J81" s="450">
        <v>1.26</v>
      </c>
      <c r="K81" s="446">
        <v>22.049999999999997</v>
      </c>
      <c r="L81" s="451">
        <v>0</v>
      </c>
      <c r="M81" s="452">
        <v>0</v>
      </c>
      <c r="N81" s="446">
        <v>0</v>
      </c>
      <c r="O81" s="446">
        <v>0.41057509199627318</v>
      </c>
      <c r="P81" s="449">
        <v>28.7706572065613</v>
      </c>
      <c r="Q81" s="448" t="s">
        <v>1961</v>
      </c>
    </row>
    <row r="82" spans="1:17">
      <c r="A82" s="443">
        <v>46042</v>
      </c>
      <c r="B82" s="444" t="s">
        <v>2262</v>
      </c>
      <c r="C82" s="444" t="s">
        <v>2262</v>
      </c>
      <c r="D82" s="446" t="s">
        <v>2263</v>
      </c>
      <c r="E82" s="447">
        <v>46073</v>
      </c>
      <c r="F82" s="446" t="s">
        <v>1939</v>
      </c>
      <c r="G82" s="446" t="s">
        <v>194</v>
      </c>
      <c r="H82" s="446" t="s">
        <v>2264</v>
      </c>
      <c r="I82" s="446" t="s">
        <v>1935</v>
      </c>
      <c r="J82" s="450">
        <v>5.68</v>
      </c>
      <c r="K82" s="446">
        <v>0</v>
      </c>
      <c r="L82" s="451">
        <v>0</v>
      </c>
      <c r="M82" s="452">
        <v>0</v>
      </c>
      <c r="N82" s="446">
        <v>0</v>
      </c>
      <c r="O82" s="446">
        <v>1.0524835259713969</v>
      </c>
      <c r="P82" s="449">
        <v>25.983131158388701</v>
      </c>
      <c r="Q82" s="448" t="s">
        <v>1961</v>
      </c>
    </row>
    <row r="83" spans="1:17">
      <c r="A83" s="443">
        <v>46042</v>
      </c>
      <c r="B83" s="444" t="s">
        <v>2265</v>
      </c>
      <c r="C83" s="444" t="s">
        <v>2265</v>
      </c>
      <c r="D83" s="446" t="s">
        <v>2263</v>
      </c>
      <c r="E83" s="447">
        <v>46073</v>
      </c>
      <c r="F83" s="446" t="s">
        <v>1939</v>
      </c>
      <c r="G83" s="446" t="s">
        <v>194</v>
      </c>
      <c r="H83" s="446" t="s">
        <v>2266</v>
      </c>
      <c r="I83" s="446" t="s">
        <v>1935</v>
      </c>
      <c r="J83" s="450">
        <v>2.35</v>
      </c>
      <c r="K83" s="446">
        <v>0</v>
      </c>
      <c r="L83" s="451">
        <v>0</v>
      </c>
      <c r="M83" s="452">
        <v>0</v>
      </c>
      <c r="N83" s="446">
        <v>0</v>
      </c>
      <c r="O83" s="446">
        <v>0.43712764871738341</v>
      </c>
      <c r="P83" s="449">
        <v>24.987801384703399</v>
      </c>
      <c r="Q83" s="448" t="s">
        <v>1961</v>
      </c>
    </row>
    <row r="84" spans="1:17">
      <c r="A84" s="443">
        <v>46042</v>
      </c>
      <c r="B84" s="455" t="s">
        <v>2281</v>
      </c>
      <c r="C84" s="455" t="s">
        <v>2281</v>
      </c>
      <c r="D84" s="446" t="s">
        <v>1962</v>
      </c>
      <c r="E84" s="447">
        <v>46073</v>
      </c>
      <c r="F84" s="446" t="s">
        <v>1939</v>
      </c>
      <c r="G84" s="446" t="s">
        <v>194</v>
      </c>
      <c r="H84" s="446" t="s">
        <v>2282</v>
      </c>
      <c r="I84" s="446" t="s">
        <v>1935</v>
      </c>
      <c r="J84" s="450">
        <v>0.2</v>
      </c>
      <c r="K84" s="446">
        <v>0</v>
      </c>
      <c r="L84" s="451">
        <v>0</v>
      </c>
      <c r="M84" s="452">
        <v>0</v>
      </c>
      <c r="N84" s="446">
        <v>0</v>
      </c>
      <c r="O84" s="446">
        <v>3.644581764153642E-2</v>
      </c>
      <c r="P84" s="449">
        <v>29.753789957339002</v>
      </c>
      <c r="Q84" s="448" t="s">
        <v>1961</v>
      </c>
    </row>
    <row r="85" spans="1:17">
      <c r="A85" s="443">
        <v>46042</v>
      </c>
      <c r="B85" s="455" t="s">
        <v>2283</v>
      </c>
      <c r="C85" s="455" t="s">
        <v>2283</v>
      </c>
      <c r="D85" s="446" t="s">
        <v>2023</v>
      </c>
      <c r="E85" s="447">
        <v>46071</v>
      </c>
      <c r="F85" s="446" t="s">
        <v>1934</v>
      </c>
      <c r="G85" s="446" t="s">
        <v>194</v>
      </c>
      <c r="H85" s="446" t="s">
        <v>2284</v>
      </c>
      <c r="I85" s="446" t="s">
        <v>1935</v>
      </c>
      <c r="J85" s="450">
        <v>765</v>
      </c>
      <c r="K85" s="446">
        <v>160235</v>
      </c>
      <c r="L85" s="451">
        <v>0</v>
      </c>
      <c r="M85" s="452">
        <v>0</v>
      </c>
      <c r="N85" s="446">
        <v>0</v>
      </c>
      <c r="O85" s="446">
        <v>132.48507557100504</v>
      </c>
      <c r="P85" s="449">
        <v>16.415196317374598</v>
      </c>
      <c r="Q85" s="448" t="s">
        <v>1961</v>
      </c>
    </row>
    <row r="86" spans="1:17">
      <c r="A86" s="443">
        <v>46042</v>
      </c>
      <c r="B86" s="455" t="s">
        <v>2285</v>
      </c>
      <c r="C86" s="455" t="s">
        <v>2285</v>
      </c>
      <c r="D86" s="446" t="s">
        <v>2114</v>
      </c>
      <c r="E86" s="447">
        <v>46073</v>
      </c>
      <c r="F86" s="446" t="s">
        <v>1934</v>
      </c>
      <c r="G86" s="446" t="s">
        <v>194</v>
      </c>
      <c r="H86" s="446" t="s">
        <v>2286</v>
      </c>
      <c r="I86" s="446" t="s">
        <v>1935</v>
      </c>
      <c r="J86" s="450">
        <v>0.92</v>
      </c>
      <c r="K86" s="446">
        <v>107.08</v>
      </c>
      <c r="L86" s="451">
        <v>0</v>
      </c>
      <c r="M86" s="452">
        <v>0</v>
      </c>
      <c r="N86" s="446">
        <v>0</v>
      </c>
      <c r="O86" s="446">
        <v>0.17529784406507012</v>
      </c>
      <c r="P86" s="449">
        <v>24.9605759216705</v>
      </c>
      <c r="Q86" s="448" t="s">
        <v>1961</v>
      </c>
    </row>
    <row r="87" spans="1:17">
      <c r="A87" s="443">
        <v>46042</v>
      </c>
      <c r="B87" s="455" t="s">
        <v>2287</v>
      </c>
      <c r="C87" s="455" t="s">
        <v>2287</v>
      </c>
      <c r="D87" s="446" t="s">
        <v>2114</v>
      </c>
      <c r="E87" s="447">
        <v>46073</v>
      </c>
      <c r="F87" s="446" t="s">
        <v>1934</v>
      </c>
      <c r="G87" s="446" t="s">
        <v>194</v>
      </c>
      <c r="H87" s="446" t="s">
        <v>2288</v>
      </c>
      <c r="I87" s="446" t="s">
        <v>1935</v>
      </c>
      <c r="J87" s="450">
        <v>2.23</v>
      </c>
      <c r="K87" s="446">
        <v>110.77</v>
      </c>
      <c r="L87" s="451">
        <v>0</v>
      </c>
      <c r="M87" s="452">
        <v>0</v>
      </c>
      <c r="N87" s="446">
        <v>0</v>
      </c>
      <c r="O87" s="446">
        <v>0.42049772370907035</v>
      </c>
      <c r="P87" s="449">
        <v>22.5856758896937</v>
      </c>
      <c r="Q87" s="448" t="s">
        <v>1961</v>
      </c>
    </row>
    <row r="88" spans="1:17">
      <c r="A88" s="443">
        <v>46042</v>
      </c>
      <c r="B88" s="444" t="s">
        <v>2313</v>
      </c>
      <c r="C88" s="444" t="s">
        <v>2313</v>
      </c>
      <c r="D88" s="446" t="s">
        <v>2114</v>
      </c>
      <c r="E88" s="447">
        <v>46073</v>
      </c>
      <c r="F88" s="446" t="s">
        <v>1934</v>
      </c>
      <c r="G88" s="446" t="s">
        <v>194</v>
      </c>
      <c r="H88" s="446" t="s">
        <v>2314</v>
      </c>
      <c r="I88" s="446" t="s">
        <v>1935</v>
      </c>
      <c r="J88" s="450">
        <v>2.63</v>
      </c>
      <c r="K88" s="446">
        <v>111.37</v>
      </c>
      <c r="L88" s="451">
        <v>0</v>
      </c>
      <c r="M88" s="452">
        <v>0</v>
      </c>
      <c r="N88" s="446">
        <v>0</v>
      </c>
      <c r="O88" s="446">
        <v>0.49745571529025806</v>
      </c>
      <c r="P88" s="449">
        <v>22.257392108448702</v>
      </c>
      <c r="Q88" s="448" t="s">
        <v>1961</v>
      </c>
    </row>
    <row r="89" spans="1:17">
      <c r="A89" s="443">
        <v>46042</v>
      </c>
      <c r="B89" s="444" t="s">
        <v>2315</v>
      </c>
      <c r="C89" s="444" t="s">
        <v>2315</v>
      </c>
      <c r="D89" s="446" t="s">
        <v>2316</v>
      </c>
      <c r="E89" s="447">
        <v>46073</v>
      </c>
      <c r="F89" s="446" t="s">
        <v>1939</v>
      </c>
      <c r="G89" s="446" t="s">
        <v>194</v>
      </c>
      <c r="H89" s="446" t="s">
        <v>2317</v>
      </c>
      <c r="I89" s="446" t="s">
        <v>1935</v>
      </c>
      <c r="J89" s="450">
        <v>0.35</v>
      </c>
      <c r="K89" s="446">
        <v>0</v>
      </c>
      <c r="L89" s="451">
        <v>0</v>
      </c>
      <c r="M89" s="452">
        <v>0</v>
      </c>
      <c r="N89" s="446">
        <v>0</v>
      </c>
      <c r="O89" s="446">
        <v>3.1042093325935296E-2</v>
      </c>
      <c r="P89" s="449">
        <v>30.2491220301509</v>
      </c>
      <c r="Q89" s="448" t="s">
        <v>1961</v>
      </c>
    </row>
    <row r="90" spans="1:17">
      <c r="A90" s="443">
        <v>46042</v>
      </c>
      <c r="B90" s="444" t="s">
        <v>2318</v>
      </c>
      <c r="C90" s="444" t="s">
        <v>2318</v>
      </c>
      <c r="D90" s="446" t="s">
        <v>2316</v>
      </c>
      <c r="E90" s="447">
        <v>46073</v>
      </c>
      <c r="F90" s="446" t="s">
        <v>1934</v>
      </c>
      <c r="G90" s="446" t="s">
        <v>194</v>
      </c>
      <c r="H90" s="446" t="s">
        <v>2319</v>
      </c>
      <c r="I90" s="446" t="s">
        <v>1935</v>
      </c>
      <c r="J90" s="450">
        <v>0.6</v>
      </c>
      <c r="K90" s="446">
        <v>25.29</v>
      </c>
      <c r="L90" s="451">
        <v>0</v>
      </c>
      <c r="M90" s="452">
        <v>0</v>
      </c>
      <c r="N90" s="446">
        <v>0</v>
      </c>
      <c r="O90" s="446">
        <v>9.2335798123880736E-2</v>
      </c>
      <c r="P90" s="449">
        <v>35.341001150693401</v>
      </c>
      <c r="Q90" s="448" t="s">
        <v>1961</v>
      </c>
    </row>
    <row r="91" spans="1:17">
      <c r="A91" s="443">
        <v>46042</v>
      </c>
      <c r="B91" s="444" t="s">
        <v>2320</v>
      </c>
      <c r="C91" s="444" t="s">
        <v>2320</v>
      </c>
      <c r="D91" s="446" t="s">
        <v>2316</v>
      </c>
      <c r="E91" s="447">
        <v>46073</v>
      </c>
      <c r="F91" s="446" t="s">
        <v>1934</v>
      </c>
      <c r="G91" s="446" t="s">
        <v>194</v>
      </c>
      <c r="H91" s="446" t="s">
        <v>2321</v>
      </c>
      <c r="I91" s="446" t="s">
        <v>1935</v>
      </c>
      <c r="J91" s="450">
        <v>1.53</v>
      </c>
      <c r="K91" s="446">
        <v>26.61</v>
      </c>
      <c r="L91" s="451">
        <v>0</v>
      </c>
      <c r="M91" s="452">
        <v>0</v>
      </c>
      <c r="N91" s="446">
        <v>0</v>
      </c>
      <c r="O91" s="446">
        <v>0.27056221134702602</v>
      </c>
      <c r="P91" s="449">
        <v>32.474139921334299</v>
      </c>
      <c r="Q91" s="448" t="s">
        <v>1961</v>
      </c>
    </row>
    <row r="92" spans="1:17">
      <c r="A92" s="443">
        <v>46042</v>
      </c>
      <c r="B92" s="455" t="s">
        <v>2336</v>
      </c>
      <c r="C92" s="455" t="s">
        <v>2336</v>
      </c>
      <c r="D92" s="449"/>
      <c r="E92" s="449"/>
      <c r="F92" s="449"/>
      <c r="G92" s="449"/>
      <c r="H92" s="449"/>
      <c r="I92" s="449"/>
      <c r="J92" s="449"/>
      <c r="K92" s="449"/>
      <c r="L92" s="540"/>
      <c r="M92" s="541"/>
      <c r="N92" s="449"/>
      <c r="O92" s="449"/>
      <c r="P92" s="449"/>
      <c r="Q92" s="539"/>
    </row>
    <row r="93" spans="1:17">
      <c r="A93" s="443">
        <v>46037</v>
      </c>
      <c r="B93" s="449" t="s">
        <v>2113</v>
      </c>
      <c r="C93" s="445" t="s">
        <v>2113</v>
      </c>
      <c r="D93" s="446" t="s">
        <v>2114</v>
      </c>
      <c r="E93" s="447">
        <v>46038</v>
      </c>
      <c r="F93" s="446" t="s">
        <v>1934</v>
      </c>
      <c r="G93" s="446" t="s">
        <v>194</v>
      </c>
      <c r="H93" s="446" t="s">
        <v>2176</v>
      </c>
      <c r="I93" s="446" t="s">
        <v>1935</v>
      </c>
      <c r="J93" s="450">
        <v>0.01</v>
      </c>
      <c r="K93" s="446">
        <v>103.99</v>
      </c>
      <c r="L93" s="451">
        <v>0</v>
      </c>
      <c r="M93" s="452">
        <v>0</v>
      </c>
      <c r="N93" s="446">
        <v>0</v>
      </c>
      <c r="O93" s="446">
        <v>2.8772363655945031E-3</v>
      </c>
      <c r="P93" s="449">
        <v>63.848147823982693</v>
      </c>
      <c r="Q93" s="448" t="s">
        <v>1961</v>
      </c>
    </row>
    <row r="94" spans="1:17">
      <c r="A94" s="443">
        <v>46037</v>
      </c>
      <c r="B94" s="449" t="s">
        <v>2115</v>
      </c>
      <c r="C94" s="445" t="s">
        <v>2115</v>
      </c>
      <c r="D94" s="446" t="s">
        <v>2114</v>
      </c>
      <c r="E94" s="447">
        <v>46038</v>
      </c>
      <c r="F94" s="446" t="s">
        <v>1934</v>
      </c>
      <c r="G94" s="446" t="s">
        <v>194</v>
      </c>
      <c r="H94" s="446" t="s">
        <v>2226</v>
      </c>
      <c r="I94" s="446" t="s">
        <v>1935</v>
      </c>
      <c r="J94" s="450">
        <v>0.04</v>
      </c>
      <c r="K94" s="446">
        <v>110.96</v>
      </c>
      <c r="L94" s="451">
        <v>0</v>
      </c>
      <c r="M94" s="452">
        <v>0</v>
      </c>
      <c r="N94" s="446">
        <v>0</v>
      </c>
      <c r="O94" s="446">
        <v>8.3677741068149125E-3</v>
      </c>
      <c r="P94" s="449">
        <v>27.588490238085299</v>
      </c>
      <c r="Q94" s="448" t="s">
        <v>1961</v>
      </c>
    </row>
    <row r="95" spans="1:17">
      <c r="A95" s="443">
        <v>46037</v>
      </c>
      <c r="B95" s="449" t="s">
        <v>2116</v>
      </c>
      <c r="C95" s="445" t="s">
        <v>2116</v>
      </c>
      <c r="D95" s="446" t="s">
        <v>2117</v>
      </c>
      <c r="E95" s="447">
        <v>46038</v>
      </c>
      <c r="F95" s="446" t="s">
        <v>1934</v>
      </c>
      <c r="G95" s="446" t="s">
        <v>194</v>
      </c>
      <c r="H95" s="446" t="s">
        <v>2227</v>
      </c>
      <c r="I95" s="446" t="s">
        <v>1935</v>
      </c>
      <c r="J95" s="450">
        <v>0.01</v>
      </c>
      <c r="K95" s="446">
        <v>11.74</v>
      </c>
      <c r="L95" s="451">
        <v>0</v>
      </c>
      <c r="M95" s="452">
        <v>0</v>
      </c>
      <c r="N95" s="446">
        <v>0</v>
      </c>
      <c r="O95" s="446">
        <v>1.4386744042843015E-14</v>
      </c>
      <c r="P95" s="449">
        <v>31.7242849054647</v>
      </c>
      <c r="Q95" s="448" t="s">
        <v>1961</v>
      </c>
    </row>
    <row r="96" spans="1:17">
      <c r="A96" s="443">
        <v>46037</v>
      </c>
      <c r="B96" s="449" t="s">
        <v>2118</v>
      </c>
      <c r="C96" s="445" t="s">
        <v>2118</v>
      </c>
      <c r="D96" s="446" t="s">
        <v>2117</v>
      </c>
      <c r="E96" s="447">
        <v>46038</v>
      </c>
      <c r="F96" s="446" t="s">
        <v>1934</v>
      </c>
      <c r="G96" s="446" t="s">
        <v>194</v>
      </c>
      <c r="H96" s="446" t="s">
        <v>2228</v>
      </c>
      <c r="I96" s="446" t="s">
        <v>1935</v>
      </c>
      <c r="J96" s="450">
        <v>0.01</v>
      </c>
      <c r="K96" s="446">
        <v>12.74</v>
      </c>
      <c r="L96" s="451">
        <v>0</v>
      </c>
      <c r="M96" s="452">
        <v>0</v>
      </c>
      <c r="N96" s="446">
        <v>0</v>
      </c>
      <c r="O96" s="446">
        <v>1.5358484608964192E-5</v>
      </c>
      <c r="P96" s="449">
        <v>27.062496671144199</v>
      </c>
      <c r="Q96" s="448" t="s">
        <v>1961</v>
      </c>
    </row>
    <row r="97" spans="1:17">
      <c r="A97" s="443">
        <v>46037</v>
      </c>
      <c r="B97" s="449" t="s">
        <v>2135</v>
      </c>
      <c r="C97" s="445" t="s">
        <v>2135</v>
      </c>
      <c r="D97" s="446" t="s">
        <v>2136</v>
      </c>
      <c r="E97" s="447">
        <v>46073</v>
      </c>
      <c r="F97" s="446" t="s">
        <v>1939</v>
      </c>
      <c r="G97" s="446" t="s">
        <v>194</v>
      </c>
      <c r="H97" s="446" t="s">
        <v>2229</v>
      </c>
      <c r="I97" s="446" t="s">
        <v>1935</v>
      </c>
      <c r="J97" s="450">
        <v>1.32</v>
      </c>
      <c r="K97" s="446">
        <v>0</v>
      </c>
      <c r="L97" s="451">
        <v>0</v>
      </c>
      <c r="M97" s="452">
        <v>0</v>
      </c>
      <c r="N97" s="446">
        <v>0</v>
      </c>
      <c r="O97" s="446">
        <v>0.24868964742811109</v>
      </c>
      <c r="P97" s="449">
        <v>28.270244252576099</v>
      </c>
      <c r="Q97" s="448" t="s">
        <v>1961</v>
      </c>
    </row>
    <row r="98" spans="1:17">
      <c r="A98" s="443">
        <v>46037</v>
      </c>
      <c r="B98" s="449" t="s">
        <v>2137</v>
      </c>
      <c r="C98" s="445" t="s">
        <v>2137</v>
      </c>
      <c r="D98" s="446" t="s">
        <v>2136</v>
      </c>
      <c r="E98" s="447">
        <v>46073</v>
      </c>
      <c r="F98" s="446" t="s">
        <v>1934</v>
      </c>
      <c r="G98" s="446" t="s">
        <v>194</v>
      </c>
      <c r="H98" s="446" t="s">
        <v>2230</v>
      </c>
      <c r="I98" s="446" t="s">
        <v>1935</v>
      </c>
      <c r="J98" s="450">
        <v>0.16</v>
      </c>
      <c r="K98" s="446">
        <v>47.660000000000004</v>
      </c>
      <c r="L98" s="451">
        <v>0</v>
      </c>
      <c r="M98" s="452">
        <v>0</v>
      </c>
      <c r="N98" s="446">
        <v>0</v>
      </c>
      <c r="O98" s="446">
        <v>3.0793512691715288E-2</v>
      </c>
      <c r="P98" s="449">
        <v>34.391304361136797</v>
      </c>
      <c r="Q98" s="448" t="s">
        <v>1961</v>
      </c>
    </row>
    <row r="99" spans="1:17">
      <c r="A99" s="443">
        <v>46037</v>
      </c>
      <c r="B99" s="449" t="s">
        <v>2138</v>
      </c>
      <c r="C99" s="445" t="s">
        <v>2138</v>
      </c>
      <c r="D99" s="446" t="s">
        <v>2136</v>
      </c>
      <c r="E99" s="447">
        <v>46073</v>
      </c>
      <c r="F99" s="446" t="s">
        <v>1934</v>
      </c>
      <c r="G99" s="446" t="s">
        <v>194</v>
      </c>
      <c r="H99" s="446" t="s">
        <v>2231</v>
      </c>
      <c r="I99" s="446" t="s">
        <v>1935</v>
      </c>
      <c r="J99" s="450">
        <v>0.61</v>
      </c>
      <c r="K99" s="446">
        <v>51.21</v>
      </c>
      <c r="L99" s="451">
        <v>0</v>
      </c>
      <c r="M99" s="452">
        <v>0</v>
      </c>
      <c r="N99" s="446">
        <v>0</v>
      </c>
      <c r="O99" s="446">
        <v>0.11511544233329239</v>
      </c>
      <c r="P99" s="449">
        <v>31.199763613054202</v>
      </c>
      <c r="Q99" s="448" t="s">
        <v>1961</v>
      </c>
    </row>
    <row r="100" spans="1:17">
      <c r="A100" s="443">
        <v>46037</v>
      </c>
      <c r="B100" s="449" t="s">
        <v>2144</v>
      </c>
      <c r="C100" s="445" t="s">
        <v>2144</v>
      </c>
      <c r="D100" s="446" t="s">
        <v>2096</v>
      </c>
      <c r="E100" s="447">
        <v>46073</v>
      </c>
      <c r="F100" s="446" t="s">
        <v>1934</v>
      </c>
      <c r="G100" s="446" t="s">
        <v>194</v>
      </c>
      <c r="H100" s="446" t="s">
        <v>2232</v>
      </c>
      <c r="I100" s="446" t="s">
        <v>1935</v>
      </c>
      <c r="J100" s="450">
        <v>0.1</v>
      </c>
      <c r="K100" s="446">
        <v>42.9</v>
      </c>
      <c r="L100" s="451">
        <v>0</v>
      </c>
      <c r="M100" s="452">
        <v>0</v>
      </c>
      <c r="N100" s="446">
        <v>0</v>
      </c>
      <c r="O100" s="446">
        <v>7.4051583074918742E-3</v>
      </c>
      <c r="P100" s="449">
        <v>31.237672358727103</v>
      </c>
      <c r="Q100" s="448" t="s">
        <v>1961</v>
      </c>
    </row>
    <row r="101" spans="1:17">
      <c r="A101" s="443">
        <v>46037</v>
      </c>
      <c r="B101" s="449" t="s">
        <v>2145</v>
      </c>
      <c r="C101" s="445" t="s">
        <v>2145</v>
      </c>
      <c r="D101" s="446" t="s">
        <v>2096</v>
      </c>
      <c r="E101" s="447">
        <v>46073</v>
      </c>
      <c r="F101" s="446" t="s">
        <v>1934</v>
      </c>
      <c r="G101" s="446" t="s">
        <v>194</v>
      </c>
      <c r="H101" s="446" t="s">
        <v>2233</v>
      </c>
      <c r="I101" s="446" t="s">
        <v>1935</v>
      </c>
      <c r="J101" s="450">
        <v>0.43</v>
      </c>
      <c r="K101" s="446">
        <v>47.57</v>
      </c>
      <c r="L101" s="451">
        <v>0</v>
      </c>
      <c r="M101" s="452">
        <v>0</v>
      </c>
      <c r="N101" s="446">
        <v>0</v>
      </c>
      <c r="O101" s="446">
        <v>7.5143212557524638E-2</v>
      </c>
      <c r="P101" s="449">
        <v>28.176290884327901</v>
      </c>
      <c r="Q101" s="448" t="s">
        <v>1961</v>
      </c>
    </row>
    <row r="102" spans="1:17">
      <c r="A102" s="443">
        <v>46037</v>
      </c>
      <c r="B102" s="449" t="s">
        <v>2146</v>
      </c>
      <c r="C102" s="445" t="s">
        <v>2146</v>
      </c>
      <c r="D102" s="446" t="s">
        <v>2147</v>
      </c>
      <c r="E102" s="447">
        <v>46038</v>
      </c>
      <c r="F102" s="446" t="s">
        <v>1939</v>
      </c>
      <c r="G102" s="446" t="s">
        <v>194</v>
      </c>
      <c r="H102" s="446" t="s">
        <v>2234</v>
      </c>
      <c r="I102" s="446" t="s">
        <v>1935</v>
      </c>
      <c r="J102" s="450">
        <v>0.13</v>
      </c>
      <c r="K102" s="446">
        <v>0</v>
      </c>
      <c r="L102" s="451">
        <v>0</v>
      </c>
      <c r="M102" s="452">
        <v>0</v>
      </c>
      <c r="N102" s="446">
        <v>0</v>
      </c>
      <c r="O102" s="446">
        <v>3.4774353672907765E-4</v>
      </c>
      <c r="P102" s="449">
        <v>37.811672459656997</v>
      </c>
      <c r="Q102" s="448" t="s">
        <v>1961</v>
      </c>
    </row>
    <row r="103" spans="1:17">
      <c r="A103" s="443">
        <v>46037</v>
      </c>
      <c r="B103" s="449" t="s">
        <v>2148</v>
      </c>
      <c r="C103" s="445" t="s">
        <v>2148</v>
      </c>
      <c r="D103" s="446" t="s">
        <v>2147</v>
      </c>
      <c r="E103" s="447">
        <v>46038</v>
      </c>
      <c r="F103" s="446" t="s">
        <v>1934</v>
      </c>
      <c r="G103" s="446" t="s">
        <v>194</v>
      </c>
      <c r="H103" s="446" t="s">
        <v>2235</v>
      </c>
      <c r="I103" s="446" t="s">
        <v>1935</v>
      </c>
      <c r="J103" s="450">
        <v>0.13</v>
      </c>
      <c r="K103" s="446">
        <v>40.669999999999995</v>
      </c>
      <c r="L103" s="451">
        <v>0</v>
      </c>
      <c r="M103" s="452">
        <v>0</v>
      </c>
      <c r="N103" s="446">
        <v>0</v>
      </c>
      <c r="O103" s="446">
        <v>2.5149712726436719E-3</v>
      </c>
      <c r="P103" s="449">
        <v>53.550429931022002</v>
      </c>
      <c r="Q103" s="448" t="s">
        <v>1961</v>
      </c>
    </row>
    <row r="104" spans="1:17">
      <c r="A104" s="443">
        <v>46037</v>
      </c>
      <c r="B104" s="449" t="s">
        <v>2149</v>
      </c>
      <c r="C104" s="445" t="s">
        <v>2149</v>
      </c>
      <c r="D104" s="446" t="s">
        <v>2147</v>
      </c>
      <c r="E104" s="447">
        <v>46038</v>
      </c>
      <c r="F104" s="446" t="s">
        <v>1934</v>
      </c>
      <c r="G104" s="446" t="s">
        <v>194</v>
      </c>
      <c r="H104" s="446" t="s">
        <v>2236</v>
      </c>
      <c r="I104" s="446" t="s">
        <v>1935</v>
      </c>
      <c r="J104" s="450">
        <v>0.31</v>
      </c>
      <c r="K104" s="446">
        <v>42.989999999999995</v>
      </c>
      <c r="L104" s="451">
        <v>0</v>
      </c>
      <c r="M104" s="452">
        <v>0</v>
      </c>
      <c r="N104" s="446">
        <v>0</v>
      </c>
      <c r="O104" s="446">
        <v>7.0249955346769796E-2</v>
      </c>
      <c r="P104" s="449">
        <v>46.457230110763902</v>
      </c>
      <c r="Q104" s="448" t="s">
        <v>1961</v>
      </c>
    </row>
    <row r="105" spans="1:17">
      <c r="A105" s="443">
        <v>46037</v>
      </c>
      <c r="B105" s="444" t="s">
        <v>2154</v>
      </c>
      <c r="C105" s="444" t="s">
        <v>2154</v>
      </c>
      <c r="D105" s="446" t="s">
        <v>2038</v>
      </c>
      <c r="E105" s="447">
        <v>46038</v>
      </c>
      <c r="F105" s="446" t="s">
        <v>1939</v>
      </c>
      <c r="G105" s="446" t="s">
        <v>194</v>
      </c>
      <c r="H105" s="446" t="s">
        <v>2237</v>
      </c>
      <c r="I105" s="446" t="s">
        <v>1935</v>
      </c>
      <c r="J105" s="450">
        <v>1.45</v>
      </c>
      <c r="K105" s="446">
        <v>0</v>
      </c>
      <c r="L105" s="451">
        <v>0</v>
      </c>
      <c r="M105" s="452">
        <v>0</v>
      </c>
      <c r="N105" s="446">
        <v>0</v>
      </c>
      <c r="O105" s="446">
        <v>0.26690657931581063</v>
      </c>
      <c r="P105" s="449">
        <v>70.545545020091808</v>
      </c>
      <c r="Q105" s="448" t="s">
        <v>1961</v>
      </c>
    </row>
    <row r="106" spans="1:17">
      <c r="A106" s="443">
        <v>46037</v>
      </c>
      <c r="B106" s="444" t="s">
        <v>2155</v>
      </c>
      <c r="C106" s="444" t="s">
        <v>2155</v>
      </c>
      <c r="D106" s="446" t="s">
        <v>2038</v>
      </c>
      <c r="E106" s="447">
        <v>46038</v>
      </c>
      <c r="F106" s="446" t="s">
        <v>1939</v>
      </c>
      <c r="G106" s="446" t="s">
        <v>194</v>
      </c>
      <c r="H106" s="446" t="s">
        <v>2238</v>
      </c>
      <c r="I106" s="446" t="s">
        <v>1935</v>
      </c>
      <c r="J106" s="450">
        <v>0.9</v>
      </c>
      <c r="K106" s="446">
        <v>0</v>
      </c>
      <c r="L106" s="451">
        <v>0</v>
      </c>
      <c r="M106" s="452">
        <v>0</v>
      </c>
      <c r="N106" s="446">
        <v>0</v>
      </c>
      <c r="O106" s="446">
        <v>0.17439425036411249</v>
      </c>
      <c r="P106" s="449">
        <v>55.061194240258402</v>
      </c>
      <c r="Q106" s="448" t="s">
        <v>1961</v>
      </c>
    </row>
    <row r="107" spans="1:17">
      <c r="A107" s="443">
        <v>46037</v>
      </c>
      <c r="B107" s="444" t="s">
        <v>2156</v>
      </c>
      <c r="C107" s="444" t="s">
        <v>2156</v>
      </c>
      <c r="D107" s="446" t="s">
        <v>2157</v>
      </c>
      <c r="E107" s="447">
        <v>46073</v>
      </c>
      <c r="F107" s="446" t="s">
        <v>1934</v>
      </c>
      <c r="G107" s="446" t="s">
        <v>194</v>
      </c>
      <c r="H107" s="446" t="s">
        <v>2239</v>
      </c>
      <c r="I107" s="446" t="s">
        <v>1935</v>
      </c>
      <c r="J107" s="450">
        <v>0.57999999999999996</v>
      </c>
      <c r="K107" s="446">
        <v>49.800000000000004</v>
      </c>
      <c r="L107" s="451">
        <v>0</v>
      </c>
      <c r="M107" s="452">
        <v>0</v>
      </c>
      <c r="N107" s="446">
        <v>0</v>
      </c>
      <c r="O107" s="446">
        <v>0.10822727075425986</v>
      </c>
      <c r="P107" s="449">
        <v>24.731739173700898</v>
      </c>
      <c r="Q107" s="448" t="s">
        <v>1961</v>
      </c>
    </row>
    <row r="108" spans="1:17">
      <c r="A108" s="443">
        <v>46037</v>
      </c>
      <c r="B108" s="444" t="s">
        <v>2161</v>
      </c>
      <c r="C108" s="444" t="s">
        <v>2161</v>
      </c>
      <c r="D108" s="446" t="s">
        <v>2038</v>
      </c>
      <c r="E108" s="447">
        <v>46038</v>
      </c>
      <c r="F108" s="446" t="s">
        <v>1939</v>
      </c>
      <c r="G108" s="446" t="s">
        <v>194</v>
      </c>
      <c r="H108" s="446" t="s">
        <v>2240</v>
      </c>
      <c r="I108" s="446" t="s">
        <v>1935</v>
      </c>
      <c r="J108" s="450">
        <v>0.68</v>
      </c>
      <c r="K108" s="446">
        <v>0</v>
      </c>
      <c r="L108" s="451">
        <v>0</v>
      </c>
      <c r="M108" s="452">
        <v>0</v>
      </c>
      <c r="N108" s="446">
        <v>0</v>
      </c>
      <c r="O108" s="446">
        <v>0.12841254991425519</v>
      </c>
      <c r="P108" s="449">
        <v>45.964945535557199</v>
      </c>
      <c r="Q108" s="448" t="s">
        <v>1961</v>
      </c>
    </row>
    <row r="109" spans="1:17">
      <c r="A109" s="443">
        <v>46037</v>
      </c>
      <c r="B109" s="444" t="s">
        <v>2162</v>
      </c>
      <c r="C109" s="444" t="s">
        <v>2162</v>
      </c>
      <c r="D109" s="446" t="s">
        <v>2038</v>
      </c>
      <c r="E109" s="447">
        <v>46038</v>
      </c>
      <c r="F109" s="446" t="s">
        <v>1934</v>
      </c>
      <c r="G109" s="446" t="s">
        <v>194</v>
      </c>
      <c r="H109" s="446" t="s">
        <v>2241</v>
      </c>
      <c r="I109" s="446" t="s">
        <v>1935</v>
      </c>
      <c r="J109" s="450">
        <v>0.01</v>
      </c>
      <c r="K109" s="446">
        <v>13.01</v>
      </c>
      <c r="L109" s="451">
        <v>0</v>
      </c>
      <c r="M109" s="452">
        <v>0</v>
      </c>
      <c r="N109" s="446">
        <v>0</v>
      </c>
      <c r="O109" s="446">
        <v>3.9863231790114013E-5</v>
      </c>
      <c r="P109" s="449">
        <v>89.76166392824139</v>
      </c>
      <c r="Q109" s="448" t="s">
        <v>1961</v>
      </c>
    </row>
    <row r="110" spans="1:17">
      <c r="A110" s="443">
        <v>46037</v>
      </c>
      <c r="B110" s="444" t="s">
        <v>2163</v>
      </c>
      <c r="C110" s="444" t="s">
        <v>2163</v>
      </c>
      <c r="D110" s="446" t="s">
        <v>2038</v>
      </c>
      <c r="E110" s="447">
        <v>46038</v>
      </c>
      <c r="F110" s="446" t="s">
        <v>1934</v>
      </c>
      <c r="G110" s="446" t="s">
        <v>194</v>
      </c>
      <c r="H110" s="446" t="s">
        <v>2242</v>
      </c>
      <c r="I110" s="446" t="s">
        <v>1935</v>
      </c>
      <c r="J110" s="450">
        <v>0.01</v>
      </c>
      <c r="K110" s="446">
        <v>13.76</v>
      </c>
      <c r="L110" s="451">
        <v>0</v>
      </c>
      <c r="M110" s="452">
        <v>0</v>
      </c>
      <c r="N110" s="446">
        <v>0</v>
      </c>
      <c r="O110" s="446">
        <v>3.1298364024433207E-4</v>
      </c>
      <c r="P110" s="449">
        <v>76.62247725346009</v>
      </c>
      <c r="Q110" s="448" t="s">
        <v>1961</v>
      </c>
    </row>
    <row r="111" spans="1:17">
      <c r="A111" s="443">
        <v>46037</v>
      </c>
      <c r="B111" s="444" t="s">
        <v>2164</v>
      </c>
      <c r="C111" s="444" t="s">
        <v>2164</v>
      </c>
      <c r="D111" s="446" t="s">
        <v>2165</v>
      </c>
      <c r="E111" s="447">
        <v>46038</v>
      </c>
      <c r="F111" s="446" t="s">
        <v>1939</v>
      </c>
      <c r="G111" s="446" t="s">
        <v>194</v>
      </c>
      <c r="H111" s="446" t="s">
        <v>2243</v>
      </c>
      <c r="I111" s="446" t="s">
        <v>1935</v>
      </c>
      <c r="J111" s="450">
        <v>0.2</v>
      </c>
      <c r="K111" s="446">
        <v>0</v>
      </c>
      <c r="L111" s="451">
        <v>0</v>
      </c>
      <c r="M111" s="452">
        <v>0</v>
      </c>
      <c r="N111" s="446">
        <v>0</v>
      </c>
      <c r="O111" s="446">
        <v>3.1478252458207165E-2</v>
      </c>
      <c r="P111" s="449">
        <v>24.805842758912899</v>
      </c>
      <c r="Q111" s="448" t="s">
        <v>1961</v>
      </c>
    </row>
    <row r="112" spans="1:17">
      <c r="A112" s="443">
        <v>46037</v>
      </c>
      <c r="B112" s="444" t="s">
        <v>2168</v>
      </c>
      <c r="C112" s="445" t="s">
        <v>2168</v>
      </c>
      <c r="D112" s="446" t="s">
        <v>2165</v>
      </c>
      <c r="E112" s="447">
        <v>46038</v>
      </c>
      <c r="F112" s="446" t="s">
        <v>1939</v>
      </c>
      <c r="G112" s="446" t="s">
        <v>194</v>
      </c>
      <c r="H112" s="446" t="s">
        <v>2244</v>
      </c>
      <c r="I112" s="446" t="s">
        <v>1935</v>
      </c>
      <c r="J112" s="450">
        <v>1.52</v>
      </c>
      <c r="K112" s="446">
        <v>0</v>
      </c>
      <c r="L112" s="451">
        <v>0</v>
      </c>
      <c r="M112" s="452">
        <v>0</v>
      </c>
      <c r="N112" s="446">
        <v>0</v>
      </c>
      <c r="O112" s="446">
        <v>0.27003181270141102</v>
      </c>
      <c r="P112" s="449">
        <v>40.147098907901402</v>
      </c>
      <c r="Q112" s="448" t="s">
        <v>1961</v>
      </c>
    </row>
    <row r="113" spans="1:17">
      <c r="A113" s="443">
        <v>46037</v>
      </c>
      <c r="B113" s="444" t="s">
        <v>2169</v>
      </c>
      <c r="C113" s="444" t="s">
        <v>2169</v>
      </c>
      <c r="D113" s="446" t="s">
        <v>1962</v>
      </c>
      <c r="E113" s="447">
        <v>46073</v>
      </c>
      <c r="F113" s="446" t="s">
        <v>1934</v>
      </c>
      <c r="G113" s="446" t="s">
        <v>194</v>
      </c>
      <c r="H113" s="446" t="s">
        <v>2245</v>
      </c>
      <c r="I113" s="446" t="s">
        <v>1935</v>
      </c>
      <c r="J113" s="450">
        <v>0.02</v>
      </c>
      <c r="K113" s="446">
        <v>11.4</v>
      </c>
      <c r="L113" s="451">
        <v>0</v>
      </c>
      <c r="M113" s="452">
        <v>0</v>
      </c>
      <c r="N113" s="446">
        <v>0</v>
      </c>
      <c r="O113" s="446">
        <v>1.3385267823726934E-3</v>
      </c>
      <c r="P113" s="449">
        <v>31.7039852623904</v>
      </c>
      <c r="Q113" s="448" t="s">
        <v>1961</v>
      </c>
    </row>
    <row r="114" spans="1:17">
      <c r="A114" s="443">
        <v>46037</v>
      </c>
      <c r="B114" s="444" t="s">
        <v>2170</v>
      </c>
      <c r="C114" s="444" t="s">
        <v>2170</v>
      </c>
      <c r="D114" s="446" t="s">
        <v>1962</v>
      </c>
      <c r="E114" s="447">
        <v>46073</v>
      </c>
      <c r="F114" s="446" t="s">
        <v>1934</v>
      </c>
      <c r="G114" s="446" t="s">
        <v>194</v>
      </c>
      <c r="H114" s="446" t="s">
        <v>2246</v>
      </c>
      <c r="I114" s="446" t="s">
        <v>1935</v>
      </c>
      <c r="J114" s="450">
        <v>7.0000000000000007E-2</v>
      </c>
      <c r="K114" s="446">
        <v>12.6</v>
      </c>
      <c r="L114" s="451">
        <v>0</v>
      </c>
      <c r="M114" s="452">
        <v>0</v>
      </c>
      <c r="N114" s="446">
        <v>0</v>
      </c>
      <c r="O114" s="446">
        <v>1.2725029291833891E-2</v>
      </c>
      <c r="P114" s="449">
        <v>28.805607697378299</v>
      </c>
      <c r="Q114" s="448" t="s">
        <v>1961</v>
      </c>
    </row>
    <row r="115" spans="1:17">
      <c r="A115" s="443">
        <v>46037</v>
      </c>
      <c r="B115" s="444" t="s">
        <v>2171</v>
      </c>
      <c r="C115" s="444" t="s">
        <v>2171</v>
      </c>
      <c r="D115" s="446" t="s">
        <v>1962</v>
      </c>
      <c r="E115" s="447">
        <v>46073</v>
      </c>
      <c r="F115" s="446" t="s">
        <v>1934</v>
      </c>
      <c r="G115" s="446" t="s">
        <v>194</v>
      </c>
      <c r="H115" s="446" t="s">
        <v>2247</v>
      </c>
      <c r="I115" s="446" t="s">
        <v>1935</v>
      </c>
      <c r="J115" s="450">
        <v>0.28000000000000003</v>
      </c>
      <c r="K115" s="446">
        <v>13.39</v>
      </c>
      <c r="L115" s="451">
        <v>0</v>
      </c>
      <c r="M115" s="452">
        <v>0</v>
      </c>
      <c r="N115" s="446">
        <v>0</v>
      </c>
      <c r="O115" s="446">
        <v>5.324731892131656E-2</v>
      </c>
      <c r="P115" s="449">
        <v>27.127543330626597</v>
      </c>
      <c r="Q115" s="448" t="s">
        <v>1961</v>
      </c>
    </row>
    <row r="116" spans="1:17">
      <c r="A116" s="443">
        <v>46037</v>
      </c>
      <c r="B116" s="444" t="s">
        <v>2172</v>
      </c>
      <c r="C116" s="444" t="s">
        <v>2172</v>
      </c>
      <c r="D116" s="446" t="s">
        <v>2173</v>
      </c>
      <c r="E116" s="447">
        <v>46073</v>
      </c>
      <c r="F116" s="446" t="s">
        <v>1934</v>
      </c>
      <c r="G116" s="446" t="s">
        <v>194</v>
      </c>
      <c r="H116" s="446" t="s">
        <v>2248</v>
      </c>
      <c r="I116" s="446" t="s">
        <v>1935</v>
      </c>
      <c r="J116" s="450">
        <v>0.12</v>
      </c>
      <c r="K116" s="446">
        <v>11.92</v>
      </c>
      <c r="L116" s="451">
        <v>0</v>
      </c>
      <c r="M116" s="452">
        <v>0</v>
      </c>
      <c r="N116" s="446">
        <v>0</v>
      </c>
      <c r="O116" s="446">
        <v>2.2081877640040659E-2</v>
      </c>
      <c r="P116" s="449">
        <v>39.7571832582925</v>
      </c>
      <c r="Q116" s="448" t="s">
        <v>1961</v>
      </c>
    </row>
    <row r="117" spans="1:17">
      <c r="A117" s="443">
        <v>46037</v>
      </c>
      <c r="B117" s="444" t="s">
        <v>2174</v>
      </c>
      <c r="C117" s="444" t="s">
        <v>2174</v>
      </c>
      <c r="D117" s="446" t="s">
        <v>2173</v>
      </c>
      <c r="E117" s="447">
        <v>46073</v>
      </c>
      <c r="F117" s="446" t="s">
        <v>1934</v>
      </c>
      <c r="G117" s="446" t="s">
        <v>194</v>
      </c>
      <c r="H117" s="446" t="s">
        <v>2249</v>
      </c>
      <c r="I117" s="446" t="s">
        <v>1935</v>
      </c>
      <c r="J117" s="450">
        <v>0.34</v>
      </c>
      <c r="K117" s="446">
        <v>12.7</v>
      </c>
      <c r="L117" s="451">
        <v>0</v>
      </c>
      <c r="M117" s="452">
        <v>0</v>
      </c>
      <c r="N117" s="446">
        <v>0</v>
      </c>
      <c r="O117" s="446">
        <v>6.2729016623614048E-2</v>
      </c>
      <c r="P117" s="449">
        <v>37.173633268891699</v>
      </c>
      <c r="Q117" s="448" t="s">
        <v>1961</v>
      </c>
    </row>
    <row r="118" spans="1:17">
      <c r="A118" s="443">
        <v>46037</v>
      </c>
      <c r="B118" s="445" t="s">
        <v>2250</v>
      </c>
      <c r="C118" s="445" t="s">
        <v>2250</v>
      </c>
      <c r="D118" s="446" t="s">
        <v>2096</v>
      </c>
      <c r="E118" s="447">
        <v>46073</v>
      </c>
      <c r="F118" s="446" t="s">
        <v>1939</v>
      </c>
      <c r="G118" s="446" t="s">
        <v>194</v>
      </c>
      <c r="H118" s="446" t="s">
        <v>2251</v>
      </c>
      <c r="I118" s="446" t="s">
        <v>1935</v>
      </c>
      <c r="J118" s="450">
        <v>0.76</v>
      </c>
      <c r="K118" s="446">
        <v>0</v>
      </c>
      <c r="L118" s="451">
        <v>0</v>
      </c>
      <c r="M118" s="452">
        <v>0</v>
      </c>
      <c r="N118" s="446">
        <v>0</v>
      </c>
      <c r="O118" s="446">
        <v>0.12064517353801955</v>
      </c>
      <c r="P118" s="449">
        <v>24.118570688274598</v>
      </c>
      <c r="Q118" s="448" t="s">
        <v>1961</v>
      </c>
    </row>
    <row r="119" spans="1:17">
      <c r="A119" s="443">
        <v>46037</v>
      </c>
      <c r="B119" s="445" t="s">
        <v>2252</v>
      </c>
      <c r="C119" s="445" t="s">
        <v>2252</v>
      </c>
      <c r="D119" s="446" t="s">
        <v>2096</v>
      </c>
      <c r="E119" s="447">
        <v>46073</v>
      </c>
      <c r="F119" s="446" t="s">
        <v>1934</v>
      </c>
      <c r="G119" s="446" t="s">
        <v>194</v>
      </c>
      <c r="H119" s="446" t="s">
        <v>2253</v>
      </c>
      <c r="I119" s="446" t="s">
        <v>1935</v>
      </c>
      <c r="J119" s="450">
        <v>0.38</v>
      </c>
      <c r="K119" s="446">
        <v>46.62</v>
      </c>
      <c r="L119" s="451">
        <v>0</v>
      </c>
      <c r="M119" s="452">
        <v>0</v>
      </c>
      <c r="N119" s="446">
        <v>0</v>
      </c>
      <c r="O119" s="446">
        <v>5.0053264231713294E-2</v>
      </c>
      <c r="P119" s="449">
        <v>28.816596876256099</v>
      </c>
      <c r="Q119" s="448" t="s">
        <v>1961</v>
      </c>
    </row>
    <row r="120" spans="1:17">
      <c r="A120" s="443">
        <v>46037</v>
      </c>
      <c r="B120" s="445" t="s">
        <v>2254</v>
      </c>
      <c r="C120" s="445" t="s">
        <v>2254</v>
      </c>
      <c r="D120" s="446" t="s">
        <v>2096</v>
      </c>
      <c r="E120" s="447">
        <v>46073</v>
      </c>
      <c r="F120" s="446" t="s">
        <v>1934</v>
      </c>
      <c r="G120" s="446" t="s">
        <v>194</v>
      </c>
      <c r="H120" s="446" t="s">
        <v>2255</v>
      </c>
      <c r="I120" s="446" t="s">
        <v>1935</v>
      </c>
      <c r="J120" s="450">
        <v>1.01</v>
      </c>
      <c r="K120" s="446">
        <v>49.49</v>
      </c>
      <c r="L120" s="451">
        <v>0</v>
      </c>
      <c r="M120" s="452">
        <v>0</v>
      </c>
      <c r="N120" s="446">
        <v>0</v>
      </c>
      <c r="O120" s="446">
        <v>0.18541981335222152</v>
      </c>
      <c r="P120" s="449">
        <v>26.565497708644198</v>
      </c>
      <c r="Q120" s="448" t="s">
        <v>1961</v>
      </c>
    </row>
    <row r="121" spans="1:17">
      <c r="A121" s="443">
        <v>46037</v>
      </c>
      <c r="B121" s="444" t="s">
        <v>2256</v>
      </c>
      <c r="C121" s="444" t="s">
        <v>2256</v>
      </c>
      <c r="D121" s="446" t="s">
        <v>1960</v>
      </c>
      <c r="E121" s="447">
        <v>46101</v>
      </c>
      <c r="F121" s="446" t="s">
        <v>1939</v>
      </c>
      <c r="G121" s="446" t="s">
        <v>194</v>
      </c>
      <c r="H121" s="446" t="s">
        <v>2257</v>
      </c>
      <c r="I121" s="446" t="s">
        <v>1935</v>
      </c>
      <c r="J121" s="450">
        <v>0.82</v>
      </c>
      <c r="K121" s="446">
        <v>0</v>
      </c>
      <c r="L121" s="451">
        <v>0</v>
      </c>
      <c r="M121" s="452">
        <v>0</v>
      </c>
      <c r="N121" s="446">
        <v>0</v>
      </c>
      <c r="O121" s="446">
        <v>1.4115714771864902E-2</v>
      </c>
      <c r="P121" s="449">
        <v>26.882683866381402</v>
      </c>
      <c r="Q121" s="448" t="s">
        <v>1961</v>
      </c>
    </row>
    <row r="122" spans="1:17">
      <c r="A122" s="443">
        <v>46037</v>
      </c>
      <c r="B122" s="444" t="s">
        <v>2258</v>
      </c>
      <c r="C122" s="444" t="s">
        <v>2258</v>
      </c>
      <c r="D122" s="446" t="s">
        <v>1960</v>
      </c>
      <c r="E122" s="447">
        <v>46101</v>
      </c>
      <c r="F122" s="446" t="s">
        <v>1934</v>
      </c>
      <c r="G122" s="446" t="s">
        <v>194</v>
      </c>
      <c r="H122" s="446" t="s">
        <v>2259</v>
      </c>
      <c r="I122" s="446" t="s">
        <v>1935</v>
      </c>
      <c r="J122" s="450">
        <v>1.18</v>
      </c>
      <c r="K122" s="446">
        <v>20.13</v>
      </c>
      <c r="L122" s="451">
        <v>0</v>
      </c>
      <c r="M122" s="452">
        <v>0</v>
      </c>
      <c r="N122" s="446">
        <v>0</v>
      </c>
      <c r="O122" s="446">
        <v>0.19014183836966705</v>
      </c>
      <c r="P122" s="449">
        <v>30.714394291564499</v>
      </c>
      <c r="Q122" s="448" t="s">
        <v>1961</v>
      </c>
    </row>
    <row r="123" spans="1:17">
      <c r="A123" s="443">
        <v>46037</v>
      </c>
      <c r="B123" s="444" t="s">
        <v>2260</v>
      </c>
      <c r="C123" s="444" t="s">
        <v>2260</v>
      </c>
      <c r="D123" s="446" t="s">
        <v>1960</v>
      </c>
      <c r="E123" s="447">
        <v>46101</v>
      </c>
      <c r="F123" s="446" t="s">
        <v>1934</v>
      </c>
      <c r="G123" s="446" t="s">
        <v>194</v>
      </c>
      <c r="H123" s="446" t="s">
        <v>2261</v>
      </c>
      <c r="I123" s="446" t="s">
        <v>1935</v>
      </c>
      <c r="J123" s="450">
        <v>1.26</v>
      </c>
      <c r="K123" s="446">
        <v>22.049999999999997</v>
      </c>
      <c r="L123" s="451">
        <v>0</v>
      </c>
      <c r="M123" s="452">
        <v>0</v>
      </c>
      <c r="N123" s="446">
        <v>0</v>
      </c>
      <c r="O123" s="446">
        <v>0.4143551814005792</v>
      </c>
      <c r="P123" s="449">
        <v>28.624307012608501</v>
      </c>
      <c r="Q123" s="448" t="s">
        <v>1961</v>
      </c>
    </row>
    <row r="124" spans="1:17">
      <c r="A124" s="443">
        <v>46037</v>
      </c>
      <c r="B124" s="444" t="s">
        <v>2262</v>
      </c>
      <c r="C124" s="444" t="s">
        <v>2262</v>
      </c>
      <c r="D124" s="446" t="s">
        <v>2263</v>
      </c>
      <c r="E124" s="447">
        <v>46073</v>
      </c>
      <c r="F124" s="446" t="s">
        <v>1939</v>
      </c>
      <c r="G124" s="446" t="s">
        <v>194</v>
      </c>
      <c r="H124" s="446" t="s">
        <v>2264</v>
      </c>
      <c r="I124" s="446" t="s">
        <v>1935</v>
      </c>
      <c r="J124" s="450">
        <v>4.5599999999999996</v>
      </c>
      <c r="K124" s="446">
        <v>0</v>
      </c>
      <c r="L124" s="451">
        <v>0</v>
      </c>
      <c r="M124" s="452">
        <v>0</v>
      </c>
      <c r="N124" s="446">
        <v>0</v>
      </c>
      <c r="O124" s="446">
        <v>0.89749048728360503</v>
      </c>
      <c r="P124" s="449">
        <v>24.538374791829199</v>
      </c>
      <c r="Q124" s="448" t="s">
        <v>1961</v>
      </c>
    </row>
    <row r="125" spans="1:17">
      <c r="A125" s="443">
        <v>46037</v>
      </c>
      <c r="B125" s="444" t="s">
        <v>2265</v>
      </c>
      <c r="C125" s="444" t="s">
        <v>2265</v>
      </c>
      <c r="D125" s="446" t="s">
        <v>2263</v>
      </c>
      <c r="E125" s="447">
        <v>46073</v>
      </c>
      <c r="F125" s="446" t="s">
        <v>1939</v>
      </c>
      <c r="G125" s="446" t="s">
        <v>194</v>
      </c>
      <c r="H125" s="446" t="s">
        <v>2266</v>
      </c>
      <c r="I125" s="446" t="s">
        <v>1935</v>
      </c>
      <c r="J125" s="450">
        <v>1.75</v>
      </c>
      <c r="K125" s="446">
        <v>0</v>
      </c>
      <c r="L125" s="451">
        <v>0</v>
      </c>
      <c r="M125" s="452">
        <v>0</v>
      </c>
      <c r="N125" s="446">
        <v>0</v>
      </c>
      <c r="O125" s="446">
        <v>0.35144282712129604</v>
      </c>
      <c r="P125" s="449">
        <v>23.9868970856331</v>
      </c>
      <c r="Q125" s="448" t="s">
        <v>1961</v>
      </c>
    </row>
    <row r="126" spans="1:17">
      <c r="A126" s="443">
        <v>46037</v>
      </c>
      <c r="B126" s="455" t="s">
        <v>2281</v>
      </c>
      <c r="C126" s="455" t="s">
        <v>2281</v>
      </c>
      <c r="D126" s="446" t="s">
        <v>1962</v>
      </c>
      <c r="E126" s="447">
        <v>46073</v>
      </c>
      <c r="F126" s="446" t="s">
        <v>1939</v>
      </c>
      <c r="G126" s="446" t="s">
        <v>194</v>
      </c>
      <c r="H126" s="446" t="s">
        <v>2282</v>
      </c>
      <c r="I126" s="446" t="s">
        <v>1935</v>
      </c>
      <c r="J126" s="450">
        <v>0.18</v>
      </c>
      <c r="K126" s="446">
        <v>0</v>
      </c>
      <c r="L126" s="451">
        <v>0</v>
      </c>
      <c r="M126" s="452">
        <v>0</v>
      </c>
      <c r="N126" s="446">
        <v>0</v>
      </c>
      <c r="O126" s="446">
        <v>3.4392211836535111E-2</v>
      </c>
      <c r="P126" s="449">
        <v>28.074113674128</v>
      </c>
      <c r="Q126" s="448" t="s">
        <v>1961</v>
      </c>
    </row>
    <row r="127" spans="1:17">
      <c r="A127" s="443">
        <v>46037</v>
      </c>
      <c r="B127" s="455" t="s">
        <v>2283</v>
      </c>
      <c r="C127" s="455" t="s">
        <v>2283</v>
      </c>
      <c r="D127" s="446" t="s">
        <v>2023</v>
      </c>
      <c r="E127" s="447">
        <v>46071</v>
      </c>
      <c r="F127" s="446" t="s">
        <v>1934</v>
      </c>
      <c r="G127" s="446" t="s">
        <v>194</v>
      </c>
      <c r="H127" s="446" t="s">
        <v>2284</v>
      </c>
      <c r="I127" s="446" t="s">
        <v>1935</v>
      </c>
      <c r="J127" s="450">
        <v>820</v>
      </c>
      <c r="K127" s="446">
        <v>160180</v>
      </c>
      <c r="L127" s="451">
        <v>0</v>
      </c>
      <c r="M127" s="452">
        <v>0</v>
      </c>
      <c r="N127" s="446">
        <v>0</v>
      </c>
      <c r="O127" s="446">
        <v>147.76767723222446</v>
      </c>
      <c r="P127" s="449">
        <v>15.350922798936001</v>
      </c>
      <c r="Q127" s="448" t="s">
        <v>1961</v>
      </c>
    </row>
    <row r="128" spans="1:17">
      <c r="A128" s="443">
        <v>46037</v>
      </c>
      <c r="B128" s="455" t="s">
        <v>2285</v>
      </c>
      <c r="C128" s="455" t="s">
        <v>2285</v>
      </c>
      <c r="D128" s="446" t="s">
        <v>2114</v>
      </c>
      <c r="E128" s="447">
        <v>46073</v>
      </c>
      <c r="F128" s="446" t="s">
        <v>1934</v>
      </c>
      <c r="G128" s="446" t="s">
        <v>194</v>
      </c>
      <c r="H128" s="446" t="s">
        <v>2286</v>
      </c>
      <c r="I128" s="446" t="s">
        <v>1935</v>
      </c>
      <c r="J128" s="450">
        <v>0.79</v>
      </c>
      <c r="K128" s="446">
        <v>107.21</v>
      </c>
      <c r="L128" s="451">
        <v>0</v>
      </c>
      <c r="M128" s="452">
        <v>0</v>
      </c>
      <c r="N128" s="446">
        <v>0</v>
      </c>
      <c r="O128" s="446">
        <v>0.17243465306075081</v>
      </c>
      <c r="P128" s="449">
        <v>24.4332463526185</v>
      </c>
      <c r="Q128" s="448" t="s">
        <v>1961</v>
      </c>
    </row>
    <row r="129" spans="1:17">
      <c r="A129" s="443">
        <v>46037</v>
      </c>
      <c r="B129" s="455" t="s">
        <v>2287</v>
      </c>
      <c r="C129" s="455" t="s">
        <v>2287</v>
      </c>
      <c r="D129" s="446" t="s">
        <v>2114</v>
      </c>
      <c r="E129" s="447">
        <v>46073</v>
      </c>
      <c r="F129" s="446" t="s">
        <v>1934</v>
      </c>
      <c r="G129" s="446" t="s">
        <v>194</v>
      </c>
      <c r="H129" s="446" t="s">
        <v>2288</v>
      </c>
      <c r="I129" s="446" t="s">
        <v>1935</v>
      </c>
      <c r="J129" s="450">
        <v>1.99</v>
      </c>
      <c r="K129" s="446">
        <v>111.01</v>
      </c>
      <c r="L129" s="451">
        <v>0</v>
      </c>
      <c r="M129" s="452">
        <v>0</v>
      </c>
      <c r="N129" s="446">
        <v>0</v>
      </c>
      <c r="O129" s="446">
        <v>0.39665046573239326</v>
      </c>
      <c r="P129" s="449">
        <v>21.975721512021099</v>
      </c>
      <c r="Q129" s="448" t="s">
        <v>1961</v>
      </c>
    </row>
    <row r="130" spans="1:17">
      <c r="A130" s="443">
        <v>46037</v>
      </c>
      <c r="B130" s="444" t="s">
        <v>2313</v>
      </c>
      <c r="C130" s="444" t="s">
        <v>2313</v>
      </c>
      <c r="D130" s="446" t="s">
        <v>2114</v>
      </c>
      <c r="E130" s="447">
        <v>46073</v>
      </c>
      <c r="F130" s="446" t="s">
        <v>1934</v>
      </c>
      <c r="G130" s="446" t="s">
        <v>194</v>
      </c>
      <c r="H130" s="446" t="s">
        <v>2314</v>
      </c>
      <c r="I130" s="446" t="s">
        <v>1935</v>
      </c>
      <c r="J130" s="450">
        <v>2.36</v>
      </c>
      <c r="K130" s="446">
        <v>111.64</v>
      </c>
      <c r="L130" s="451">
        <v>0</v>
      </c>
      <c r="M130" s="452">
        <v>0</v>
      </c>
      <c r="N130" s="446">
        <v>0</v>
      </c>
      <c r="O130" s="446">
        <v>0.46739547790647695</v>
      </c>
      <c r="P130" s="449">
        <v>21.630639012963201</v>
      </c>
      <c r="Q130" s="448" t="s">
        <v>1961</v>
      </c>
    </row>
    <row r="131" spans="1:17">
      <c r="A131" s="443">
        <v>46037</v>
      </c>
      <c r="B131" s="444" t="s">
        <v>2315</v>
      </c>
      <c r="C131" s="444" t="s">
        <v>2315</v>
      </c>
      <c r="D131" s="446" t="s">
        <v>2316</v>
      </c>
      <c r="E131" s="447">
        <v>46073</v>
      </c>
      <c r="F131" s="446" t="s">
        <v>1939</v>
      </c>
      <c r="G131" s="446" t="s">
        <v>194</v>
      </c>
      <c r="H131" s="446" t="s">
        <v>2317</v>
      </c>
      <c r="I131" s="446" t="s">
        <v>1935</v>
      </c>
      <c r="J131" s="450">
        <v>0.6</v>
      </c>
      <c r="K131" s="446">
        <v>0</v>
      </c>
      <c r="L131" s="451">
        <v>0</v>
      </c>
      <c r="M131" s="452">
        <v>0</v>
      </c>
      <c r="N131" s="446">
        <v>0</v>
      </c>
      <c r="O131" s="446">
        <v>4.9923308269209099E-2</v>
      </c>
      <c r="P131" s="449">
        <v>30.116133810142003</v>
      </c>
      <c r="Q131" s="448" t="s">
        <v>1961</v>
      </c>
    </row>
    <row r="132" spans="1:17">
      <c r="A132" s="443">
        <v>46037</v>
      </c>
      <c r="B132" s="444" t="s">
        <v>2318</v>
      </c>
      <c r="C132" s="444" t="s">
        <v>2318</v>
      </c>
      <c r="D132" s="446" t="s">
        <v>2316</v>
      </c>
      <c r="E132" s="447">
        <v>46073</v>
      </c>
      <c r="F132" s="446" t="s">
        <v>1934</v>
      </c>
      <c r="G132" s="446" t="s">
        <v>194</v>
      </c>
      <c r="H132" s="446" t="s">
        <v>2319</v>
      </c>
      <c r="I132" s="446" t="s">
        <v>1935</v>
      </c>
      <c r="J132" s="450">
        <v>0.38</v>
      </c>
      <c r="K132" s="446">
        <v>25.51</v>
      </c>
      <c r="L132" s="451">
        <v>0</v>
      </c>
      <c r="M132" s="452">
        <v>0</v>
      </c>
      <c r="N132" s="446">
        <v>0</v>
      </c>
      <c r="O132" s="446">
        <v>8.4467256911697292E-2</v>
      </c>
      <c r="P132" s="449">
        <v>34.926213645091096</v>
      </c>
      <c r="Q132" s="448" t="s">
        <v>1961</v>
      </c>
    </row>
    <row r="133" spans="1:17">
      <c r="A133" s="443">
        <v>46037</v>
      </c>
      <c r="B133" s="444" t="s">
        <v>2320</v>
      </c>
      <c r="C133" s="444" t="s">
        <v>2320</v>
      </c>
      <c r="D133" s="446" t="s">
        <v>2316</v>
      </c>
      <c r="E133" s="447">
        <v>46073</v>
      </c>
      <c r="F133" s="446" t="s">
        <v>1934</v>
      </c>
      <c r="G133" s="446" t="s">
        <v>194</v>
      </c>
      <c r="H133" s="446" t="s">
        <v>2321</v>
      </c>
      <c r="I133" s="446" t="s">
        <v>1935</v>
      </c>
      <c r="J133" s="450">
        <v>1.1399999999999999</v>
      </c>
      <c r="K133" s="446">
        <v>27</v>
      </c>
      <c r="L133" s="451">
        <v>0</v>
      </c>
      <c r="M133" s="452">
        <v>0</v>
      </c>
      <c r="N133" s="446">
        <v>0</v>
      </c>
      <c r="O133" s="446">
        <v>0.24434724220007711</v>
      </c>
      <c r="P133" s="449">
        <v>32.247365967863203</v>
      </c>
      <c r="Q133" s="448" t="s">
        <v>1961</v>
      </c>
    </row>
  </sheetData>
  <conditionalFormatting sqref="B68:B104">
    <cfRule type="duplicateValues" dxfId="41" priority="38" stopIfTrue="1"/>
    <cfRule type="duplicateValues" dxfId="40" priority="39"/>
  </conditionalFormatting>
  <conditionalFormatting sqref="B75:B77">
    <cfRule type="duplicateValues" dxfId="39" priority="32"/>
  </conditionalFormatting>
  <conditionalFormatting sqref="B118:B120">
    <cfRule type="duplicateValues" dxfId="38" priority="10"/>
  </conditionalFormatting>
  <conditionalFormatting sqref="B121:B125 B1 B130:B133 B53:B117">
    <cfRule type="duplicateValues" dxfId="37" priority="27" stopIfTrue="1"/>
    <cfRule type="duplicateValues" dxfId="36" priority="28"/>
  </conditionalFormatting>
  <conditionalFormatting sqref="B121:B125 B1:B17 B130:B133 B53:B117">
    <cfRule type="duplicateValues" dxfId="35" priority="29"/>
  </conditionalFormatting>
  <conditionalFormatting sqref="B121:B125 B130:B133 B1:B117">
    <cfRule type="duplicateValues" dxfId="34" priority="23"/>
  </conditionalFormatting>
  <conditionalFormatting sqref="C2:C104">
    <cfRule type="duplicateValues" dxfId="33" priority="42"/>
  </conditionalFormatting>
  <conditionalFormatting sqref="C6:C67">
    <cfRule type="duplicateValues" dxfId="32" priority="35"/>
  </conditionalFormatting>
  <conditionalFormatting sqref="C68:C104">
    <cfRule type="duplicateValues" dxfId="31" priority="40" stopIfTrue="1"/>
    <cfRule type="duplicateValues" dxfId="30" priority="41"/>
  </conditionalFormatting>
  <conditionalFormatting sqref="C78:C80">
    <cfRule type="duplicateValues" dxfId="29" priority="25" stopIfTrue="1"/>
    <cfRule type="duplicateValues" dxfId="28" priority="26"/>
  </conditionalFormatting>
  <conditionalFormatting sqref="C81:C85">
    <cfRule type="duplicateValues" dxfId="27" priority="30" stopIfTrue="1"/>
    <cfRule type="duplicateValues" dxfId="26" priority="31"/>
  </conditionalFormatting>
  <conditionalFormatting sqref="C86:C92">
    <cfRule type="duplicateValues" dxfId="25" priority="36"/>
    <cfRule type="duplicateValues" dxfId="24" priority="37" stopIfTrue="1"/>
  </conditionalFormatting>
  <conditionalFormatting sqref="C93:C94">
    <cfRule type="duplicateValues" dxfId="23" priority="19"/>
    <cfRule type="duplicateValues" dxfId="22" priority="20" stopIfTrue="1"/>
    <cfRule type="duplicateValues" dxfId="21" priority="21"/>
    <cfRule type="duplicateValues" dxfId="20" priority="22"/>
  </conditionalFormatting>
  <conditionalFormatting sqref="C105:C107">
    <cfRule type="duplicateValues" dxfId="19" priority="33"/>
    <cfRule type="duplicateValues" dxfId="18" priority="34" stopIfTrue="1"/>
  </conditionalFormatting>
  <conditionalFormatting sqref="C108:C111">
    <cfRule type="duplicateValues" dxfId="17" priority="15"/>
    <cfRule type="duplicateValues" dxfId="16" priority="16" stopIfTrue="1"/>
    <cfRule type="duplicateValues" dxfId="15" priority="17"/>
    <cfRule type="duplicateValues" dxfId="14" priority="18"/>
  </conditionalFormatting>
  <conditionalFormatting sqref="C112 C118:C120 C1:C104">
    <cfRule type="duplicateValues" dxfId="13" priority="24"/>
  </conditionalFormatting>
  <conditionalFormatting sqref="C113:C117">
    <cfRule type="duplicateValues" dxfId="12" priority="11"/>
    <cfRule type="duplicateValues" dxfId="11" priority="12" stopIfTrue="1"/>
    <cfRule type="duplicateValues" dxfId="10" priority="13"/>
    <cfRule type="duplicateValues" dxfId="9" priority="14"/>
  </conditionalFormatting>
  <conditionalFormatting sqref="C121:C125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30:C133">
    <cfRule type="duplicateValues" dxfId="4" priority="1"/>
    <cfRule type="duplicateValues" dxfId="3" priority="2" stopIfTrue="1"/>
    <cfRule type="duplicateValues" dxfId="2" priority="3"/>
    <cfRule type="duplicateValues" dxfId="1" priority="4"/>
  </conditionalFormatting>
  <conditionalFormatting sqref="L1:M133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2026-01-21T21:05:38Z</dcterms:modified>
  <cp:category/>
  <cp:contentStatus/>
</cp:coreProperties>
</file>