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6591AA1C-34B7-49B5-A0EC-BCEE6B1D64DB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P&amp;L'!$A$11:$AD$36</definedName>
    <definedName name="_xlnm._FilterDatabase" localSheetId="8" hidden="1">Options!$A$3:$BD$30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P&amp;L'!$B$2:$AC$36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1" i="2"/>
  <c r="H27" i="89"/>
  <c r="C27" i="89" a="1"/>
  <c r="C27" i="89"/>
  <c r="T27" i="89" a="1"/>
  <c r="T27" i="89"/>
  <c r="V27" i="89" a="1"/>
  <c r="V27" i="89"/>
  <c r="O27" i="89" a="1"/>
  <c r="O27" i="89"/>
  <c r="D27" i="89" a="1"/>
  <c r="D27" i="89" l="1"/>
  <c r="E27" i="89" a="1"/>
  <c r="E27" i="89"/>
  <c r="F27" i="89" a="1"/>
  <c r="F27" i="89"/>
  <c r="K27" i="89" a="1"/>
  <c r="K27" i="89"/>
  <c r="L27" i="89" a="1"/>
  <c r="L27" i="89"/>
  <c r="W27" i="89" a="1"/>
  <c r="W27" i="89"/>
  <c r="O26" i="89" a="1"/>
  <c r="O26" i="89"/>
  <c r="V26" i="89" a="1"/>
  <c r="V26" i="89"/>
  <c r="C26" i="89" a="1"/>
  <c r="C26" i="89"/>
  <c r="T26" i="89" a="1"/>
  <c r="T26" i="89"/>
  <c r="E26" i="89" a="1"/>
  <c r="E26" i="89"/>
  <c r="D26" i="89" a="1"/>
  <c r="D26" i="89"/>
  <c r="K26" i="89" a="1"/>
  <c r="K26" i="89"/>
  <c r="W26" i="89" a="1"/>
  <c r="W26" i="89"/>
  <c r="L26" i="89" a="1"/>
  <c r="L26" i="89"/>
  <c r="F26" i="89" a="1"/>
  <c r="F26" i="89"/>
  <c r="H34" i="89"/>
  <c r="C34" i="89" a="1"/>
  <c r="C34" i="89"/>
  <c r="O34" i="89" a="1"/>
  <c r="O34" i="89"/>
  <c r="V34" i="89" a="1"/>
  <c r="V34" i="89"/>
  <c r="T34" i="89" a="1"/>
  <c r="T34" i="89"/>
  <c r="D34" i="89" a="1"/>
  <c r="D34" i="89"/>
  <c r="E34" i="89" a="1"/>
  <c r="E34" i="89"/>
  <c r="K34" i="89" a="1"/>
  <c r="K34" i="89"/>
  <c r="F34" i="89" a="1"/>
  <c r="F34" i="89"/>
  <c r="W34" i="89" a="1"/>
  <c r="W34" i="89"/>
  <c r="L34" i="89" a="1"/>
  <c r="L34" i="89"/>
  <c r="AE34" i="89"/>
  <c r="I34" i="89" l="1"/>
  <c r="M34" i="89"/>
  <c r="AA34" i="89" a="1"/>
  <c r="N34" i="89" a="1"/>
  <c r="T33" i="89" a="1"/>
  <c r="AA34" i="89" l="1"/>
  <c r="N34" i="89"/>
  <c r="P34" i="89"/>
  <c r="Q34" i="89" s="1"/>
  <c r="T33" i="89"/>
  <c r="Z34" i="89" a="1"/>
  <c r="AB34" i="89" a="1"/>
  <c r="S34" i="89"/>
  <c r="C33" i="89" a="1"/>
  <c r="R34" i="89" a="1"/>
  <c r="Z34" i="89" l="1"/>
  <c r="R34" i="89"/>
  <c r="AC34" i="89"/>
  <c r="AD34" i="89" s="1"/>
  <c r="Y34" i="89"/>
  <c r="X34" i="89" s="1"/>
  <c r="J34" i="89"/>
  <c r="U34" i="89"/>
  <c r="AB34" i="89"/>
  <c r="C33" i="89"/>
  <c r="S33" i="89"/>
  <c r="R33" i="89" s="1" a="1"/>
  <c r="AB33" i="89" a="1"/>
  <c r="O33" i="89" a="1"/>
  <c r="AB33" i="89" l="1"/>
  <c r="R33" i="89"/>
  <c r="O33" i="89"/>
  <c r="V33" i="89" a="1"/>
  <c r="V33" i="89" l="1"/>
  <c r="E33" i="89" a="1"/>
  <c r="E33" i="89"/>
  <c r="D33" i="89" a="1"/>
  <c r="D33" i="89"/>
  <c r="W33" i="89" a="1"/>
  <c r="W33" i="89"/>
  <c r="L33" i="89" a="1"/>
  <c r="L33" i="89"/>
  <c r="K33" i="89" a="1"/>
  <c r="K33" i="89"/>
  <c r="F33" i="89" a="1"/>
  <c r="F33" i="89"/>
  <c r="AI31" i="1"/>
  <c r="L31" i="1" a="1"/>
  <c r="I31" i="1" a="1"/>
  <c r="AG31" i="1"/>
  <c r="AF31" i="1"/>
  <c r="AB31" i="1"/>
  <c r="AC31" i="1" a="1"/>
  <c r="AI20" i="1"/>
  <c r="I20" i="1" a="1"/>
  <c r="AG20" i="1"/>
  <c r="AC20" i="1" a="1"/>
  <c r="AB20" i="1"/>
  <c r="L20" i="1" a="1"/>
  <c r="AF20" i="1"/>
  <c r="C234" i="89" a="1"/>
  <c r="AC31" i="1" l="1"/>
  <c r="I31" i="1"/>
  <c r="L31" i="1"/>
  <c r="L20" i="1"/>
  <c r="AC20" i="1"/>
  <c r="I20" i="1"/>
  <c r="C234" i="89"/>
  <c r="S234" i="89" a="1"/>
  <c r="AB234" i="89" a="1"/>
  <c r="O234" i="89" a="1"/>
  <c r="N31" i="1" l="1"/>
  <c r="J31" i="1"/>
  <c r="W31" i="1"/>
  <c r="N20" i="1"/>
  <c r="J20" i="1"/>
  <c r="AB234" i="89"/>
  <c r="S234" i="89"/>
  <c r="O234" i="89"/>
  <c r="T234" i="89" a="1"/>
  <c r="P31" i="1" l="1"/>
  <c r="T31" i="1"/>
  <c r="O31" i="1"/>
  <c r="T20" i="1"/>
  <c r="T234" i="89"/>
  <c r="R234" i="89" a="1"/>
  <c r="V234" i="89" a="1"/>
  <c r="U31" i="1" l="1"/>
  <c r="AH31" i="1"/>
  <c r="V31" i="1"/>
  <c r="AD31" i="1"/>
  <c r="R234" i="89"/>
  <c r="V234" i="89"/>
  <c r="E234" i="89" a="1"/>
  <c r="Y31" i="1" l="1"/>
  <c r="AA31" i="1"/>
  <c r="Z31" i="1"/>
  <c r="E234" i="89"/>
  <c r="K234" i="89" a="1"/>
  <c r="K234" i="89"/>
  <c r="W234" i="89" a="1"/>
  <c r="W234" i="89"/>
  <c r="F234" i="89" a="1"/>
  <c r="F234" i="89"/>
  <c r="L234" i="89" a="1"/>
  <c r="L234" i="89"/>
  <c r="C237" i="89" a="1"/>
  <c r="C237" i="89"/>
  <c r="T237" i="89" a="1"/>
  <c r="T237" i="89"/>
  <c r="V237" i="89" a="1"/>
  <c r="V237" i="89"/>
  <c r="O237" i="89" a="1"/>
  <c r="O237" i="89"/>
  <c r="E237" i="89" a="1"/>
  <c r="E237" i="89"/>
  <c r="F237" i="89" a="1"/>
  <c r="F237" i="89"/>
  <c r="W237" i="89" a="1"/>
  <c r="W237" i="89"/>
  <c r="L237" i="89" a="1"/>
  <c r="L237" i="89"/>
  <c r="K237" i="89" a="1"/>
  <c r="K237" i="89"/>
  <c r="AE237" i="89" l="1"/>
  <c r="E15" i="2" a="1"/>
  <c r="E15" i="2" l="1"/>
  <c r="N237" i="89" a="1"/>
  <c r="C15" i="2" a="1"/>
  <c r="N237" i="89" l="1"/>
  <c r="M237" i="89"/>
  <c r="I237" i="89"/>
  <c r="C15" i="2"/>
  <c r="Z237" i="89" a="1"/>
  <c r="AA237" i="89" a="1"/>
  <c r="S237" i="89" a="1"/>
  <c r="AB237" i="89" a="1"/>
  <c r="F15" i="2" a="1"/>
  <c r="AA237" i="89" l="1"/>
  <c r="Z237" i="89"/>
  <c r="AB237" i="89"/>
  <c r="S237" i="89"/>
  <c r="J237" i="89" s="1"/>
  <c r="P237" i="89"/>
  <c r="F15" i="2"/>
  <c r="R237" i="89" a="1"/>
  <c r="AR15" i="2" a="1"/>
  <c r="R237" i="89" l="1"/>
  <c r="Q237" i="89"/>
  <c r="Y237" i="89"/>
  <c r="AC237" i="89"/>
  <c r="U237" i="89"/>
  <c r="D237" i="89" s="1"/>
  <c r="AR15" i="2"/>
  <c r="AN15" i="2" a="1"/>
  <c r="A237" i="89" l="1"/>
  <c r="AN15" i="2"/>
  <c r="L15" i="2" a="1"/>
  <c r="L15" i="2"/>
  <c r="BA15" i="2"/>
  <c r="T15" i="2" a="1"/>
  <c r="D15" i="2" a="1"/>
  <c r="G15" i="2" a="1"/>
  <c r="Q15" i="2" a="1"/>
  <c r="AF15" i="2" a="1"/>
  <c r="AA15" i="2" a="1"/>
  <c r="AD15" i="2" a="1"/>
  <c r="P15" i="2" a="1"/>
  <c r="AI22" i="1"/>
  <c r="L22" i="1" a="1"/>
  <c r="AG22" i="1"/>
  <c r="I22" i="1" a="1"/>
  <c r="AF22" i="1"/>
  <c r="AC22" i="1" a="1"/>
  <c r="AB22" i="1"/>
  <c r="P15" i="2" l="1"/>
  <c r="AD15" i="2"/>
  <c r="AA15" i="2"/>
  <c r="AF15" i="2"/>
  <c r="Q15" i="2"/>
  <c r="G15" i="2"/>
  <c r="D15" i="2"/>
  <c r="T15" i="2"/>
  <c r="BB15" i="2"/>
  <c r="BC15" i="2" s="1"/>
  <c r="AC22" i="1"/>
  <c r="I22" i="1"/>
  <c r="L22" i="1"/>
  <c r="S15" i="2" a="1"/>
  <c r="R15" i="2" l="1"/>
  <c r="S15" i="2"/>
  <c r="O15" i="2"/>
  <c r="U15" i="2"/>
  <c r="AP15" i="2"/>
  <c r="AO15" i="2"/>
  <c r="J22" i="1"/>
  <c r="N22" i="1"/>
  <c r="AQ15" i="2" a="1"/>
  <c r="Z15" i="2"/>
  <c r="AC15" i="2" a="1"/>
  <c r="O236" i="89" a="1"/>
  <c r="AV15" i="2" a="1"/>
  <c r="AV15" i="2" l="1"/>
  <c r="AC15" i="2"/>
  <c r="AE15" i="2" s="1"/>
  <c r="AL15" i="2"/>
  <c r="AT15" i="2"/>
  <c r="AS15" i="2"/>
  <c r="M15" i="2"/>
  <c r="X15" i="2"/>
  <c r="Y15" i="2" s="1"/>
  <c r="AB15" i="2"/>
  <c r="AM15" i="2"/>
  <c r="AQ15" i="2"/>
  <c r="O236" i="89"/>
  <c r="V236" i="89" a="1"/>
  <c r="V236" i="89" l="1"/>
  <c r="T236" i="89" a="1"/>
  <c r="T236" i="89"/>
  <c r="C236" i="89" a="1"/>
  <c r="C236" i="89"/>
  <c r="S236" i="89" a="1"/>
  <c r="AB236" i="89" a="1"/>
  <c r="E236" i="89" a="1"/>
  <c r="AB236" i="89" l="1"/>
  <c r="S236" i="89"/>
  <c r="E236" i="89"/>
  <c r="R236" i="89" a="1"/>
  <c r="L236" i="89" a="1"/>
  <c r="R236" i="89" l="1"/>
  <c r="L236" i="89"/>
  <c r="K236" i="89" a="1"/>
  <c r="K236" i="89"/>
  <c r="W236" i="89" a="1"/>
  <c r="W236" i="89"/>
  <c r="F236" i="89" a="1"/>
  <c r="F236" i="89"/>
  <c r="AE236" i="89"/>
  <c r="T235" i="89" a="1"/>
  <c r="T235" i="89" l="1"/>
  <c r="N236" i="89" a="1"/>
  <c r="C235" i="89" a="1"/>
  <c r="N236" i="89" l="1"/>
  <c r="I236" i="89"/>
  <c r="M236" i="89"/>
  <c r="C235" i="89"/>
  <c r="Z236" i="89" a="1"/>
  <c r="AA236" i="89" a="1"/>
  <c r="V235" i="89" a="1"/>
  <c r="AA236" i="89" l="1"/>
  <c r="Z236" i="89"/>
  <c r="P236" i="89"/>
  <c r="J236" i="89"/>
  <c r="V235" i="89"/>
  <c r="O235" i="89" a="1"/>
  <c r="Q236" i="89" l="1"/>
  <c r="AC236" i="89"/>
  <c r="Y236" i="89"/>
  <c r="U236" i="89"/>
  <c r="D236" i="89" s="1"/>
  <c r="O235" i="89"/>
  <c r="E235" i="89" a="1"/>
  <c r="A236" i="89" l="1"/>
  <c r="E235" i="89"/>
  <c r="F235" i="89" a="1"/>
  <c r="F235" i="89"/>
  <c r="K235" i="89" a="1"/>
  <c r="K235" i="89"/>
  <c r="L235" i="89" a="1"/>
  <c r="L235" i="89"/>
  <c r="W235" i="89" a="1"/>
  <c r="W235" i="89"/>
  <c r="T233" i="89" a="1"/>
  <c r="T233" i="89"/>
  <c r="C233" i="89" a="1"/>
  <c r="C233" i="89"/>
  <c r="V233" i="89" a="1"/>
  <c r="V233" i="89"/>
  <c r="O233" i="89" a="1"/>
  <c r="O233" i="89"/>
  <c r="E233" i="89" a="1"/>
  <c r="E233" i="89" l="1"/>
  <c r="W233" i="89" a="1"/>
  <c r="W233" i="89"/>
  <c r="L233" i="89" a="1"/>
  <c r="L233" i="89"/>
  <c r="K233" i="89" a="1"/>
  <c r="K233" i="89"/>
  <c r="F233" i="89" a="1"/>
  <c r="F233" i="89"/>
  <c r="T8" i="89" a="1"/>
  <c r="T8" i="89"/>
  <c r="O8" i="89" a="1"/>
  <c r="O8" i="89"/>
  <c r="C8" i="89" a="1"/>
  <c r="C8" i="89" l="1"/>
  <c r="V8" i="89" a="1"/>
  <c r="V8" i="89"/>
  <c r="E8" i="89" a="1"/>
  <c r="E8" i="89"/>
  <c r="D8" i="89" a="1"/>
  <c r="D8" i="89"/>
  <c r="W8" i="89" a="1"/>
  <c r="W8" i="89"/>
  <c r="L8" i="89" a="1"/>
  <c r="L8" i="89"/>
  <c r="K8" i="89" a="1"/>
  <c r="K8" i="89"/>
  <c r="F8" i="89" a="1"/>
  <c r="F8" i="89"/>
  <c r="D7" i="89"/>
  <c r="E7" i="89"/>
  <c r="F7" i="89" a="1"/>
  <c r="F7" i="89"/>
  <c r="K7" i="89" a="1"/>
  <c r="K7" i="89"/>
  <c r="L7" i="89" a="1"/>
  <c r="L7" i="89"/>
  <c r="W7" i="89" a="1"/>
  <c r="W7" i="89"/>
  <c r="L24" i="2" a="1"/>
  <c r="L24" i="2"/>
  <c r="K2" i="1"/>
  <c r="I2" i="1" a="1"/>
  <c r="I2" i="1"/>
  <c r="C213" i="89" a="1"/>
  <c r="C213" i="89"/>
  <c r="V213" i="89" a="1"/>
  <c r="V213" i="89"/>
  <c r="T213" i="89" a="1"/>
  <c r="T213" i="89"/>
  <c r="O213" i="89" a="1"/>
  <c r="O213" i="89"/>
  <c r="E213" i="89" a="1"/>
  <c r="E213" i="89" l="1"/>
  <c r="L213" i="89" a="1"/>
  <c r="L213" i="89"/>
  <c r="K213" i="89" a="1"/>
  <c r="K213" i="89"/>
  <c r="F213" i="89" a="1"/>
  <c r="F213" i="89"/>
  <c r="W213" i="89" a="1"/>
  <c r="W213" i="89"/>
  <c r="O211" i="89" a="1"/>
  <c r="O211" i="89"/>
  <c r="C211" i="89" a="1"/>
  <c r="C211" i="89"/>
  <c r="V211" i="89" a="1"/>
  <c r="V211" i="89"/>
  <c r="T211" i="89" a="1"/>
  <c r="T211" i="89"/>
  <c r="E211" i="89" a="1"/>
  <c r="E211" i="89"/>
  <c r="K211" i="89" a="1"/>
  <c r="K211" i="89"/>
  <c r="F211" i="89" a="1"/>
  <c r="F211" i="89"/>
  <c r="L211" i="89" a="1"/>
  <c r="L211" i="89"/>
  <c r="W211" i="89" a="1"/>
  <c r="W211" i="89"/>
  <c r="O212" i="89" a="1"/>
  <c r="O212" i="89"/>
  <c r="C212" i="89" a="1"/>
  <c r="C212" i="89" l="1"/>
  <c r="V212" i="89" a="1"/>
  <c r="V212" i="89"/>
  <c r="T212" i="89" a="1"/>
  <c r="T212" i="89"/>
  <c r="E212" i="89" a="1"/>
  <c r="E212" i="89"/>
  <c r="W212" i="89" a="1"/>
  <c r="W212" i="89"/>
  <c r="K212" i="89" a="1"/>
  <c r="K212" i="89"/>
  <c r="F212" i="89" a="1"/>
  <c r="F212" i="89"/>
  <c r="L212" i="89" a="1"/>
  <c r="L212" i="89"/>
  <c r="AA24" i="2" a="1"/>
  <c r="AA24" i="2"/>
  <c r="D24" i="2" a="1"/>
  <c r="D24" i="2"/>
  <c r="E24" i="2" a="1"/>
  <c r="E24" i="2"/>
  <c r="AD24" i="2" a="1"/>
  <c r="AD24" i="2"/>
  <c r="AR24" i="2" a="1"/>
  <c r="AR24" i="2"/>
  <c r="C24" i="2" a="1"/>
  <c r="C24" i="2"/>
  <c r="F24" i="2" a="1"/>
  <c r="F24" i="2"/>
  <c r="T24" i="2" a="1"/>
  <c r="T24" i="2"/>
  <c r="AN24" i="2" a="1"/>
  <c r="AN24" i="2"/>
  <c r="Q24" i="2" a="1"/>
  <c r="Q24" i="2"/>
  <c r="P24" i="2" a="1"/>
  <c r="P24" i="2"/>
  <c r="G24" i="2" a="1"/>
  <c r="G24" i="2"/>
  <c r="AF24" i="2" a="1"/>
  <c r="AF24" i="2"/>
  <c r="BB24" i="2"/>
  <c r="BA24" i="2"/>
  <c r="BC24" i="2" l="1"/>
  <c r="BA5" i="2"/>
  <c r="BB5" i="2"/>
  <c r="BC5" i="2" s="1"/>
  <c r="S24" i="2" a="1"/>
  <c r="AF5" i="2" a="1"/>
  <c r="AN5" i="2" a="1"/>
  <c r="F5" i="2" a="1"/>
  <c r="G5" i="2" a="1"/>
  <c r="D5" i="2" a="1"/>
  <c r="Q5" i="2" a="1"/>
  <c r="P5" i="2" a="1"/>
  <c r="AD5" i="2" a="1"/>
  <c r="L5" i="2" a="1"/>
  <c r="E5" i="2" a="1"/>
  <c r="AR5" i="2" a="1"/>
  <c r="AA5" i="2" a="1"/>
  <c r="K4" i="2"/>
  <c r="S24" i="2" l="1"/>
  <c r="R24" i="2"/>
  <c r="AO24" i="2"/>
  <c r="O24" i="2"/>
  <c r="AP24" i="2"/>
  <c r="U24" i="2"/>
  <c r="AA5" i="2"/>
  <c r="AR5" i="2"/>
  <c r="E5" i="2"/>
  <c r="L5" i="2"/>
  <c r="AD5" i="2"/>
  <c r="P5" i="2"/>
  <c r="Q5" i="2"/>
  <c r="D5" i="2"/>
  <c r="G5" i="2"/>
  <c r="F5" i="2"/>
  <c r="AN5" i="2"/>
  <c r="AF5" i="2"/>
  <c r="J27" i="2"/>
  <c r="K27" i="2" s="1"/>
  <c r="J26" i="2"/>
  <c r="K26" i="2" s="1"/>
  <c r="J25" i="2"/>
  <c r="K25" i="2" s="1"/>
  <c r="J23" i="2"/>
  <c r="K23" i="2" s="1"/>
  <c r="J22" i="2"/>
  <c r="K22" i="2" s="1"/>
  <c r="J21" i="2"/>
  <c r="K21" i="2" s="1"/>
  <c r="J20" i="2"/>
  <c r="K20" i="2" s="1"/>
  <c r="J19" i="2"/>
  <c r="K19" i="2" s="1"/>
  <c r="J18" i="2"/>
  <c r="K18" i="2" s="1"/>
  <c r="J17" i="2"/>
  <c r="K17" i="2" s="1"/>
  <c r="J16" i="2"/>
  <c r="K16" i="2" s="1"/>
  <c r="J14" i="2"/>
  <c r="K14" i="2" s="1"/>
  <c r="J13" i="2"/>
  <c r="K13" i="2" s="1"/>
  <c r="J12" i="2"/>
  <c r="K12" i="2" s="1"/>
  <c r="J11" i="2"/>
  <c r="K11" i="2" s="1"/>
  <c r="J10" i="2"/>
  <c r="K10" i="2" s="1"/>
  <c r="J9" i="2"/>
  <c r="K9" i="2" s="1"/>
  <c r="J8" i="2"/>
  <c r="K8" i="2" s="1"/>
  <c r="J7" i="2"/>
  <c r="K7" i="2" s="1"/>
  <c r="AQ24" i="2" a="1"/>
  <c r="Z24" i="2"/>
  <c r="AC24" i="2" a="1"/>
  <c r="S5" i="2" a="1"/>
  <c r="K17" i="1" a="1"/>
  <c r="K29" i="1" a="1"/>
  <c r="K24" i="1" a="1"/>
  <c r="K25" i="1" a="1"/>
  <c r="K26" i="1" a="1"/>
  <c r="K18" i="1" a="1"/>
  <c r="K30" i="1" a="1"/>
  <c r="K19" i="1" a="1"/>
  <c r="K21" i="1" a="1"/>
  <c r="K33" i="1" a="1"/>
  <c r="K34" i="1" a="1"/>
  <c r="K27" i="1" a="1"/>
  <c r="K36" i="1" a="1"/>
  <c r="K32" i="1" a="1"/>
  <c r="K35" i="1" a="1"/>
  <c r="K28" i="1" a="1"/>
  <c r="K23" i="1" a="1"/>
  <c r="K13" i="1" a="1"/>
  <c r="K14" i="1" a="1"/>
  <c r="AV24" i="2" a="1"/>
  <c r="AV24" i="2" l="1"/>
  <c r="AC24" i="2"/>
  <c r="AE24" i="2" s="1"/>
  <c r="AT24" i="2"/>
  <c r="AS24" i="2"/>
  <c r="AL24" i="2"/>
  <c r="AB24" i="2"/>
  <c r="AM24" i="2"/>
  <c r="M24" i="2"/>
  <c r="X24" i="2"/>
  <c r="Y24" i="2" s="1"/>
  <c r="AQ24" i="2"/>
  <c r="R5" i="2"/>
  <c r="S5" i="2"/>
  <c r="AO5" i="2"/>
  <c r="AP5" i="2"/>
  <c r="O5" i="2"/>
  <c r="U5" i="2"/>
  <c r="K23" i="1"/>
  <c r="K28" i="1"/>
  <c r="K35" i="1"/>
  <c r="K32" i="1"/>
  <c r="K36" i="1"/>
  <c r="K27" i="1"/>
  <c r="K34" i="1"/>
  <c r="K33" i="1"/>
  <c r="K21" i="1"/>
  <c r="K19" i="1"/>
  <c r="K30" i="1"/>
  <c r="K18" i="1"/>
  <c r="K26" i="1"/>
  <c r="K25" i="1"/>
  <c r="K24" i="1"/>
  <c r="K29" i="1"/>
  <c r="K17" i="1"/>
  <c r="K14" i="1"/>
  <c r="K13" i="1"/>
  <c r="Z5" i="2"/>
  <c r="AQ5" i="2" a="1"/>
  <c r="AC5" i="2" a="1"/>
  <c r="AV5" i="2" a="1"/>
  <c r="AV5" i="2" l="1"/>
  <c r="AC5" i="2"/>
  <c r="AE5" i="2" s="1"/>
  <c r="AQ5" i="2"/>
  <c r="AM5" i="2"/>
  <c r="AS5" i="2"/>
  <c r="AT5" i="2"/>
  <c r="AL5" i="2"/>
  <c r="X5" i="2"/>
  <c r="Y5" i="2" s="1"/>
  <c r="M5" i="2"/>
  <c r="AB5" i="2"/>
  <c r="V204" i="89" a="1"/>
  <c r="V204" i="89"/>
  <c r="T204" i="89" a="1"/>
  <c r="T204" i="89"/>
  <c r="T20" i="89" a="1"/>
  <c r="T20" i="89"/>
  <c r="O171" i="89" a="1"/>
  <c r="O171" i="89"/>
  <c r="V171" i="89" a="1"/>
  <c r="V171" i="89"/>
  <c r="C187" i="89" a="1"/>
  <c r="C187" i="89"/>
  <c r="V20" i="89" a="1"/>
  <c r="V20" i="89"/>
  <c r="C20" i="89" a="1"/>
  <c r="C20" i="89"/>
  <c r="AB20" i="89" a="1"/>
  <c r="C188" i="89" a="1"/>
  <c r="AB20" i="89" l="1"/>
  <c r="C188" i="89"/>
  <c r="O20" i="89" a="1"/>
  <c r="O20" i="89"/>
  <c r="C204" i="89" a="1"/>
  <c r="C204" i="89"/>
  <c r="T188" i="89" a="1"/>
  <c r="T188" i="89"/>
  <c r="T187" i="89" a="1"/>
  <c r="T187" i="89" l="1"/>
  <c r="O187" i="89" a="1"/>
  <c r="O187" i="89"/>
  <c r="AB233" i="89" a="1"/>
  <c r="AB233" i="89" l="1"/>
  <c r="C171" i="89" a="1"/>
  <c r="C171" i="89" l="1"/>
  <c r="AB171" i="89" a="1"/>
  <c r="O204" i="89" a="1"/>
  <c r="AB171" i="89" l="1"/>
  <c r="O204" i="89"/>
  <c r="T171" i="89" a="1"/>
  <c r="T171" i="89"/>
  <c r="O188" i="89" a="1"/>
  <c r="O188" i="89"/>
  <c r="V187" i="89" a="1"/>
  <c r="V187" i="89"/>
  <c r="V188" i="89" a="1"/>
  <c r="V188" i="89"/>
  <c r="T224" i="89" a="1"/>
  <c r="T224" i="89" l="1"/>
  <c r="V49" i="89" a="1"/>
  <c r="V49" i="89"/>
  <c r="V169" i="89" a="1"/>
  <c r="V169" i="89"/>
  <c r="C178" i="89" a="1"/>
  <c r="C178" i="89"/>
  <c r="S178" i="89" a="1"/>
  <c r="AB178" i="89" a="1"/>
  <c r="V224" i="89" a="1"/>
  <c r="AB178" i="89" l="1"/>
  <c r="S178" i="89"/>
  <c r="V224" i="89"/>
  <c r="V68" i="89" a="1"/>
  <c r="V68" i="89"/>
  <c r="T196" i="89" a="1"/>
  <c r="T196" i="89"/>
  <c r="O39" i="89" a="1"/>
  <c r="O39" i="89"/>
  <c r="C68" i="89" a="1"/>
  <c r="C68" i="89"/>
  <c r="AB68" i="89" a="1"/>
  <c r="T39" i="89" a="1"/>
  <c r="AB68" i="89" l="1"/>
  <c r="T39" i="89"/>
  <c r="C169" i="89" a="1"/>
  <c r="C169" i="89"/>
  <c r="AB169" i="89" a="1"/>
  <c r="V39" i="89" a="1"/>
  <c r="AB169" i="89" l="1"/>
  <c r="V39" i="89"/>
  <c r="T68" i="89" a="1"/>
  <c r="T68" i="89"/>
  <c r="O196" i="89" a="1"/>
  <c r="O196" i="89"/>
  <c r="C49" i="89" a="1"/>
  <c r="C49" i="89" l="1"/>
  <c r="AB49" i="89" a="1"/>
  <c r="T49" i="89" a="1"/>
  <c r="AB49" i="89" l="1"/>
  <c r="T49" i="89"/>
  <c r="C224" i="89" a="1"/>
  <c r="C224" i="89"/>
  <c r="AB224" i="89" a="1"/>
  <c r="O68" i="89" a="1"/>
  <c r="AB224" i="89" l="1"/>
  <c r="O68" i="89"/>
  <c r="C196" i="89" a="1"/>
  <c r="C196" i="89"/>
  <c r="AB196" i="89" a="1"/>
  <c r="O169" i="89" a="1"/>
  <c r="AB196" i="89" l="1"/>
  <c r="O169" i="89"/>
  <c r="O178" i="89" a="1"/>
  <c r="O178" i="89"/>
  <c r="T178" i="89" a="1"/>
  <c r="T178" i="89"/>
  <c r="R178" i="89" a="1"/>
  <c r="R178" i="89" l="1"/>
  <c r="O224" i="89" a="1"/>
  <c r="O224" i="89"/>
  <c r="T169" i="89" a="1"/>
  <c r="T169" i="89"/>
  <c r="V196" i="89" a="1"/>
  <c r="V196" i="89"/>
  <c r="C39" i="89" a="1"/>
  <c r="C39" i="89"/>
  <c r="S39" i="89" a="1"/>
  <c r="AB39" i="89" a="1"/>
  <c r="O49" i="89" a="1"/>
  <c r="AB39" i="89" l="1"/>
  <c r="S39" i="89"/>
  <c r="O49" i="89"/>
  <c r="R39" i="89" a="1"/>
  <c r="V178" i="89" a="1"/>
  <c r="R39" i="89" l="1"/>
  <c r="V178" i="89"/>
  <c r="C50" i="89" a="1"/>
  <c r="C50" i="89" l="1"/>
  <c r="S50" i="89" a="1"/>
  <c r="AB50" i="89" a="1"/>
  <c r="AB50" i="89" l="1"/>
  <c r="S50" i="89"/>
  <c r="V205" i="89" a="1"/>
  <c r="V205" i="89"/>
  <c r="T205" i="89" a="1"/>
  <c r="T205" i="89"/>
  <c r="C40" i="89" a="1"/>
  <c r="C40" i="89"/>
  <c r="S40" i="89" a="1"/>
  <c r="AB40" i="89" a="1"/>
  <c r="V203" i="89" a="1"/>
  <c r="AB40" i="89" l="1"/>
  <c r="S40" i="89"/>
  <c r="V203" i="89"/>
  <c r="AB235" i="89" a="1"/>
  <c r="O225" i="89" a="1"/>
  <c r="AB235" i="89" l="1"/>
  <c r="O225" i="89"/>
  <c r="O205" i="89" a="1"/>
  <c r="O205" i="89"/>
  <c r="C203" i="89" a="1"/>
  <c r="C203" i="89" l="1"/>
  <c r="AB203" i="89" a="1"/>
  <c r="T40" i="89" a="1"/>
  <c r="AB203" i="89" l="1"/>
  <c r="T40" i="89"/>
  <c r="R40" i="89" a="1"/>
  <c r="V40" i="89" a="1"/>
  <c r="R40" i="89" l="1"/>
  <c r="V40" i="89"/>
  <c r="V225" i="89" a="1"/>
  <c r="V225" i="89"/>
  <c r="C225" i="89" a="1"/>
  <c r="C225" i="89"/>
  <c r="AB225" i="89" a="1"/>
  <c r="O203" i="89" a="1"/>
  <c r="AB225" i="89" l="1"/>
  <c r="O203" i="89"/>
  <c r="T225" i="89" a="1"/>
  <c r="T225" i="89"/>
  <c r="C205" i="89" a="1"/>
  <c r="C205" i="89"/>
  <c r="AB205" i="89" a="1"/>
  <c r="O50" i="89" a="1"/>
  <c r="AB205" i="89" l="1"/>
  <c r="O50" i="89"/>
  <c r="T203" i="89" a="1"/>
  <c r="T203" i="89" l="1"/>
  <c r="V50" i="89" a="1"/>
  <c r="V50" i="89"/>
  <c r="O40" i="89" a="1"/>
  <c r="O40" i="89"/>
  <c r="AB213" i="89" a="1"/>
  <c r="AB213" i="89" l="1"/>
  <c r="T50" i="89" a="1"/>
  <c r="T50" i="89"/>
  <c r="R50" i="89" a="1"/>
  <c r="C19" i="89"/>
  <c r="AB19" i="89" s="1" a="1"/>
  <c r="V19" i="89"/>
  <c r="V197" i="89" a="1"/>
  <c r="AB19" i="89" l="1"/>
  <c r="R50" i="89"/>
  <c r="V197" i="89"/>
  <c r="C186" i="89" a="1"/>
  <c r="C186" i="89"/>
  <c r="S186" i="89" a="1"/>
  <c r="AB186" i="89" a="1"/>
  <c r="V195" i="89" a="1"/>
  <c r="AB186" i="89" l="1"/>
  <c r="S186" i="89"/>
  <c r="V195" i="89"/>
  <c r="T75" i="89" a="1"/>
  <c r="T75" i="89" l="1"/>
  <c r="C197" i="89" a="1"/>
  <c r="C197" i="89"/>
  <c r="AB197" i="89" a="1"/>
  <c r="O186" i="89" a="1"/>
  <c r="AB197" i="89" l="1"/>
  <c r="O186" i="89"/>
  <c r="O75" i="89" a="1"/>
  <c r="O75" i="89" l="1"/>
  <c r="T197" i="89" a="1"/>
  <c r="T197" i="89" l="1"/>
  <c r="AB211" i="89" a="1"/>
  <c r="C195" i="89" a="1"/>
  <c r="AB211" i="89" l="1"/>
  <c r="C195" i="89"/>
  <c r="AB195" i="89" a="1"/>
  <c r="V186" i="89" a="1"/>
  <c r="AB195" i="89" l="1"/>
  <c r="V186" i="89"/>
  <c r="T195" i="89" a="1"/>
  <c r="T195" i="89"/>
  <c r="T19" i="89"/>
  <c r="O197" i="89" a="1"/>
  <c r="O197" i="89"/>
  <c r="O195" i="89" a="1"/>
  <c r="O195" i="89"/>
  <c r="T186" i="89" a="1"/>
  <c r="T186" i="89" l="1"/>
  <c r="R186" i="89" a="1"/>
  <c r="V75" i="89" a="1"/>
  <c r="R186" i="89" l="1"/>
  <c r="V75" i="89"/>
  <c r="O19" i="89"/>
  <c r="C75" i="89" a="1"/>
  <c r="C75" i="89" l="1"/>
  <c r="AB75" i="89" a="1"/>
  <c r="AB75" i="89" l="1"/>
  <c r="X13" i="338" a="1"/>
  <c r="X13" i="338" l="1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T53" i="338" a="1"/>
  <c r="T53" i="338"/>
  <c r="P40" i="338" a="1"/>
  <c r="P40" i="338"/>
  <c r="S17" i="338" a="1"/>
  <c r="S17" i="338"/>
  <c r="T51" i="338" a="1"/>
  <c r="T51" i="338"/>
  <c r="T17" i="338" a="1"/>
  <c r="T17" i="338"/>
  <c r="X53" i="338" a="1"/>
  <c r="X53" i="338"/>
  <c r="S10" i="338" a="1"/>
  <c r="S10" i="338"/>
  <c r="S51" i="338" a="1"/>
  <c r="S51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S38" i="338" a="1"/>
  <c r="S38" i="338"/>
  <c r="S16" i="338" a="1"/>
  <c r="S16" i="338"/>
  <c r="X10" i="338" a="1"/>
  <c r="X10" i="338"/>
  <c r="X51" i="338" a="1"/>
  <c r="X51" i="338"/>
  <c r="P53" i="338" a="1"/>
  <c r="P53" i="338"/>
  <c r="S37" i="338" a="1"/>
  <c r="S37" i="338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X33" i="338" a="1"/>
  <c r="X33" i="338"/>
  <c r="P46" i="338" a="1"/>
  <c r="P46" i="338"/>
  <c r="S8" i="338" a="1"/>
  <c r="S8" i="338"/>
  <c r="P52" i="338" a="1"/>
  <c r="P52" i="338"/>
  <c r="T39" i="338" a="1"/>
  <c r="T39" i="338"/>
  <c r="T15" i="338" a="1"/>
  <c r="T15" i="338"/>
  <c r="T36" i="338" a="1"/>
  <c r="T36" i="338"/>
  <c r="X49" i="338" a="1"/>
  <c r="X49" i="338"/>
  <c r="S11" i="338" a="1"/>
  <c r="S11" i="338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T47" i="338" a="1"/>
  <c r="T47" i="338"/>
  <c r="P48" i="338" a="1"/>
  <c r="P48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D160" i="89" a="1"/>
  <c r="D160" i="89"/>
  <c r="V96" i="89" a="1"/>
  <c r="V96" i="89"/>
  <c r="E102" i="89" a="1"/>
  <c r="E102" i="89"/>
  <c r="T129" i="89" a="1"/>
  <c r="T129" i="89"/>
  <c r="C129" i="89" a="1"/>
  <c r="C129" i="89"/>
  <c r="S129" i="89" a="1"/>
  <c r="AB129" i="89" a="1"/>
  <c r="V115" i="89" a="1"/>
  <c r="AB129" i="89" l="1"/>
  <c r="S129" i="89"/>
  <c r="V115" i="89"/>
  <c r="R129" i="89" a="1"/>
  <c r="C115" i="89" a="1"/>
  <c r="R129" i="89" l="1"/>
  <c r="C115" i="89"/>
  <c r="AB115" i="89" a="1"/>
  <c r="E108" i="89" a="1"/>
  <c r="AB115" i="89" l="1"/>
  <c r="E108" i="89"/>
  <c r="E137" i="89" a="1"/>
  <c r="E137" i="89"/>
  <c r="V102" i="89" a="1"/>
  <c r="V102" i="89"/>
  <c r="C137" i="89" a="1"/>
  <c r="C137" i="89"/>
  <c r="AB137" i="89" a="1"/>
  <c r="E160" i="89" a="1"/>
  <c r="AB137" i="89" l="1"/>
  <c r="E160" i="89"/>
  <c r="D102" i="89" a="1"/>
  <c r="D102" i="89"/>
  <c r="D115" i="89" a="1"/>
  <c r="D115" i="89"/>
  <c r="T160" i="89" a="1"/>
  <c r="T160" i="89"/>
  <c r="D116" i="89" a="1"/>
  <c r="D116" i="89"/>
  <c r="E122" i="89" a="1"/>
  <c r="E122" i="89"/>
  <c r="V137" i="89" a="1"/>
  <c r="V137" i="89"/>
  <c r="C160" i="89" a="1"/>
  <c r="C160" i="89"/>
  <c r="S160" i="89" a="1"/>
  <c r="AB160" i="89" a="1"/>
  <c r="E116" i="89" a="1"/>
  <c r="AB160" i="89" l="1"/>
  <c r="S160" i="89"/>
  <c r="E116" i="89"/>
  <c r="R160" i="89" a="1"/>
  <c r="E96" i="89" a="1"/>
  <c r="R160" i="89" l="1"/>
  <c r="E96" i="89"/>
  <c r="V153" i="89" a="1"/>
  <c r="V153" i="89"/>
  <c r="E153" i="89" a="1"/>
  <c r="E153" i="89"/>
  <c r="T102" i="89" a="1"/>
  <c r="T102" i="89"/>
  <c r="E129" i="89" a="1"/>
  <c r="E129" i="89"/>
  <c r="T108" i="89" a="1"/>
  <c r="T108" i="89"/>
  <c r="C116" i="89" a="1"/>
  <c r="C116" i="89"/>
  <c r="S116" i="89" a="1"/>
  <c r="AB116" i="89" a="1"/>
  <c r="T96" i="89" a="1"/>
  <c r="AB116" i="89" l="1"/>
  <c r="S116" i="89"/>
  <c r="T9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AB102" i="89" a="1"/>
  <c r="C96" i="89" a="1"/>
  <c r="AB102" i="89" l="1"/>
  <c r="C96" i="89"/>
  <c r="AB96" i="89" a="1"/>
  <c r="AB96" i="89" l="1"/>
  <c r="C108" i="89" a="1"/>
  <c r="C108" i="89"/>
  <c r="S108" i="89" a="1"/>
  <c r="AB108" i="89" a="1"/>
  <c r="V122" i="89" a="1"/>
  <c r="AB108" i="89" l="1"/>
  <c r="S108" i="89"/>
  <c r="V122" i="89"/>
  <c r="R108" i="89" a="1"/>
  <c r="V160" i="89" a="1"/>
  <c r="R108" i="89" l="1"/>
  <c r="V160" i="89"/>
  <c r="T115" i="89" a="1"/>
  <c r="T115" i="89"/>
  <c r="D96" i="89" a="1"/>
  <c r="D96" i="89"/>
  <c r="D153" i="89" a="1"/>
  <c r="D153" i="89"/>
  <c r="T137" i="89" a="1"/>
  <c r="T137" i="89"/>
  <c r="C153" i="89" a="1"/>
  <c r="C153" i="89"/>
  <c r="C122" i="89" a="1"/>
  <c r="C122" i="89"/>
  <c r="AB122" i="89" a="1"/>
  <c r="D129" i="89" a="1"/>
  <c r="AB122" i="89" l="1"/>
  <c r="D129" i="89"/>
  <c r="D122" i="89" a="1"/>
  <c r="D122" i="89"/>
  <c r="T153" i="89" a="1"/>
  <c r="T153" i="89"/>
  <c r="T116" i="89" a="1"/>
  <c r="T116" i="89"/>
  <c r="R116" i="89" a="1"/>
  <c r="R116" i="89" l="1"/>
  <c r="E187" i="89" a="1"/>
  <c r="E187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I40" i="338" a="1"/>
  <c r="AI40" i="338"/>
  <c r="AH39" i="338" a="1"/>
  <c r="AH39" i="338"/>
  <c r="AH15" i="338" a="1"/>
  <c r="AH15" i="338"/>
  <c r="AF40" i="338"/>
  <c r="AF38" i="338"/>
  <c r="AF16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11" i="446" a="1"/>
  <c r="F11" i="446"/>
  <c r="F25" i="446" a="1"/>
  <c r="F25" i="446"/>
  <c r="G20" i="446" a="1"/>
  <c r="G20" i="446"/>
  <c r="E178" i="89" a="1"/>
  <c r="E178" i="89"/>
  <c r="E179" i="89" a="1"/>
  <c r="E179" i="89"/>
  <c r="E170" i="89" a="1"/>
  <c r="E170" i="89"/>
  <c r="E171" i="89" a="1"/>
  <c r="E171" i="89"/>
  <c r="E186" i="89" a="1"/>
  <c r="E186" i="89"/>
  <c r="E188" i="89" a="1"/>
  <c r="E188" i="89"/>
  <c r="E169" i="89" a="1"/>
  <c r="E169" i="89"/>
  <c r="G37" i="446" a="1"/>
  <c r="G37" i="446"/>
  <c r="G29" i="446" a="1"/>
  <c r="G29" i="446"/>
  <c r="G28" i="446" a="1"/>
  <c r="G28" i="446"/>
  <c r="F37" i="446" a="1"/>
  <c r="F37" i="446"/>
  <c r="F29" i="446" a="1"/>
  <c r="F29" i="446"/>
  <c r="D28" i="446" a="1"/>
  <c r="D28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44" i="446" a="1"/>
  <c r="D44" i="446"/>
  <c r="G45" i="446" a="1"/>
  <c r="G45" i="446"/>
  <c r="D31" i="446" a="1"/>
  <c r="D31" i="446"/>
  <c r="F43" i="446" a="1"/>
  <c r="F43" i="446"/>
  <c r="F11" i="252" a="1"/>
  <c r="F11" i="252"/>
  <c r="F20" i="252" a="1"/>
  <c r="F20" i="252"/>
  <c r="P17" i="252" a="1"/>
  <c r="P17" i="252"/>
  <c r="F19" i="252" a="1"/>
  <c r="F19" i="252"/>
  <c r="F14" i="252" a="1"/>
  <c r="F14" i="252"/>
  <c r="N19" i="252" a="1"/>
  <c r="N19" i="252"/>
  <c r="P19" i="252" a="1"/>
  <c r="P19" i="252"/>
  <c r="M17" i="252" a="1"/>
  <c r="M17" i="252"/>
  <c r="S20" i="252" a="1"/>
  <c r="S20" i="252"/>
  <c r="M11" i="252" a="1"/>
  <c r="M11" i="252"/>
  <c r="S19" i="252" a="1"/>
  <c r="S19" i="252"/>
  <c r="S10" i="252" a="1"/>
  <c r="S10" i="252"/>
  <c r="P18" i="252" a="1"/>
  <c r="P18" i="252"/>
  <c r="L14" i="252" a="1"/>
  <c r="L14" i="252"/>
  <c r="F7" i="252" a="1"/>
  <c r="F7" i="252"/>
  <c r="O8" i="252" a="1"/>
  <c r="O8" i="252"/>
  <c r="P8" i="252" a="1"/>
  <c r="P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M14" i="252" a="1"/>
  <c r="M14" i="252"/>
  <c r="N11" i="252" a="1"/>
  <c r="N11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C90" i="89" a="1"/>
  <c r="C90" i="89"/>
  <c r="S90" i="89" a="1"/>
  <c r="AB90" i="89" a="1"/>
  <c r="T136" i="89" a="1"/>
  <c r="AB90" i="89" l="1"/>
  <c r="S90" i="89"/>
  <c r="T136" i="89"/>
  <c r="R90" i="89" a="1"/>
  <c r="C123" i="89" a="1"/>
  <c r="R90" i="89" l="1"/>
  <c r="C123" i="89"/>
  <c r="S123" i="89" a="1"/>
  <c r="AB123" i="89" a="1"/>
  <c r="D101" i="89" a="1"/>
  <c r="AB123" i="89" l="1"/>
  <c r="S123" i="89"/>
  <c r="D101" i="89"/>
  <c r="D123" i="89" a="1"/>
  <c r="D123" i="89"/>
  <c r="C136" i="89" a="1"/>
  <c r="C136" i="89"/>
  <c r="AB136" i="89" a="1"/>
  <c r="T138" i="89" a="1"/>
  <c r="AB136" i="89" l="1"/>
  <c r="T138" i="89"/>
  <c r="E89" i="89" a="1"/>
  <c r="E89" i="89"/>
  <c r="C95" i="89" a="1"/>
  <c r="C95" i="89"/>
  <c r="AB95" i="89" a="1"/>
  <c r="V136" i="89" a="1"/>
  <c r="AB95" i="89" l="1"/>
  <c r="V136" i="89"/>
  <c r="V101" i="89" a="1"/>
  <c r="V101" i="89"/>
  <c r="D90" i="89" a="1"/>
  <c r="D90" i="89"/>
  <c r="C89" i="89" a="1"/>
  <c r="C89" i="89"/>
  <c r="AB89" i="89" a="1"/>
  <c r="V138" i="89" a="1"/>
  <c r="AB89" i="89" l="1"/>
  <c r="V138" i="89"/>
  <c r="C145" i="89" a="1"/>
  <c r="C145" i="89"/>
  <c r="S145" i="89" a="1"/>
  <c r="AB145" i="89" a="1"/>
  <c r="C138" i="89" a="1"/>
  <c r="AB145" i="89" l="1"/>
  <c r="S145" i="89"/>
  <c r="C138" i="89"/>
  <c r="S138" i="89" a="1"/>
  <c r="AB138" i="89" a="1"/>
  <c r="V95" i="89" a="1"/>
  <c r="AB138" i="89" l="1"/>
  <c r="S138" i="89"/>
  <c r="V95" i="89"/>
  <c r="R138" i="89" a="1"/>
  <c r="E101" i="89" a="1"/>
  <c r="R138" i="89" l="1"/>
  <c r="E101" i="89"/>
  <c r="T123" i="89" a="1"/>
  <c r="T123" i="89"/>
  <c r="R123" i="89" a="1"/>
  <c r="V145" i="89" a="1"/>
  <c r="R123" i="89" l="1"/>
  <c r="V145" i="89"/>
  <c r="D95" i="89" a="1"/>
  <c r="D95" i="89"/>
  <c r="E123" i="89" a="1"/>
  <c r="E123" i="89"/>
  <c r="D89" i="89" a="1"/>
  <c r="D89" i="89"/>
  <c r="C109" i="89" a="1"/>
  <c r="C109" i="89"/>
  <c r="S109" i="89" a="1"/>
  <c r="AB109" i="89" a="1"/>
  <c r="D138" i="89" a="1"/>
  <c r="AB109" i="89" l="1"/>
  <c r="S109" i="89"/>
  <c r="D138" i="89"/>
  <c r="D144" i="89" a="1"/>
  <c r="D144" i="89"/>
  <c r="E109" i="89" a="1"/>
  <c r="E109" i="89"/>
  <c r="E95" i="89" a="1"/>
  <c r="E95" i="89"/>
  <c r="T145" i="89" a="1"/>
  <c r="T145" i="89"/>
  <c r="R145" i="89" a="1"/>
  <c r="E90" i="89" a="1"/>
  <c r="R145" i="89" l="1"/>
  <c r="E90" i="89"/>
  <c r="T101" i="89" a="1"/>
  <c r="T101" i="89"/>
  <c r="C101" i="89" a="1"/>
  <c r="C101" i="89"/>
  <c r="S101" i="89" a="1"/>
  <c r="AB101" i="89" a="1"/>
  <c r="AB101" i="89" l="1"/>
  <c r="S101" i="89"/>
  <c r="R101" i="89" a="1"/>
  <c r="R101" i="89" l="1"/>
  <c r="T144" i="89" a="1"/>
  <c r="T144" i="89"/>
  <c r="E144" i="89" a="1"/>
  <c r="E144" i="89"/>
  <c r="T95" i="89" a="1"/>
  <c r="T95" i="89"/>
  <c r="T89" i="89" a="1"/>
  <c r="T89" i="89"/>
  <c r="V123" i="89" a="1"/>
  <c r="V123" i="89"/>
  <c r="E136" i="89" a="1"/>
  <c r="E136" i="89"/>
  <c r="T109" i="89" a="1"/>
  <c r="T109" i="89"/>
  <c r="R109" i="89" a="1"/>
  <c r="D136" i="89" a="1"/>
  <c r="R109" i="89" l="1"/>
  <c r="D136" i="89"/>
  <c r="E138" i="89" a="1"/>
  <c r="E138" i="89"/>
  <c r="C144" i="89" a="1"/>
  <c r="C144" i="89"/>
  <c r="AB144" i="89" a="1"/>
  <c r="AB144" i="89" l="1"/>
  <c r="T44" i="338" a="1"/>
  <c r="T44" i="338"/>
  <c r="P41" i="338" a="1"/>
  <c r="P41" i="338"/>
  <c r="T41" i="338" a="1"/>
  <c r="T41" i="338"/>
  <c r="T30" i="338" a="1"/>
  <c r="T30" i="338"/>
  <c r="X41" i="338" a="1"/>
  <c r="X41" i="338"/>
  <c r="P44" i="338" a="1"/>
  <c r="P44" i="338"/>
  <c r="S44" i="338" a="1"/>
  <c r="S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3" i="2" a="1"/>
  <c r="E13" i="2"/>
  <c r="F13" i="2" a="1"/>
  <c r="F13" i="2"/>
  <c r="C19" i="2" a="1"/>
  <c r="C19" i="2"/>
  <c r="D18" i="2" a="1"/>
  <c r="D18" i="2"/>
  <c r="AQ18" i="2" a="1"/>
  <c r="AC18" i="2" a="1"/>
  <c r="T13" i="2" a="1"/>
  <c r="AC18" i="2" l="1"/>
  <c r="AQ18" i="2"/>
  <c r="T13" i="2"/>
  <c r="F18" i="2" a="1"/>
  <c r="F18" i="2"/>
  <c r="AA13" i="2" a="1"/>
  <c r="AA13" i="2"/>
  <c r="AD18" i="2" a="1"/>
  <c r="AD18" i="2"/>
  <c r="F17" i="2" a="1"/>
  <c r="F17" i="2"/>
  <c r="C8" i="2" a="1"/>
  <c r="C8" i="2"/>
  <c r="AD22" i="2" a="1"/>
  <c r="AD22" i="2"/>
  <c r="F22" i="2" a="1"/>
  <c r="F22" i="2"/>
  <c r="AD19" i="2" a="1"/>
  <c r="AD19" i="2"/>
  <c r="AA27" i="2" a="1"/>
  <c r="AA27" i="2"/>
  <c r="C18" i="2" a="1"/>
  <c r="C18" i="2"/>
  <c r="AA17" i="2" a="1"/>
  <c r="AA17" i="2"/>
  <c r="F19" i="2" a="1"/>
  <c r="F19" i="2"/>
  <c r="AA8" i="2" a="1"/>
  <c r="AA8" i="2"/>
  <c r="E18" i="2" a="1"/>
  <c r="E18" i="2"/>
  <c r="C13" i="2" a="1"/>
  <c r="C13" i="2"/>
  <c r="T27" i="2" a="1"/>
  <c r="T27" i="2"/>
  <c r="D13" i="2" a="1"/>
  <c r="D13" i="2"/>
  <c r="Z13" i="2"/>
  <c r="AV13" i="2" s="1" a="1"/>
  <c r="AC13" i="2" a="1"/>
  <c r="AQ13" i="2" a="1"/>
  <c r="T22" i="2" a="1"/>
  <c r="AQ13" i="2" l="1"/>
  <c r="AC13" i="2"/>
  <c r="AV13" i="2"/>
  <c r="T22" i="2"/>
  <c r="E8" i="2" a="1"/>
  <c r="E8" i="2"/>
  <c r="T17" i="2" a="1"/>
  <c r="T17" i="2"/>
  <c r="AR13" i="2" a="1"/>
  <c r="AR13" i="2"/>
  <c r="F8" i="2" a="1"/>
  <c r="F8" i="2"/>
  <c r="E19" i="2" a="1"/>
  <c r="E19" i="2"/>
  <c r="AD17" i="2" a="1"/>
  <c r="AD17" i="2"/>
  <c r="AR17" i="2" a="1"/>
  <c r="AR17" i="2"/>
  <c r="C17" i="2" a="1"/>
  <c r="C17" i="2"/>
  <c r="D19" i="2" a="1"/>
  <c r="D19" i="2"/>
  <c r="AQ19" i="2" a="1"/>
  <c r="AC19" i="2" a="1"/>
  <c r="T19" i="2" a="1"/>
  <c r="AC19" i="2" l="1"/>
  <c r="AQ19" i="2"/>
  <c r="T19" i="2"/>
  <c r="T8" i="2" a="1"/>
  <c r="T8" i="2"/>
  <c r="AR22" i="2" a="1"/>
  <c r="AR22" i="2"/>
  <c r="AA19" i="2" a="1"/>
  <c r="AA19" i="2"/>
  <c r="F27" i="2" a="1"/>
  <c r="F27" i="2"/>
  <c r="C22" i="2" a="1"/>
  <c r="C22" i="2"/>
  <c r="D17" i="2" a="1"/>
  <c r="D17" i="2"/>
  <c r="AC17" i="2" a="1"/>
  <c r="AQ17" i="2" a="1"/>
  <c r="AD8" i="2" a="1"/>
  <c r="AQ17" i="2" l="1"/>
  <c r="AC17" i="2"/>
  <c r="AD8" i="2"/>
  <c r="D27" i="2" a="1"/>
  <c r="D27" i="2"/>
  <c r="AQ27" i="2" a="1"/>
  <c r="AC27" i="2" a="1"/>
  <c r="D22" i="2" a="1"/>
  <c r="AC27" i="2" l="1"/>
  <c r="AQ27" i="2"/>
  <c r="D22" i="2"/>
  <c r="Z22" i="2"/>
  <c r="AC22" i="2" a="1"/>
  <c r="AQ22" i="2" a="1"/>
  <c r="C27" i="2" a="1"/>
  <c r="AQ22" i="2" l="1"/>
  <c r="AC22" i="2"/>
  <c r="C27" i="2"/>
  <c r="E17" i="2" a="1"/>
  <c r="E17" i="2"/>
  <c r="AR18" i="2" a="1"/>
  <c r="AR18" i="2"/>
  <c r="E27" i="2" a="1"/>
  <c r="E27" i="2"/>
  <c r="E22" i="2" a="1"/>
  <c r="E22" i="2"/>
  <c r="AR8" i="2" a="1"/>
  <c r="AR8" i="2"/>
  <c r="AA22" i="2" a="1"/>
  <c r="AA22" i="2"/>
  <c r="AV22" i="2" a="1"/>
  <c r="AD27" i="2" a="1"/>
  <c r="AV22" i="2" l="1"/>
  <c r="AD27" i="2"/>
  <c r="D8" i="2" a="1"/>
  <c r="D8" i="2"/>
  <c r="Z8" i="2"/>
  <c r="AV8" i="2" s="1" a="1"/>
  <c r="AC8" i="2" a="1"/>
  <c r="AQ8" i="2" a="1"/>
  <c r="AR27" i="2" a="1"/>
  <c r="AQ8" i="2" l="1"/>
  <c r="AC8" i="2"/>
  <c r="AV8" i="2"/>
  <c r="AR27" i="2"/>
  <c r="AR19" i="2" a="1"/>
  <c r="AR19" i="2"/>
  <c r="AA18" i="2" a="1"/>
  <c r="AA18" i="2"/>
  <c r="AD13" i="2" a="1"/>
  <c r="AD13" i="2"/>
  <c r="T18" i="2" a="1"/>
  <c r="T18" i="2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E180" i="89" a="1"/>
  <c r="E180" i="89"/>
  <c r="D16" i="2" a="1"/>
  <c r="D16" i="2"/>
  <c r="AC16" i="2" a="1"/>
  <c r="AQ16" i="2" a="1"/>
  <c r="C180" i="89" a="1"/>
  <c r="AQ16" i="2" l="1"/>
  <c r="AC16" i="2"/>
  <c r="C180" i="89"/>
  <c r="S180" i="89" a="1"/>
  <c r="AB180" i="89" a="1"/>
  <c r="AA20" i="2" a="1"/>
  <c r="AB180" i="89" l="1"/>
  <c r="S180" i="89"/>
  <c r="AA20" i="2"/>
  <c r="T62" i="89" a="1"/>
  <c r="T62" i="89"/>
  <c r="C9" i="2" a="1"/>
  <c r="C9" i="2"/>
  <c r="T25" i="2" a="1"/>
  <c r="T25" i="2"/>
  <c r="O13" i="89" a="1"/>
  <c r="O13" i="89"/>
  <c r="T20" i="2" a="1"/>
  <c r="T20" i="2"/>
  <c r="O62" i="89" a="1"/>
  <c r="O62" i="89"/>
  <c r="AA21" i="2" a="1"/>
  <c r="AA21" i="2"/>
  <c r="T63" i="89" a="1"/>
  <c r="T63" i="89"/>
  <c r="AD20" i="2" a="1"/>
  <c r="AD20" i="2"/>
  <c r="V62" i="89" a="1"/>
  <c r="V62" i="89"/>
  <c r="AA9" i="2" a="1"/>
  <c r="AA9" i="2"/>
  <c r="T222" i="89" a="1"/>
  <c r="T222" i="89"/>
  <c r="AR25" i="2" a="1"/>
  <c r="AR25" i="2"/>
  <c r="C16" i="2" a="1"/>
  <c r="C16" i="2"/>
  <c r="T9" i="2" a="1"/>
  <c r="T9" i="2"/>
  <c r="O222" i="89" a="1"/>
  <c r="O222" i="89"/>
  <c r="C20" i="2" a="1"/>
  <c r="C20" i="2"/>
  <c r="AR14" i="2" a="1"/>
  <c r="AR14" i="2"/>
  <c r="F12" i="2" a="1"/>
  <c r="F12" i="2"/>
  <c r="AR20" i="2" a="1"/>
  <c r="AR20" i="2"/>
  <c r="D14" i="2" a="1"/>
  <c r="D14" i="2"/>
  <c r="AC14" i="2" a="1"/>
  <c r="AQ14" i="2" a="1"/>
  <c r="C179" i="89" a="1"/>
  <c r="AQ14" i="2" l="1"/>
  <c r="AC14" i="2"/>
  <c r="C179" i="89"/>
  <c r="AB179" i="89" a="1"/>
  <c r="C170" i="89" a="1"/>
  <c r="AB179" i="89" l="1"/>
  <c r="C170" i="89"/>
  <c r="AB170" i="89" a="1"/>
  <c r="F10" i="2" a="1"/>
  <c r="AB170" i="89" l="1"/>
  <c r="F10" i="2"/>
  <c r="AD26" i="2" a="1"/>
  <c r="AD26" i="2"/>
  <c r="V14" i="89" a="1"/>
  <c r="V14" i="89"/>
  <c r="AA16" i="2" a="1"/>
  <c r="AA16" i="2"/>
  <c r="T180" i="89" a="1"/>
  <c r="T180" i="89"/>
  <c r="R180" i="89" a="1"/>
  <c r="D21" i="2" a="1"/>
  <c r="R180" i="89" l="1"/>
  <c r="D21" i="2"/>
  <c r="AQ21" i="2" a="1"/>
  <c r="AC21" i="2" a="1"/>
  <c r="C63" i="89" a="1"/>
  <c r="AC21" i="2" l="1"/>
  <c r="AQ21" i="2"/>
  <c r="C63" i="89"/>
  <c r="AB63" i="89" a="1"/>
  <c r="AA14" i="2" a="1"/>
  <c r="AB63" i="89" l="1"/>
  <c r="AA14" i="2"/>
  <c r="T179" i="89" a="1"/>
  <c r="T179" i="89"/>
  <c r="T170" i="89" a="1"/>
  <c r="T170" i="89"/>
  <c r="AR26" i="2" a="1"/>
  <c r="AR26" i="2"/>
  <c r="D23" i="2" a="1"/>
  <c r="D23" i="2"/>
  <c r="Z23" i="2"/>
  <c r="AC23" i="2" a="1"/>
  <c r="AQ23" i="2" a="1"/>
  <c r="AQ23" i="2" l="1"/>
  <c r="AC23" i="2"/>
  <c r="AB26" i="89" a="1"/>
  <c r="T14" i="2" a="1"/>
  <c r="AB26" i="89" l="1"/>
  <c r="T14" i="2"/>
  <c r="O179" i="89" a="1"/>
  <c r="O179" i="89"/>
  <c r="O170" i="89" a="1"/>
  <c r="O170" i="89"/>
  <c r="F9" i="2" a="1"/>
  <c r="F9" i="2"/>
  <c r="AD9" i="2" a="1"/>
  <c r="AD9" i="2"/>
  <c r="V222" i="89" a="1"/>
  <c r="V222" i="89"/>
  <c r="C26" i="2" a="1"/>
  <c r="C26" i="2"/>
  <c r="E10" i="2" a="1"/>
  <c r="E10" i="2"/>
  <c r="T16" i="2" a="1"/>
  <c r="T16" i="2"/>
  <c r="O180" i="89" a="1"/>
  <c r="O180" i="89"/>
  <c r="T10" i="2" a="1"/>
  <c r="T10" i="2"/>
  <c r="O223" i="89" a="1"/>
  <c r="O223" i="89"/>
  <c r="E20" i="2" a="1"/>
  <c r="E20" i="2"/>
  <c r="AA23" i="2" a="1"/>
  <c r="AA23" i="2"/>
  <c r="AV23" i="2" a="1"/>
  <c r="AV23" i="2" l="1"/>
  <c r="F21" i="2" a="1"/>
  <c r="F21" i="2"/>
  <c r="AD25" i="2" a="1"/>
  <c r="AD25" i="2"/>
  <c r="V13" i="89" a="1"/>
  <c r="V13" i="89"/>
  <c r="E26" i="2" a="1"/>
  <c r="E26" i="2"/>
  <c r="E21" i="2" a="1"/>
  <c r="E21" i="2"/>
  <c r="AD16" i="2" a="1"/>
  <c r="AD16" i="2"/>
  <c r="V180" i="89" a="1"/>
  <c r="V180" i="89"/>
  <c r="C14" i="2" a="1"/>
  <c r="C14" i="2"/>
  <c r="C12" i="2" a="1"/>
  <c r="C12" i="2"/>
  <c r="F20" i="2" a="1"/>
  <c r="F20" i="2"/>
  <c r="AR12" i="2" a="1"/>
  <c r="AR12" i="2"/>
  <c r="E16" i="2" a="1"/>
  <c r="E16" i="2"/>
  <c r="C25" i="2" a="1"/>
  <c r="C25" i="2"/>
  <c r="AD12" i="2" a="1"/>
  <c r="AD12" i="2"/>
  <c r="E25" i="2" a="1"/>
  <c r="E25" i="2"/>
  <c r="AD10" i="2" a="1"/>
  <c r="AD10" i="2"/>
  <c r="V223" i="89" a="1"/>
  <c r="V223" i="89"/>
  <c r="AA10" i="2" a="1"/>
  <c r="AA10" i="2"/>
  <c r="T223" i="89" a="1"/>
  <c r="T223" i="89"/>
  <c r="AR10" i="2" a="1"/>
  <c r="AR10" i="2"/>
  <c r="AR23" i="2" a="1"/>
  <c r="AR23" i="2"/>
  <c r="T23" i="2" a="1"/>
  <c r="T23" i="2"/>
  <c r="D20" i="2" a="1"/>
  <c r="D20" i="2" l="1"/>
  <c r="Z20" i="2"/>
  <c r="AV20" i="2" s="1" a="1"/>
  <c r="AQ20" i="2" a="1"/>
  <c r="AC20" i="2" a="1"/>
  <c r="C62" i="89" a="1"/>
  <c r="AC20" i="2" l="1"/>
  <c r="AQ20" i="2"/>
  <c r="AV20" i="2"/>
  <c r="C62" i="89"/>
  <c r="AB62" i="89" a="1"/>
  <c r="D26" i="2" a="1"/>
  <c r="AB62" i="89" l="1"/>
  <c r="D26" i="2"/>
  <c r="AQ26" i="2" a="1"/>
  <c r="AC26" i="2" a="1"/>
  <c r="C14" i="89" a="1"/>
  <c r="AC26" i="2" l="1"/>
  <c r="AQ26" i="2"/>
  <c r="C14" i="89"/>
  <c r="S14" i="89" a="1"/>
  <c r="AB14" i="89" a="1"/>
  <c r="AA25" i="2" a="1"/>
  <c r="AB14" i="89" l="1"/>
  <c r="S14" i="89"/>
  <c r="AA25" i="2"/>
  <c r="T13" i="89" a="1"/>
  <c r="T13" i="89"/>
  <c r="AD23" i="2" a="1"/>
  <c r="AD23" i="2"/>
  <c r="F26" i="2" a="1"/>
  <c r="F26" i="2"/>
  <c r="AD21" i="2" a="1"/>
  <c r="AD21" i="2"/>
  <c r="V63" i="89" a="1"/>
  <c r="V63" i="89"/>
  <c r="D10" i="2" a="1"/>
  <c r="D10" i="2"/>
  <c r="AQ10" i="2" a="1"/>
  <c r="AC10" i="2" a="1"/>
  <c r="C223" i="89" a="1"/>
  <c r="AC10" i="2" l="1"/>
  <c r="AQ10" i="2"/>
  <c r="C223" i="89"/>
  <c r="S223" i="89" a="1"/>
  <c r="AB223" i="89" a="1"/>
  <c r="AD14" i="2" a="1"/>
  <c r="AB223" i="89" l="1"/>
  <c r="S223" i="89"/>
  <c r="AD14" i="2"/>
  <c r="R223" i="89" a="1"/>
  <c r="V179" i="89" a="1"/>
  <c r="R223" i="89" l="1"/>
  <c r="V179" i="89"/>
  <c r="V170" i="89" a="1"/>
  <c r="V170" i="89"/>
  <c r="AR21" i="2" a="1"/>
  <c r="AR21" i="2"/>
  <c r="E9" i="2" a="1"/>
  <c r="E9" i="2"/>
  <c r="E23" i="2" a="1"/>
  <c r="E23" i="2"/>
  <c r="F16" i="2" a="1"/>
  <c r="F16" i="2"/>
  <c r="D9" i="2" a="1"/>
  <c r="D9" i="2"/>
  <c r="AQ9" i="2" a="1"/>
  <c r="AC9" i="2" a="1"/>
  <c r="C222" i="89" a="1"/>
  <c r="AC9" i="2" l="1"/>
  <c r="AQ9" i="2"/>
  <c r="C222" i="89"/>
  <c r="AB222" i="89" a="1"/>
  <c r="C10" i="2" a="1"/>
  <c r="AB222" i="89" l="1"/>
  <c r="C10" i="2"/>
  <c r="AA26" i="2" a="1"/>
  <c r="AA26" i="2"/>
  <c r="T14" i="89" a="1"/>
  <c r="T14" i="89"/>
  <c r="R14" i="89" a="1"/>
  <c r="AA12" i="2" a="1"/>
  <c r="R14" i="89" l="1"/>
  <c r="AA12" i="2"/>
  <c r="E12" i="2" a="1"/>
  <c r="E12" i="2"/>
  <c r="F23" i="2" a="1"/>
  <c r="F23" i="2"/>
  <c r="T12" i="2" a="1"/>
  <c r="T12" i="2"/>
  <c r="E14" i="2" a="1"/>
  <c r="E14" i="2" l="1"/>
  <c r="C21" i="2" a="1"/>
  <c r="C21" i="2"/>
  <c r="F25" i="2" a="1"/>
  <c r="F25" i="2"/>
  <c r="T26" i="2" a="1"/>
  <c r="T26" i="2"/>
  <c r="O14" i="89" a="1"/>
  <c r="O14" i="89"/>
  <c r="AR16" i="2" a="1"/>
  <c r="AR16" i="2" l="1"/>
  <c r="C23" i="2" a="1"/>
  <c r="C23" i="2"/>
  <c r="D25" i="2" a="1"/>
  <c r="D25" i="2"/>
  <c r="AQ25" i="2" a="1"/>
  <c r="AC25" i="2" a="1"/>
  <c r="C13" i="89" a="1"/>
  <c r="AC25" i="2" l="1"/>
  <c r="AQ25" i="2"/>
  <c r="C13" i="89"/>
  <c r="AB13" i="89" a="1"/>
  <c r="F14" i="2" a="1"/>
  <c r="AB13" i="89" l="1"/>
  <c r="F14" i="2"/>
  <c r="T21" i="2" a="1"/>
  <c r="T21" i="2"/>
  <c r="O63" i="89" a="1"/>
  <c r="O63" i="89"/>
  <c r="AR9" i="2" a="1"/>
  <c r="AR9" i="2" l="1"/>
  <c r="D12" i="2" a="1"/>
  <c r="D12" i="2"/>
  <c r="Z12" i="2"/>
  <c r="AV12" i="2" s="1" a="1"/>
  <c r="AQ12" i="2" a="1"/>
  <c r="AC12" i="2" a="1"/>
  <c r="AC12" i="2" l="1"/>
  <c r="AQ12" i="2"/>
  <c r="AV12" i="2"/>
  <c r="AB8" i="89" a="1"/>
  <c r="AB8" i="89" l="1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AG54" i="338"/>
  <c r="AI54" i="338" a="1"/>
  <c r="AI54" i="338"/>
  <c r="F16" i="446" a="1"/>
  <c r="F16" i="446"/>
  <c r="AI8" i="338" a="1"/>
  <c r="AI8" i="338"/>
  <c r="AI50" i="338" a="1"/>
  <c r="AI50" i="338"/>
  <c r="AI46" i="338" a="1"/>
  <c r="AI46" i="338"/>
  <c r="AI32" i="338" a="1"/>
  <c r="AI32" i="338"/>
  <c r="AK54" i="338" a="1"/>
  <c r="AK54" i="338"/>
  <c r="AK8" i="338" a="1"/>
  <c r="AK8" i="338"/>
  <c r="AK50" i="338" a="1"/>
  <c r="AK50" i="338"/>
  <c r="AK46" i="338" a="1"/>
  <c r="AK46" i="338"/>
  <c r="AK32" i="338" a="1"/>
  <c r="AK32" i="338"/>
  <c r="G16" i="446" a="1"/>
  <c r="G16" i="446"/>
  <c r="AG8" i="338"/>
  <c r="AG50" i="338"/>
  <c r="AG46" i="338"/>
  <c r="AG32" i="338"/>
  <c r="G9" i="446" a="1"/>
  <c r="G9" i="446"/>
  <c r="F9" i="446" a="1"/>
  <c r="F9" i="446"/>
  <c r="F13" i="252" a="1"/>
  <c r="F13" i="252"/>
  <c r="M13" i="252" a="1"/>
  <c r="M13" i="252"/>
  <c r="O13" i="252" a="1"/>
  <c r="O13" i="252"/>
  <c r="L13" i="252" a="1"/>
  <c r="L13" i="252"/>
  <c r="N13" i="252" a="1"/>
  <c r="N13" i="252"/>
  <c r="AC27" i="1" a="1"/>
  <c r="AC27" i="1"/>
  <c r="E5" i="1" a="1"/>
  <c r="E5" i="1"/>
  <c r="AI24" i="1"/>
  <c r="AC24" i="1" a="1"/>
  <c r="AC24" i="1"/>
  <c r="AF26" i="1"/>
  <c r="AC25" i="1" a="1"/>
  <c r="AC25" i="1"/>
  <c r="AB18" i="1"/>
  <c r="AB19" i="1"/>
  <c r="AF12" i="1"/>
  <c r="AI26" i="1"/>
  <c r="AC12" i="1"/>
  <c r="AB26" i="1"/>
  <c r="AI25" i="1"/>
  <c r="AB13" i="1"/>
  <c r="AI17" i="1"/>
  <c r="AF27" i="1"/>
  <c r="AC33" i="1" a="1"/>
  <c r="AC33" i="1"/>
  <c r="AC17" i="1"/>
  <c r="AI12" i="1"/>
  <c r="AC19" i="1" a="1"/>
  <c r="AC19" i="1"/>
  <c r="K9" i="1" a="1"/>
  <c r="K9" i="1"/>
  <c r="AC18" i="1" a="1"/>
  <c r="AC18" i="1"/>
  <c r="AF19" i="1"/>
  <c r="AI18" i="1"/>
  <c r="AC26" i="1" a="1"/>
  <c r="AC26" i="1"/>
  <c r="AB25" i="1"/>
  <c r="AI33" i="1"/>
  <c r="AF17" i="1"/>
  <c r="K12" i="1" a="1"/>
  <c r="K12" i="1"/>
  <c r="AB27" i="1"/>
  <c r="AI13" i="1"/>
  <c r="AF13" i="1"/>
  <c r="AC13" i="1"/>
  <c r="AF18" i="1"/>
  <c r="AF25" i="1"/>
  <c r="AB33" i="1"/>
  <c r="AI27" i="1"/>
  <c r="AF33" i="1"/>
  <c r="AB17" i="1"/>
  <c r="AB12" i="1"/>
  <c r="AI19" i="1"/>
  <c r="AB24" i="1"/>
  <c r="AF24" i="1"/>
  <c r="F4" i="2" a="1"/>
  <c r="F4" i="2"/>
  <c r="E154" i="89" a="1"/>
  <c r="E154" i="89"/>
  <c r="AD4" i="2" a="1"/>
  <c r="AD4" i="2"/>
  <c r="V154" i="89" a="1"/>
  <c r="V154" i="89"/>
  <c r="AA4" i="2" a="1"/>
  <c r="AA4" i="2"/>
  <c r="T154" i="89" a="1"/>
  <c r="T154" i="89"/>
  <c r="AR4" i="2" a="1"/>
  <c r="AR4" i="2"/>
  <c r="E4" i="2" a="1"/>
  <c r="E4" i="2"/>
  <c r="D154" i="89" a="1"/>
  <c r="D154" i="89"/>
  <c r="D4" i="2" a="1"/>
  <c r="D4" i="2"/>
  <c r="C154" i="89" a="1"/>
  <c r="C154" i="89"/>
  <c r="E204" i="89" a="1"/>
  <c r="E204" i="89"/>
  <c r="E224" i="89" a="1"/>
  <c r="E224" i="89"/>
  <c r="E50" i="89" a="1"/>
  <c r="E50" i="89"/>
  <c r="E68" i="89"/>
  <c r="E55" i="89" a="1"/>
  <c r="E55" i="89"/>
  <c r="E49" i="89" a="1"/>
  <c r="E49" i="89"/>
  <c r="D204" i="89" a="1"/>
  <c r="D204" i="89"/>
  <c r="D224" i="89" a="1"/>
  <c r="D224" i="89"/>
  <c r="E225" i="89" a="1"/>
  <c r="E225" i="89"/>
  <c r="D49" i="89" a="1"/>
  <c r="D49" i="89"/>
  <c r="D225" i="89" a="1"/>
  <c r="D225" i="89"/>
  <c r="D195" i="89" a="1"/>
  <c r="D195" i="89"/>
  <c r="D68" i="89"/>
  <c r="D50" i="89" a="1"/>
  <c r="D50" i="89"/>
  <c r="E195" i="89" a="1"/>
  <c r="E195" i="89"/>
  <c r="D55" i="89" a="1"/>
  <c r="D55" i="89"/>
  <c r="D69" i="89" a="1"/>
  <c r="D69" i="89"/>
  <c r="E82" i="89" a="1"/>
  <c r="E82" i="89"/>
  <c r="D76" i="89" a="1"/>
  <c r="D76" i="89"/>
  <c r="O82" i="89" a="1"/>
  <c r="O82" i="89"/>
  <c r="E76" i="89" a="1"/>
  <c r="E76" i="89"/>
  <c r="V82" i="89" a="1"/>
  <c r="V82" i="89"/>
  <c r="V69" i="89" a="1"/>
  <c r="V69" i="89"/>
  <c r="T69" i="89" a="1"/>
  <c r="T69" i="89"/>
  <c r="T81" i="89" a="1"/>
  <c r="T81" i="89"/>
  <c r="T76" i="89" a="1"/>
  <c r="T76" i="89"/>
  <c r="C82" i="89" a="1"/>
  <c r="C82" i="89"/>
  <c r="S82" i="89" a="1"/>
  <c r="AB82" i="89" a="1"/>
  <c r="C81" i="89" a="1"/>
  <c r="AB82" i="89" l="1"/>
  <c r="S82" i="89"/>
  <c r="C81" i="89"/>
  <c r="AB81" i="89" a="1"/>
  <c r="C76" i="89" a="1"/>
  <c r="AB81" i="89" l="1"/>
  <c r="C76" i="89"/>
  <c r="AB76" i="89" a="1"/>
  <c r="V81" i="89" a="1"/>
  <c r="AB76" i="89" l="1"/>
  <c r="V81" i="89"/>
  <c r="V76" i="89" a="1"/>
  <c r="V76" i="89"/>
  <c r="O81" i="89" a="1"/>
  <c r="O81" i="89"/>
  <c r="O76" i="89" a="1"/>
  <c r="O76" i="89" l="1"/>
  <c r="O69" i="89" a="1"/>
  <c r="O69" i="89"/>
  <c r="E69" i="89" a="1"/>
  <c r="E69" i="89" l="1"/>
  <c r="T82" i="89" a="1"/>
  <c r="T82" i="89"/>
  <c r="R82" i="89" a="1"/>
  <c r="D82" i="89" a="1"/>
  <c r="R82" i="89" l="1"/>
  <c r="D82" i="89"/>
  <c r="C69" i="89" a="1"/>
  <c r="C69" i="89"/>
  <c r="AB69" i="89" a="1"/>
  <c r="E9" i="1"/>
  <c r="AH9" i="338" a="1"/>
  <c r="AB69" i="89" l="1"/>
  <c r="AH9" i="338"/>
  <c r="AH8" i="338" a="1"/>
  <c r="AH8" i="338"/>
  <c r="E2" i="1" a="1"/>
  <c r="E2" i="1"/>
  <c r="AG9" i="338"/>
  <c r="AF36" i="1"/>
  <c r="AK9" i="338" a="1"/>
  <c r="AK9" i="338"/>
  <c r="AJ9" i="338" a="1"/>
  <c r="AJ9" i="338"/>
  <c r="AJ8" i="338" a="1"/>
  <c r="AJ8" i="338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1" i="1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F18" i="338"/>
  <c r="AF17" i="338"/>
  <c r="AF34" i="1"/>
  <c r="AI23" i="1"/>
  <c r="AF35" i="338"/>
  <c r="AF14" i="338"/>
  <c r="AF30" i="1"/>
  <c r="AI36" i="1"/>
  <c r="AC34" i="1"/>
  <c r="E7" i="1" a="1"/>
  <c r="E7" i="1"/>
  <c r="AC29" i="1" a="1"/>
  <c r="AC29" i="1"/>
  <c r="D35" i="446" a="1"/>
  <c r="D35" i="446"/>
  <c r="G26" i="446" a="1"/>
  <c r="G26" i="446"/>
  <c r="AJ18" i="338" a="1"/>
  <c r="AJ18" i="338"/>
  <c r="AJ17" i="338" a="1"/>
  <c r="AJ17" i="338"/>
  <c r="AI9" i="338" a="1"/>
  <c r="AI9" i="338"/>
  <c r="AB34" i="1"/>
  <c r="F14" i="446" a="1"/>
  <c r="F14" i="446"/>
  <c r="AB36" i="1"/>
  <c r="F19" i="446" a="1"/>
  <c r="F19" i="446"/>
  <c r="AB21" i="1"/>
  <c r="F26" i="446" a="1"/>
  <c r="F26" i="446"/>
  <c r="AC21" i="1" a="1"/>
  <c r="AC21" i="1"/>
  <c r="D26" i="446" a="1"/>
  <c r="D26" i="446"/>
  <c r="AC36" i="1"/>
  <c r="AC23" i="1" a="1"/>
  <c r="AC23" i="1"/>
  <c r="D30" i="446" a="1"/>
  <c r="D30" i="446"/>
  <c r="AF34" i="338"/>
  <c r="AF13" i="338"/>
  <c r="AF29" i="1"/>
  <c r="G30" i="446" a="1"/>
  <c r="G30" i="446"/>
  <c r="AJ34" i="338" a="1"/>
  <c r="AJ34" i="338"/>
  <c r="AJ13" i="338" a="1"/>
  <c r="AJ13" i="338"/>
  <c r="AC30" i="1" a="1"/>
  <c r="AC30" i="1"/>
  <c r="D36" i="446" a="1"/>
  <c r="D36" i="446"/>
  <c r="AF9" i="338"/>
  <c r="AF8" i="338"/>
  <c r="AF23" i="1"/>
  <c r="AI29" i="1"/>
  <c r="AJ33" i="338" a="1"/>
  <c r="AJ33" i="338"/>
  <c r="AJ11" i="338" a="1"/>
  <c r="AJ11" i="338"/>
  <c r="AJ10" i="338" a="1"/>
  <c r="AJ10" i="338"/>
  <c r="AI34" i="1"/>
  <c r="AB23" i="1"/>
  <c r="F30" i="446" a="1"/>
  <c r="F30" i="446"/>
  <c r="AI30" i="1"/>
  <c r="G35" i="446" a="1"/>
  <c r="G35" i="446"/>
  <c r="AB30" i="1"/>
  <c r="F36" i="446" a="1"/>
  <c r="F36" i="446"/>
  <c r="E3" i="1"/>
  <c r="AH34" i="338" a="1"/>
  <c r="AH34" i="338"/>
  <c r="AH13" i="338" a="1"/>
  <c r="AH13" i="338"/>
  <c r="AB29" i="1"/>
  <c r="F35" i="446" a="1"/>
  <c r="F35" i="446"/>
  <c r="G14" i="446" a="1"/>
  <c r="G14" i="446"/>
  <c r="AI21" i="1"/>
  <c r="T6" i="2" a="1"/>
  <c r="T6" i="2"/>
  <c r="O55" i="89" a="1"/>
  <c r="O55" i="89"/>
  <c r="E7" i="2" a="1"/>
  <c r="E7" i="2"/>
  <c r="T7" i="2" a="1"/>
  <c r="T7" i="2"/>
  <c r="O56" i="89" a="1"/>
  <c r="O56" i="89"/>
  <c r="F11" i="2" a="1"/>
  <c r="F11" i="2" l="1"/>
  <c r="AD11" i="2" a="1"/>
  <c r="AD11" i="2"/>
  <c r="V7" i="89" a="1"/>
  <c r="V7" i="89"/>
  <c r="D6" i="2" a="1"/>
  <c r="D6" i="2"/>
  <c r="AC6" i="2" a="1"/>
  <c r="AQ6" i="2" a="1"/>
  <c r="C55" i="89" a="1"/>
  <c r="AQ6" i="2" l="1"/>
  <c r="AC6" i="2"/>
  <c r="C55" i="89"/>
  <c r="AB55" i="89" a="1"/>
  <c r="AA6" i="2" a="1"/>
  <c r="AB55" i="89" l="1"/>
  <c r="AA6" i="2"/>
  <c r="T55" i="89" a="1"/>
  <c r="T55" i="89"/>
  <c r="C7" i="2" a="1"/>
  <c r="C7" i="2"/>
  <c r="E6" i="2" a="1"/>
  <c r="E6" i="2"/>
  <c r="AR7" i="2" a="1"/>
  <c r="AR7" i="2"/>
  <c r="F6" i="2" a="1"/>
  <c r="F6" i="2"/>
  <c r="AR6" i="2" a="1"/>
  <c r="AR6" i="2"/>
  <c r="D7" i="2" a="1"/>
  <c r="D7" i="2"/>
  <c r="AC7" i="2" a="1"/>
  <c r="AQ7" i="2" a="1"/>
  <c r="C56" i="89" a="1"/>
  <c r="AQ7" i="2" l="1"/>
  <c r="AC7" i="2"/>
  <c r="C56" i="89"/>
  <c r="S56" i="89" a="1"/>
  <c r="AB56" i="89" a="1"/>
  <c r="F7" i="2" a="1"/>
  <c r="AB56" i="89" l="1"/>
  <c r="S56" i="89"/>
  <c r="F7" i="2"/>
  <c r="T11" i="2" a="1"/>
  <c r="T11" i="2"/>
  <c r="O7" i="89" a="1"/>
  <c r="O7" i="89"/>
  <c r="D11" i="2" a="1"/>
  <c r="D11" i="2" l="1"/>
  <c r="AQ11" i="2" a="1"/>
  <c r="AC11" i="2" a="1"/>
  <c r="C7" i="89" a="1"/>
  <c r="AC11" i="2" l="1"/>
  <c r="AQ11" i="2"/>
  <c r="C7" i="89"/>
  <c r="AB7" i="89" a="1"/>
  <c r="AD6" i="2" a="1"/>
  <c r="AB7" i="89" l="1"/>
  <c r="AD6" i="2"/>
  <c r="V55" i="89" a="1"/>
  <c r="V55" i="89"/>
  <c r="C6" i="2" a="1"/>
  <c r="C6" i="2"/>
  <c r="AA7" i="2" a="1"/>
  <c r="AA7" i="2"/>
  <c r="T56" i="89" a="1"/>
  <c r="T56" i="89"/>
  <c r="R56" i="89" a="1"/>
  <c r="C11" i="2" a="1"/>
  <c r="R56" i="89" l="1"/>
  <c r="C11" i="2"/>
  <c r="AA11" i="2" a="1"/>
  <c r="AA11" i="2"/>
  <c r="T7" i="89" a="1"/>
  <c r="T7" i="89"/>
  <c r="E11" i="2" a="1"/>
  <c r="E11" i="2"/>
  <c r="AR11" i="2" a="1"/>
  <c r="AR11" i="2"/>
  <c r="AD7" i="2" a="1"/>
  <c r="AD7" i="2"/>
  <c r="V56" i="89" a="1"/>
  <c r="V56" i="89"/>
  <c r="D223" i="89" a="1"/>
  <c r="D223" i="89"/>
  <c r="D19" i="89"/>
  <c r="D14" i="89" a="1"/>
  <c r="D14" i="89"/>
  <c r="D222" i="89" a="1"/>
  <c r="D222" i="89"/>
  <c r="E13" i="89" a="1"/>
  <c r="E13" i="89"/>
  <c r="E56" i="89" a="1"/>
  <c r="E56" i="89"/>
  <c r="D81" i="89" a="1"/>
  <c r="D81" i="89"/>
  <c r="D205" i="89" a="1"/>
  <c r="D205" i="89"/>
  <c r="D203" i="89" a="1"/>
  <c r="D203" i="89"/>
  <c r="E223" i="89" a="1"/>
  <c r="E223" i="89"/>
  <c r="E203" i="89" a="1"/>
  <c r="E203" i="89"/>
  <c r="E205" i="89" a="1"/>
  <c r="E205" i="89"/>
  <c r="E81" i="89" a="1"/>
  <c r="E81" i="89"/>
  <c r="E14" i="89" a="1"/>
  <c r="E14" i="89"/>
  <c r="D56" i="89" a="1"/>
  <c r="D56" i="89"/>
  <c r="E222" i="89" a="1"/>
  <c r="E222" i="89"/>
  <c r="E19" i="89"/>
  <c r="D13" i="89" a="1"/>
  <c r="D13" i="89"/>
  <c r="F18" i="446" a="1"/>
  <c r="F18" i="446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13" i="338" a="1"/>
  <c r="AK13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G53" i="338"/>
  <c r="AG10" i="338"/>
  <c r="AF48" i="338"/>
  <c r="AF47" i="338"/>
  <c r="AF44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G22" i="446" a="1"/>
  <c r="G22" i="446"/>
  <c r="F24" i="446" a="1"/>
  <c r="F24" i="446"/>
  <c r="K3" i="1" a="1"/>
  <c r="K3" i="1"/>
  <c r="F22" i="446" a="1"/>
  <c r="F22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K6" i="1" a="1"/>
  <c r="K6" i="1"/>
  <c r="AK49" i="338" a="1"/>
  <c r="AK49" i="338"/>
  <c r="AK48" i="338" a="1"/>
  <c r="AK48" i="338"/>
  <c r="AF54" i="338"/>
  <c r="AF53" i="338"/>
  <c r="AF52" i="338"/>
  <c r="F17" i="446" a="1"/>
  <c r="F17" i="446"/>
  <c r="F15" i="446" a="1"/>
  <c r="F15" i="446"/>
  <c r="F21" i="446" a="1"/>
  <c r="F21" i="446"/>
  <c r="AI13" i="338" a="1"/>
  <c r="AI13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1" i="1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K8" i="1" a="1"/>
  <c r="K8" i="1"/>
  <c r="AG49" i="338"/>
  <c r="AG48" i="338"/>
  <c r="K5" i="1" a="1"/>
  <c r="K5" i="1"/>
  <c r="G21" i="446" a="1"/>
  <c r="G21" i="446"/>
  <c r="G24" i="446" a="1"/>
  <c r="G24" i="446"/>
  <c r="AG52" i="338"/>
  <c r="AG44" i="338"/>
  <c r="AG39" i="338"/>
  <c r="AG38" i="338"/>
  <c r="AG17" i="338"/>
  <c r="AG16" i="338"/>
  <c r="AG15" i="338"/>
  <c r="K4" i="1" a="1"/>
  <c r="K4" i="1"/>
  <c r="X3" i="1"/>
  <c r="G17" i="446" a="1"/>
  <c r="G17" i="446"/>
  <c r="G18" i="446" a="1"/>
  <c r="G18" i="446"/>
  <c r="E40" i="89" a="1"/>
  <c r="E40" i="89"/>
  <c r="E62" i="89" a="1"/>
  <c r="E62" i="89"/>
  <c r="D197" i="89" a="1"/>
  <c r="D197" i="89"/>
  <c r="E39" i="89" a="1"/>
  <c r="E39" i="89"/>
  <c r="D63" i="89" a="1"/>
  <c r="D63" i="89"/>
  <c r="D20" i="89" a="1"/>
  <c r="D20" i="89"/>
  <c r="E196" i="89" a="1"/>
  <c r="E196" i="89"/>
  <c r="D75" i="89" a="1"/>
  <c r="D75" i="89"/>
  <c r="E75" i="89" a="1"/>
  <c r="E75" i="89"/>
  <c r="E197" i="89" a="1"/>
  <c r="E197" i="89"/>
  <c r="D39" i="89" a="1"/>
  <c r="D39" i="89"/>
  <c r="E20" i="89" a="1"/>
  <c r="E20" i="89"/>
  <c r="D40" i="89" a="1"/>
  <c r="D40" i="89"/>
  <c r="E63" i="89" a="1"/>
  <c r="E63" i="89"/>
  <c r="D196" i="89" a="1"/>
  <c r="D196" i="89"/>
  <c r="D62" i="89" a="1"/>
  <c r="D62" i="89"/>
  <c r="AG23" i="1"/>
  <c r="AG16" i="1"/>
  <c r="AG25" i="1"/>
  <c r="AG34" i="1"/>
  <c r="AG19" i="1"/>
  <c r="AG24" i="1"/>
  <c r="AG13" i="1"/>
  <c r="AG30" i="1"/>
  <c r="AG33" i="1"/>
  <c r="AG27" i="1"/>
  <c r="AG18" i="1"/>
  <c r="AG36" i="1"/>
  <c r="AG21" i="1"/>
  <c r="AG26" i="1"/>
  <c r="AG35" i="1"/>
  <c r="AG29" i="1"/>
  <c r="AG32" i="1"/>
  <c r="AG17" i="1"/>
  <c r="AG28" i="1"/>
  <c r="AG12" i="1"/>
  <c r="E4" i="1" a="1"/>
  <c r="E4" i="1"/>
  <c r="E8" i="1" a="1"/>
  <c r="E8" i="1"/>
  <c r="AJ37" i="338" a="1"/>
  <c r="AJ37" i="338"/>
  <c r="AH37" i="338" a="1"/>
  <c r="AH37" i="338"/>
  <c r="E1" i="1"/>
  <c r="AJ36" i="338" a="1"/>
  <c r="AJ36" i="338"/>
  <c r="AI28" i="1"/>
  <c r="AF37" i="338"/>
  <c r="AF32" i="1"/>
  <c r="AC28" i="1" a="1"/>
  <c r="AC28" i="1"/>
  <c r="AC32" i="1" a="1"/>
  <c r="AC32" i="1"/>
  <c r="AH36" i="338" a="1"/>
  <c r="AH36" i="338"/>
  <c r="AI32" i="1"/>
  <c r="AB28" i="1"/>
  <c r="AB32" i="1"/>
  <c r="AF36" i="338"/>
  <c r="AF28" i="1"/>
  <c r="N95" i="89" a="1"/>
  <c r="N95" i="89"/>
  <c r="Z95" i="89" a="1"/>
  <c r="N82" i="89" a="1"/>
  <c r="Z95" i="89" l="1"/>
  <c r="N82" i="89"/>
  <c r="N76" i="89" a="1"/>
  <c r="N76" i="89" l="1"/>
  <c r="N160" i="89" a="1"/>
  <c r="N160" i="89" l="1"/>
  <c r="Z160" i="89" a="1"/>
  <c r="N102" i="89" a="1"/>
  <c r="Z160" i="89" l="1"/>
  <c r="N102" i="89"/>
  <c r="N101" i="89" a="1"/>
  <c r="N101" i="89"/>
  <c r="Z101" i="89" a="1"/>
  <c r="L36" i="1" a="1"/>
  <c r="Z101" i="89" l="1"/>
  <c r="L36" i="1"/>
  <c r="L35" i="1" a="1"/>
  <c r="L35" i="1"/>
  <c r="L34" i="1" a="1"/>
  <c r="L34" i="1"/>
  <c r="L33" i="1" a="1"/>
  <c r="L33" i="1"/>
  <c r="L32" i="1" a="1"/>
  <c r="L32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3" i="1" a="1"/>
  <c r="L23" i="1"/>
  <c r="L21" i="1" a="1"/>
  <c r="L21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L24" i="1" a="1"/>
  <c r="L24" i="1"/>
  <c r="E6" i="1" a="1"/>
  <c r="E6" i="1"/>
  <c r="F27" i="446" a="1"/>
  <c r="F27" i="446"/>
  <c r="G27" i="446" a="1"/>
  <c r="G27" i="446"/>
  <c r="AK11" i="338" a="1"/>
  <c r="AK11" i="338"/>
  <c r="AI11" i="338" a="1"/>
  <c r="AI11" i="338"/>
  <c r="D27" i="446" a="1"/>
  <c r="D27" i="446"/>
  <c r="AG11" i="338"/>
  <c r="AG14" i="1"/>
  <c r="AC16" i="1"/>
  <c r="AF16" i="1"/>
  <c r="G6" i="446" a="1"/>
  <c r="G6" i="446"/>
  <c r="G5" i="446" a="1"/>
  <c r="G5" i="446"/>
  <c r="AI16" i="1"/>
  <c r="AB16" i="1"/>
  <c r="F6" i="446" a="1"/>
  <c r="F6" i="446"/>
  <c r="F5" i="446" a="1"/>
  <c r="F5" i="446"/>
  <c r="K16" i="1" a="1"/>
  <c r="K16" i="1"/>
  <c r="K10" i="1"/>
  <c r="AB35" i="1"/>
  <c r="AF35" i="1"/>
  <c r="AI35" i="1"/>
  <c r="AC35" i="1"/>
  <c r="O6" i="252" a="1"/>
  <c r="O6" i="252"/>
  <c r="AI14" i="1"/>
  <c r="Y6" i="252" a="1"/>
  <c r="Y6" i="252"/>
  <c r="L6" i="252" a="1"/>
  <c r="L6" i="252"/>
  <c r="AF14" i="1"/>
  <c r="M6" i="252" a="1"/>
  <c r="M6" i="252"/>
  <c r="N6" i="252" a="1"/>
  <c r="N6" i="252"/>
  <c r="AB14" i="1"/>
  <c r="AC14" i="1"/>
  <c r="AK45" i="338" a="1"/>
  <c r="AK45" i="338"/>
  <c r="AG45" i="338"/>
  <c r="AI45" i="338" a="1"/>
  <c r="AI45" i="338"/>
  <c r="K7" i="1"/>
  <c r="AB15" i="1"/>
  <c r="AF15" i="1"/>
  <c r="K15" i="1" a="1"/>
  <c r="K15" i="1"/>
  <c r="AG15" i="1"/>
  <c r="AC15" i="1" a="1"/>
  <c r="AC15" i="1"/>
  <c r="AI15" i="1"/>
  <c r="AF10" i="1" a="1"/>
  <c r="AF10" i="1"/>
  <c r="E10" i="1"/>
  <c r="U55" i="338" a="1"/>
  <c r="U55" i="338"/>
  <c r="V55" i="338" a="1"/>
  <c r="V55" i="338"/>
  <c r="X55" i="338" a="1"/>
  <c r="X55" i="338"/>
  <c r="AK55" i="338" a="1"/>
  <c r="AK55" i="338"/>
  <c r="AK14" i="338" a="1"/>
  <c r="AK14" i="338"/>
  <c r="AJ55" i="338" a="1"/>
  <c r="AJ55" i="338"/>
  <c r="AI55" i="338" a="1"/>
  <c r="AI55" i="338"/>
  <c r="AI14" i="338" a="1"/>
  <c r="AI14" i="338"/>
  <c r="AH55" i="338" a="1"/>
  <c r="AH55" i="338"/>
  <c r="T55" i="338" a="1"/>
  <c r="T55" i="338"/>
  <c r="J1" i="24" a="1"/>
  <c r="J1" i="24"/>
  <c r="K2" i="2" a="1"/>
  <c r="K2" i="2"/>
  <c r="P55" i="338" a="1"/>
  <c r="P55" i="338"/>
  <c r="AB2" i="1" a="1"/>
  <c r="AB2" i="1"/>
  <c r="AD2" i="1" a="1"/>
  <c r="AD2" i="1"/>
  <c r="AC2" i="1" a="1"/>
  <c r="AC2" i="1"/>
  <c r="S55" i="338" a="1"/>
  <c r="S55" i="338"/>
  <c r="L55" i="338" a="1"/>
  <c r="L55" i="338"/>
  <c r="J55" i="338" a="1"/>
  <c r="J55" i="338"/>
  <c r="J14" i="338" a="1"/>
  <c r="J14" i="338"/>
  <c r="H55" i="338" a="1"/>
  <c r="H55" i="338"/>
  <c r="H30" i="1" l="1"/>
  <c r="AN21" i="2" a="1"/>
  <c r="AN21" i="2" l="1"/>
  <c r="L21" i="2" a="1"/>
  <c r="L21" i="2" l="1"/>
  <c r="AN20" i="2" a="1"/>
  <c r="AN20" i="2" l="1"/>
  <c r="L20" i="2" a="1"/>
  <c r="L20" i="2" l="1"/>
  <c r="BA21" i="2"/>
  <c r="BB21" i="2"/>
  <c r="BA20" i="2"/>
  <c r="BB20" i="2"/>
  <c r="AF20" i="2" a="1"/>
  <c r="Q20" i="2" a="1"/>
  <c r="G20" i="2" a="1"/>
  <c r="AF21" i="2" a="1"/>
  <c r="P21" i="2" a="1"/>
  <c r="G21" i="2" a="1"/>
  <c r="Q21" i="2" a="1"/>
  <c r="P20" i="2" a="1"/>
  <c r="BC20" i="2" l="1"/>
  <c r="BC21" i="2"/>
  <c r="G21" i="2"/>
  <c r="P21" i="2"/>
  <c r="Q21" i="2"/>
  <c r="AF21" i="2"/>
  <c r="G20" i="2"/>
  <c r="P20" i="2"/>
  <c r="Q20" i="2"/>
  <c r="AF20" i="2"/>
  <c r="S20" i="2" a="1"/>
  <c r="S21" i="2" a="1"/>
  <c r="R21" i="2" l="1"/>
  <c r="S20" i="2"/>
  <c r="S21" i="2"/>
  <c r="AO21" i="2"/>
  <c r="O21" i="2"/>
  <c r="U21" i="2"/>
  <c r="AP21" i="2"/>
  <c r="U20" i="2"/>
  <c r="O20" i="2"/>
  <c r="AP20" i="2"/>
  <c r="R20" i="2"/>
  <c r="AO20" i="2"/>
  <c r="Z21" i="2"/>
  <c r="AV21" i="2" s="1" a="1"/>
  <c r="AV21" i="2" l="1"/>
  <c r="AT20" i="2"/>
  <c r="AL20" i="2"/>
  <c r="AS20" i="2"/>
  <c r="X20" i="2"/>
  <c r="Y20" i="2" s="1"/>
  <c r="AB20" i="2"/>
  <c r="AM20" i="2"/>
  <c r="M20" i="2"/>
  <c r="AE20" i="2"/>
  <c r="AE21" i="2"/>
  <c r="AS21" i="2"/>
  <c r="AT21" i="2"/>
  <c r="AL21" i="2"/>
  <c r="X21" i="2"/>
  <c r="Y21" i="2" s="1"/>
  <c r="M21" i="2"/>
  <c r="AB21" i="2"/>
  <c r="AM21" i="2"/>
  <c r="AC3" i="1" a="1"/>
  <c r="C10" i="1" a="1"/>
  <c r="I30" i="1" a="1"/>
  <c r="I3" i="1" a="1"/>
  <c r="I13" i="1" a="1"/>
  <c r="I6" i="1" a="1"/>
  <c r="C5" i="1" a="1"/>
  <c r="I36" i="1" a="1"/>
  <c r="I10" i="1" a="1"/>
  <c r="C9" i="1" a="1"/>
  <c r="I5" i="1" a="1"/>
  <c r="I8" i="1" a="1"/>
  <c r="C3" i="1" a="1"/>
  <c r="I7" i="1" a="1"/>
  <c r="I21" i="1" a="1"/>
  <c r="I4" i="1" a="1"/>
  <c r="I17" i="1" a="1"/>
  <c r="I24" i="1" a="1"/>
  <c r="C2" i="1" a="1"/>
  <c r="I12" i="1" a="1"/>
  <c r="I19" i="1" a="1"/>
  <c r="C8" i="1" a="1"/>
  <c r="C4" i="1" a="1"/>
  <c r="I9" i="1" a="1"/>
  <c r="I16" i="1" a="1"/>
  <c r="I1" i="1" a="1"/>
  <c r="I26" i="1" a="1"/>
  <c r="I35" i="1" a="1"/>
  <c r="C1" i="1" a="1"/>
  <c r="C6" i="1" a="1"/>
  <c r="C7" i="1" a="1"/>
  <c r="I25" i="1" a="1"/>
  <c r="I25" i="1" l="1"/>
  <c r="C7" i="1"/>
  <c r="C6" i="1"/>
  <c r="C1" i="1"/>
  <c r="I35" i="1"/>
  <c r="I26" i="1"/>
  <c r="I1" i="1"/>
  <c r="I16" i="1"/>
  <c r="I9" i="1"/>
  <c r="C4" i="1"/>
  <c r="C8" i="1"/>
  <c r="I19" i="1"/>
  <c r="I12" i="1"/>
  <c r="C2" i="1"/>
  <c r="I24" i="1"/>
  <c r="I17" i="1"/>
  <c r="I4" i="1"/>
  <c r="I21" i="1"/>
  <c r="I7" i="1"/>
  <c r="C3" i="1"/>
  <c r="I8" i="1"/>
  <c r="I5" i="1"/>
  <c r="C9" i="1"/>
  <c r="I10" i="1"/>
  <c r="I36" i="1"/>
  <c r="C5" i="1"/>
  <c r="I6" i="1"/>
  <c r="I13" i="1"/>
  <c r="I3" i="1"/>
  <c r="I30" i="1"/>
  <c r="C10" i="1"/>
  <c r="AC3" i="1"/>
  <c r="L62" i="89" a="1"/>
  <c r="L82" i="89" a="1"/>
  <c r="K63" i="89" a="1"/>
  <c r="L63" i="89" a="1"/>
  <c r="F81" i="89"/>
  <c r="K62" i="89" a="1"/>
  <c r="F62" i="89" a="1"/>
  <c r="F63" i="89" a="1"/>
  <c r="K82" i="89" a="1"/>
  <c r="W62" i="89" a="1"/>
  <c r="W82" i="89" a="1"/>
  <c r="W63" i="89" a="1"/>
  <c r="W63" i="89" l="1"/>
  <c r="W82" i="89"/>
  <c r="W62" i="89"/>
  <c r="K82" i="89"/>
  <c r="F63" i="89"/>
  <c r="F62" i="89"/>
  <c r="K62" i="89"/>
  <c r="L63" i="89"/>
  <c r="K63" i="89"/>
  <c r="L82" i="89"/>
  <c r="L62" i="89"/>
  <c r="W81" i="89"/>
  <c r="K81" i="89"/>
  <c r="L81" i="89"/>
  <c r="F75" i="89" a="1"/>
  <c r="W75" i="89" a="1"/>
  <c r="L75" i="89" a="1"/>
  <c r="K75" i="89" a="1"/>
  <c r="K75" i="89" l="1"/>
  <c r="L75" i="89"/>
  <c r="W75" i="89"/>
  <c r="F75" i="89"/>
  <c r="J17" i="1" l="1"/>
  <c r="K76" i="89" a="1"/>
  <c r="L76" i="89" a="1"/>
  <c r="L8" i="2" a="1"/>
  <c r="W76" i="89" a="1"/>
  <c r="W76" i="89" l="1"/>
  <c r="L8" i="2"/>
  <c r="L76" i="89"/>
  <c r="K76" i="89"/>
  <c r="N17" i="1"/>
  <c r="N25" i="1"/>
  <c r="J25" i="1"/>
  <c r="AB212" i="89" a="1"/>
  <c r="AB187" i="89" a="1"/>
  <c r="AB204" i="89" a="1"/>
  <c r="AB204" i="89" l="1"/>
  <c r="AB187" i="89"/>
  <c r="AB212" i="89"/>
  <c r="Q17" i="1"/>
  <c r="S17" i="1"/>
  <c r="Q34" i="1"/>
  <c r="Q36" i="1"/>
  <c r="Q18" i="1"/>
  <c r="S18" i="1"/>
  <c r="Q19" i="1"/>
  <c r="S19" i="1"/>
  <c r="Q24" i="1"/>
  <c r="S24" i="1"/>
  <c r="S34" i="1"/>
  <c r="S35" i="1"/>
  <c r="Q26" i="1"/>
  <c r="S33" i="1"/>
  <c r="Q35" i="1"/>
  <c r="S36" i="1"/>
  <c r="S26" i="1"/>
  <c r="Q30" i="1"/>
  <c r="S30" i="1"/>
  <c r="Q33" i="1"/>
  <c r="BA23" i="2"/>
  <c r="BB23" i="2"/>
  <c r="S188" i="89" a="1"/>
  <c r="P23" i="2" a="1"/>
  <c r="Q23" i="2" a="1"/>
  <c r="AN23" i="2" a="1"/>
  <c r="G23" i="2" a="1"/>
  <c r="S213" i="89" a="1"/>
  <c r="AB188" i="89" a="1"/>
  <c r="AB188" i="89" l="1"/>
  <c r="S213" i="89"/>
  <c r="S188" i="89"/>
  <c r="AN23" i="2"/>
  <c r="BC23" i="2"/>
  <c r="G23" i="2"/>
  <c r="Q23" i="2"/>
  <c r="P23" i="2"/>
  <c r="R213" i="89" a="1"/>
  <c r="R188" i="89" a="1"/>
  <c r="S23" i="2" a="1"/>
  <c r="R213" i="89" l="1"/>
  <c r="R188" i="89"/>
  <c r="R23" i="2"/>
  <c r="S23" i="2"/>
  <c r="AO23" i="2" s="1"/>
  <c r="O23" i="2"/>
  <c r="AP23" i="2" l="1"/>
  <c r="U23" i="2"/>
  <c r="AE23" i="2"/>
  <c r="AT23" i="2"/>
  <c r="AL23" i="2"/>
  <c r="Q25" i="1" s="1"/>
  <c r="AS23" i="2"/>
  <c r="X23" i="2"/>
  <c r="Y23" i="2" s="1"/>
  <c r="AB23" i="2"/>
  <c r="AM23" i="2"/>
  <c r="M23" i="2"/>
  <c r="I33" i="1" a="1"/>
  <c r="I23" i="1" a="1"/>
  <c r="I28" i="1" a="1"/>
  <c r="I32" i="1" a="1"/>
  <c r="I32" i="1" l="1"/>
  <c r="I28" i="1"/>
  <c r="I33" i="1"/>
  <c r="I23" i="1"/>
  <c r="T25" i="1" l="1"/>
  <c r="Z19" i="2"/>
  <c r="AV19" i="2" s="1" a="1"/>
  <c r="S26" i="89" a="1"/>
  <c r="AV19" i="2" l="1"/>
  <c r="S26" i="89"/>
  <c r="R26" i="89" a="1"/>
  <c r="R26" i="89" l="1"/>
  <c r="I34" i="1" a="1"/>
  <c r="I29" i="1" a="1"/>
  <c r="I27" i="1" a="1"/>
  <c r="I34" i="1" l="1"/>
  <c r="I29" i="1"/>
  <c r="I27" i="1"/>
  <c r="J6" i="2" l="1"/>
  <c r="K6" i="2" s="1"/>
  <c r="J4" i="2"/>
  <c r="BB12" i="2" l="1"/>
  <c r="BA12" i="2"/>
  <c r="BB11" i="2"/>
  <c r="BA11" i="2"/>
  <c r="P12" i="2" a="1"/>
  <c r="L12" i="2" a="1"/>
  <c r="P11" i="2" a="1"/>
  <c r="Q12" i="2" a="1"/>
  <c r="AF12" i="2" a="1"/>
  <c r="AN12" i="2" a="1"/>
  <c r="L11" i="2" a="1"/>
  <c r="Q11" i="2" a="1"/>
  <c r="AF11" i="2" a="1"/>
  <c r="AN11" i="2" a="1"/>
  <c r="G11" i="2" a="1"/>
  <c r="G12" i="2" a="1"/>
  <c r="BC11" i="2" l="1"/>
  <c r="BC12" i="2"/>
  <c r="AN12" i="2"/>
  <c r="L12" i="2"/>
  <c r="G12" i="2"/>
  <c r="P11" i="2"/>
  <c r="AF12" i="2"/>
  <c r="AN11" i="2"/>
  <c r="G11" i="2"/>
  <c r="P12" i="2"/>
  <c r="AF11" i="2"/>
  <c r="L11" i="2"/>
  <c r="Q11" i="2"/>
  <c r="Q12" i="2"/>
  <c r="S11" i="2" a="1"/>
  <c r="S12" i="2" a="1"/>
  <c r="J35" i="1" l="1"/>
  <c r="N35" i="1"/>
  <c r="S12" i="2"/>
  <c r="S11" i="2"/>
  <c r="U11" i="2" s="1"/>
  <c r="O12" i="2"/>
  <c r="AP12" i="2"/>
  <c r="U12" i="2"/>
  <c r="R12" i="2"/>
  <c r="AO12" i="2"/>
  <c r="AO11" i="2"/>
  <c r="R11" i="2"/>
  <c r="O11" i="2"/>
  <c r="Z11" i="2"/>
  <c r="AV11" i="2" s="1" a="1"/>
  <c r="AV11" i="2" l="1"/>
  <c r="AE11" i="2"/>
  <c r="AP11" i="2"/>
  <c r="AE12" i="2"/>
  <c r="AT11" i="2"/>
  <c r="AS11" i="2"/>
  <c r="AL11" i="2"/>
  <c r="X11" i="2"/>
  <c r="Y11" i="2" s="1"/>
  <c r="AM11" i="2"/>
  <c r="AB11" i="2"/>
  <c r="M11" i="2"/>
  <c r="AS12" i="2"/>
  <c r="AL12" i="2"/>
  <c r="AT12" i="2"/>
  <c r="AM12" i="2"/>
  <c r="M12" i="2"/>
  <c r="X12" i="2"/>
  <c r="Y12" i="2" s="1"/>
  <c r="AB12" i="2"/>
  <c r="F153" i="89" a="1"/>
  <c r="T17" i="1" l="1"/>
  <c r="F153" i="89"/>
  <c r="K153" i="89" a="1"/>
  <c r="K153" i="89" l="1"/>
  <c r="L153" i="89" a="1"/>
  <c r="L153" i="89" l="1"/>
  <c r="W153" i="89" a="1"/>
  <c r="W153" i="89" l="1"/>
  <c r="I18" i="1" a="1"/>
  <c r="I18" i="1" l="1"/>
  <c r="N16" i="1" l="1"/>
  <c r="J16" i="1"/>
  <c r="N19" i="1"/>
  <c r="J19" i="1"/>
  <c r="N18" i="1"/>
  <c r="J18" i="1"/>
  <c r="J36" i="1" l="1"/>
  <c r="N36" i="1" l="1"/>
  <c r="W19" i="252" l="1"/>
  <c r="T19" i="252"/>
  <c r="W10" i="252"/>
  <c r="T8" i="252"/>
  <c r="W17" i="252"/>
  <c r="T11" i="252"/>
  <c r="T10" i="252"/>
  <c r="W18" i="252"/>
  <c r="T17" i="252"/>
  <c r="W16" i="252"/>
  <c r="T16" i="252"/>
  <c r="T14" i="252"/>
  <c r="W8" i="252"/>
  <c r="T18" i="252"/>
  <c r="W11" i="252"/>
  <c r="W14" i="252"/>
  <c r="T18" i="1" l="1"/>
  <c r="Q16" i="1"/>
  <c r="T16" i="1" s="1"/>
  <c r="T19" i="1"/>
  <c r="T36" i="1"/>
  <c r="S8" i="89" a="1"/>
  <c r="S8" i="89" l="1"/>
  <c r="T35" i="1"/>
  <c r="R8" i="89" a="1"/>
  <c r="R8" i="89" l="1"/>
  <c r="J10" i="252" a="1"/>
  <c r="J17" i="252" a="1"/>
  <c r="J20" i="252" a="1"/>
  <c r="J15" i="252" a="1"/>
  <c r="J12" i="252" a="1"/>
  <c r="J13" i="252" a="1"/>
  <c r="J14" i="252" a="1"/>
  <c r="J6" i="252" a="1"/>
  <c r="J8" i="252" a="1"/>
  <c r="J9" i="252" a="1"/>
  <c r="J19" i="252" a="1"/>
  <c r="J16" i="252" a="1"/>
  <c r="J11" i="252" a="1"/>
  <c r="J7" i="252" a="1"/>
  <c r="J18" i="252" a="1"/>
  <c r="J18" i="252" l="1"/>
  <c r="J7" i="252"/>
  <c r="J11" i="252"/>
  <c r="J16" i="252"/>
  <c r="J19" i="252"/>
  <c r="J9" i="252"/>
  <c r="J8" i="252"/>
  <c r="J6" i="252"/>
  <c r="J14" i="252"/>
  <c r="J13" i="252"/>
  <c r="J12" i="252"/>
  <c r="J15" i="252"/>
  <c r="J20" i="252"/>
  <c r="J17" i="252"/>
  <c r="J10" i="252"/>
  <c r="W20" i="252" l="1"/>
  <c r="T20" i="252"/>
  <c r="W7" i="252"/>
  <c r="T7" i="252"/>
  <c r="R165" i="444" l="1"/>
  <c r="T165" i="444" s="1"/>
  <c r="U165" i="444" s="1"/>
  <c r="G165" i="444"/>
  <c r="R164" i="444"/>
  <c r="S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T160" i="444"/>
  <c r="U160" i="444" s="1"/>
  <c r="V160" i="444" s="1"/>
  <c r="W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R157" i="444"/>
  <c r="S157" i="444" s="1"/>
  <c r="G157" i="444"/>
  <c r="R156" i="444"/>
  <c r="T156" i="444" s="1"/>
  <c r="U156" i="444" s="1"/>
  <c r="G156" i="444"/>
  <c r="R155" i="444"/>
  <c r="T155" i="444" s="1"/>
  <c r="U155" i="444" s="1"/>
  <c r="G155" i="444"/>
  <c r="S154" i="444"/>
  <c r="R154" i="444"/>
  <c r="T154" i="444" s="1"/>
  <c r="U154" i="444" s="1"/>
  <c r="V154" i="444" s="1"/>
  <c r="W154" i="444" s="1"/>
  <c r="G154" i="444"/>
  <c r="R153" i="444"/>
  <c r="G153" i="444"/>
  <c r="R152" i="444"/>
  <c r="T152" i="444" s="1"/>
  <c r="U152" i="444" s="1"/>
  <c r="G152" i="444"/>
  <c r="T151" i="444"/>
  <c r="U151" i="444" s="1"/>
  <c r="R151" i="444"/>
  <c r="S151" i="444" s="1"/>
  <c r="G151" i="444"/>
  <c r="S150" i="444"/>
  <c r="R150" i="444"/>
  <c r="T150" i="444" s="1"/>
  <c r="U150" i="444" s="1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S147" i="444"/>
  <c r="R147" i="444"/>
  <c r="G147" i="444"/>
  <c r="T146" i="444"/>
  <c r="U146" i="444" s="1"/>
  <c r="V146" i="444" s="1"/>
  <c r="W146" i="444" s="1"/>
  <c r="S146" i="444"/>
  <c r="R146" i="444"/>
  <c r="G146" i="444"/>
  <c r="R145" i="444"/>
  <c r="T145" i="444" s="1"/>
  <c r="U145" i="444" s="1"/>
  <c r="G145" i="444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S141" i="444"/>
  <c r="R141" i="444"/>
  <c r="T141" i="444" s="1"/>
  <c r="U141" i="444" s="1"/>
  <c r="G141" i="444"/>
  <c r="T140" i="444"/>
  <c r="U140" i="444" s="1"/>
  <c r="V140" i="444" s="1"/>
  <c r="W140" i="444" s="1"/>
  <c r="S140" i="444"/>
  <c r="R140" i="444"/>
  <c r="G140" i="444"/>
  <c r="R139" i="444"/>
  <c r="T139" i="444" s="1"/>
  <c r="U139" i="444" s="1"/>
  <c r="G139" i="444"/>
  <c r="R138" i="444"/>
  <c r="T138" i="444" s="1"/>
  <c r="U138" i="444" s="1"/>
  <c r="G138" i="444"/>
  <c r="T137" i="444"/>
  <c r="U137" i="444" s="1"/>
  <c r="R137" i="444"/>
  <c r="S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V134" i="444" s="1"/>
  <c r="W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S128" i="444"/>
  <c r="R128" i="444"/>
  <c r="T128" i="444" s="1"/>
  <c r="U128" i="444" s="1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T120" i="444"/>
  <c r="U120" i="444" s="1"/>
  <c r="V120" i="444" s="1"/>
  <c r="W120" i="444" s="1"/>
  <c r="S120" i="444"/>
  <c r="R120" i="444"/>
  <c r="G120" i="444"/>
  <c r="R119" i="444"/>
  <c r="T119" i="444" s="1"/>
  <c r="U119" i="444" s="1"/>
  <c r="G119" i="444"/>
  <c r="R118" i="444"/>
  <c r="T118" i="444" s="1"/>
  <c r="U118" i="444" s="1"/>
  <c r="G118" i="444"/>
  <c r="T117" i="444"/>
  <c r="U117" i="444" s="1"/>
  <c r="R117" i="444"/>
  <c r="S117" i="444" s="1"/>
  <c r="G117" i="444"/>
  <c r="R116" i="444"/>
  <c r="T116" i="444" s="1"/>
  <c r="U116" i="444" s="1"/>
  <c r="G116" i="444"/>
  <c r="T115" i="444"/>
  <c r="U115" i="444" s="1"/>
  <c r="R115" i="444"/>
  <c r="S115" i="444" s="1"/>
  <c r="G115" i="444"/>
  <c r="T114" i="444"/>
  <c r="U114" i="444" s="1"/>
  <c r="V114" i="444" s="1"/>
  <c r="W114" i="444" s="1"/>
  <c r="S114" i="444"/>
  <c r="R114" i="444"/>
  <c r="G114" i="444"/>
  <c r="R113" i="444"/>
  <c r="G113" i="444"/>
  <c r="T112" i="444"/>
  <c r="U112" i="444" s="1"/>
  <c r="V112" i="444" s="1"/>
  <c r="W112" i="444" s="1"/>
  <c r="S112" i="444"/>
  <c r="R112" i="444"/>
  <c r="G112" i="444"/>
  <c r="T111" i="444"/>
  <c r="U111" i="444" s="1"/>
  <c r="R111" i="444"/>
  <c r="S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S108" i="444"/>
  <c r="R108" i="444"/>
  <c r="T108" i="444" s="1"/>
  <c r="U108" i="444" s="1"/>
  <c r="G108" i="444"/>
  <c r="T107" i="444"/>
  <c r="U107" i="444" s="1"/>
  <c r="S107" i="444"/>
  <c r="R107" i="444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R104" i="444"/>
  <c r="S104" i="444" s="1"/>
  <c r="G104" i="444"/>
  <c r="R103" i="444"/>
  <c r="T103" i="444" s="1"/>
  <c r="U103" i="444" s="1"/>
  <c r="G103" i="444"/>
  <c r="R102" i="444"/>
  <c r="T102" i="444" s="1"/>
  <c r="U102" i="444" s="1"/>
  <c r="G102" i="444"/>
  <c r="S101" i="444"/>
  <c r="R101" i="444"/>
  <c r="T101" i="444" s="1"/>
  <c r="U101" i="444" s="1"/>
  <c r="G101" i="444"/>
  <c r="T100" i="444"/>
  <c r="U100" i="444" s="1"/>
  <c r="V100" i="444" s="1"/>
  <c r="W100" i="444" s="1"/>
  <c r="S100" i="444"/>
  <c r="R100" i="444"/>
  <c r="G100" i="444"/>
  <c r="R99" i="444"/>
  <c r="T99" i="444" s="1"/>
  <c r="U99" i="444" s="1"/>
  <c r="G99" i="444"/>
  <c r="R98" i="444"/>
  <c r="T98" i="444" s="1"/>
  <c r="U98" i="444" s="1"/>
  <c r="G98" i="444"/>
  <c r="T97" i="444"/>
  <c r="U97" i="444" s="1"/>
  <c r="R97" i="444"/>
  <c r="S97" i="444" s="1"/>
  <c r="G97" i="444"/>
  <c r="R96" i="444"/>
  <c r="T96" i="444" s="1"/>
  <c r="U96" i="444" s="1"/>
  <c r="G96" i="444"/>
  <c r="T95" i="444"/>
  <c r="U95" i="444" s="1"/>
  <c r="S95" i="444"/>
  <c r="R95" i="444"/>
  <c r="G95" i="444"/>
  <c r="T94" i="444"/>
  <c r="U94" i="444" s="1"/>
  <c r="V94" i="444" s="1"/>
  <c r="W94" i="444" s="1"/>
  <c r="S94" i="444"/>
  <c r="R94" i="444"/>
  <c r="G94" i="444"/>
  <c r="R93" i="444"/>
  <c r="G93" i="444"/>
  <c r="T92" i="444"/>
  <c r="U92" i="444" s="1"/>
  <c r="S92" i="444"/>
  <c r="R92" i="444"/>
  <c r="G92" i="444"/>
  <c r="T91" i="444"/>
  <c r="U91" i="444" s="1"/>
  <c r="R91" i="444"/>
  <c r="S91" i="444" s="1"/>
  <c r="G91" i="444"/>
  <c r="R90" i="444"/>
  <c r="T90" i="444" s="1"/>
  <c r="U90" i="444" s="1"/>
  <c r="G90" i="444"/>
  <c r="T89" i="444"/>
  <c r="U89" i="444" s="1"/>
  <c r="V89" i="444" s="1"/>
  <c r="W89" i="444" s="1"/>
  <c r="S89" i="444"/>
  <c r="R89" i="444"/>
  <c r="G89" i="444"/>
  <c r="S88" i="444"/>
  <c r="R88" i="444"/>
  <c r="T88" i="444" s="1"/>
  <c r="U88" i="444" s="1"/>
  <c r="G88" i="444"/>
  <c r="T87" i="444"/>
  <c r="U87" i="444" s="1"/>
  <c r="S87" i="444"/>
  <c r="R87" i="444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T84" i="444"/>
  <c r="U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R79" i="444"/>
  <c r="T79" i="444" s="1"/>
  <c r="U79" i="444" s="1"/>
  <c r="G79" i="444"/>
  <c r="T78" i="444"/>
  <c r="U78" i="444" s="1"/>
  <c r="R78" i="444"/>
  <c r="S78" i="444" s="1"/>
  <c r="G78" i="444"/>
  <c r="T77" i="444"/>
  <c r="U77" i="444" s="1"/>
  <c r="R77" i="444"/>
  <c r="S77" i="444" s="1"/>
  <c r="G77" i="444"/>
  <c r="R76" i="444"/>
  <c r="T76" i="444" s="1"/>
  <c r="U76" i="444" s="1"/>
  <c r="G76" i="444"/>
  <c r="T75" i="444"/>
  <c r="U75" i="444" s="1"/>
  <c r="R75" i="444"/>
  <c r="S75" i="444" s="1"/>
  <c r="G75" i="444"/>
  <c r="T74" i="444"/>
  <c r="U74" i="444" s="1"/>
  <c r="V74" i="444" s="1"/>
  <c r="W74" i="444" s="1"/>
  <c r="S74" i="444"/>
  <c r="R74" i="444"/>
  <c r="G74" i="444"/>
  <c r="R73" i="444"/>
  <c r="G73" i="444"/>
  <c r="R72" i="444"/>
  <c r="T72" i="444" s="1"/>
  <c r="U72" i="444" s="1"/>
  <c r="G72" i="444"/>
  <c r="T71" i="444"/>
  <c r="U71" i="444" s="1"/>
  <c r="R71" i="444"/>
  <c r="S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S68" i="444"/>
  <c r="R68" i="444"/>
  <c r="T68" i="444" s="1"/>
  <c r="U68" i="444" s="1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T64" i="444"/>
  <c r="U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S61" i="444"/>
  <c r="R61" i="444"/>
  <c r="T61" i="444" s="1"/>
  <c r="U61" i="444" s="1"/>
  <c r="V61" i="444" s="1"/>
  <c r="W61" i="444" s="1"/>
  <c r="G61" i="444"/>
  <c r="T60" i="444"/>
  <c r="U60" i="444" s="1"/>
  <c r="V60" i="444" s="1"/>
  <c r="W60" i="444" s="1"/>
  <c r="S60" i="444"/>
  <c r="R60" i="444"/>
  <c r="G60" i="444"/>
  <c r="R59" i="444"/>
  <c r="T59" i="444" s="1"/>
  <c r="U59" i="444" s="1"/>
  <c r="G59" i="444"/>
  <c r="T58" i="444"/>
  <c r="U58" i="444" s="1"/>
  <c r="S58" i="444"/>
  <c r="R58" i="444"/>
  <c r="G58" i="444"/>
  <c r="T57" i="444"/>
  <c r="U57" i="444" s="1"/>
  <c r="R57" i="444"/>
  <c r="S57" i="444" s="1"/>
  <c r="G57" i="444"/>
  <c r="R56" i="444"/>
  <c r="T56" i="444" s="1"/>
  <c r="U56" i="444" s="1"/>
  <c r="G56" i="444"/>
  <c r="R55" i="444"/>
  <c r="T55" i="444" s="1"/>
  <c r="U55" i="444" s="1"/>
  <c r="G55" i="444"/>
  <c r="T54" i="444"/>
  <c r="U54" i="444" s="1"/>
  <c r="V54" i="444" s="1"/>
  <c r="W54" i="444" s="1"/>
  <c r="S54" i="444"/>
  <c r="R54" i="444"/>
  <c r="G54" i="444"/>
  <c r="R53" i="444"/>
  <c r="G53" i="444"/>
  <c r="T52" i="444"/>
  <c r="U52" i="444" s="1"/>
  <c r="V52" i="444" s="1"/>
  <c r="W52" i="444" s="1"/>
  <c r="S52" i="444"/>
  <c r="R52" i="444"/>
  <c r="G52" i="444"/>
  <c r="T51" i="444"/>
  <c r="U51" i="444" s="1"/>
  <c r="R51" i="444"/>
  <c r="S51" i="444" s="1"/>
  <c r="G51" i="444"/>
  <c r="R50" i="444"/>
  <c r="T50" i="444" s="1"/>
  <c r="U50" i="444" s="1"/>
  <c r="G50" i="444"/>
  <c r="T49" i="444"/>
  <c r="U49" i="444" s="1"/>
  <c r="S49" i="444"/>
  <c r="R49" i="444"/>
  <c r="G49" i="444"/>
  <c r="S48" i="444"/>
  <c r="R48" i="444"/>
  <c r="T48" i="444" s="1"/>
  <c r="U48" i="444" s="1"/>
  <c r="G48" i="444"/>
  <c r="T47" i="444"/>
  <c r="U47" i="444" s="1"/>
  <c r="S47" i="444"/>
  <c r="R47" i="444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T40" i="444"/>
  <c r="U40" i="444" s="1"/>
  <c r="V40" i="444" s="1"/>
  <c r="W40" i="444" s="1"/>
  <c r="S40" i="444"/>
  <c r="R40" i="444"/>
  <c r="G40" i="444"/>
  <c r="R39" i="444"/>
  <c r="T39" i="444" s="1"/>
  <c r="U39" i="444" s="1"/>
  <c r="G39" i="444"/>
  <c r="T38" i="444"/>
  <c r="U38" i="444" s="1"/>
  <c r="R38" i="444"/>
  <c r="S38" i="444" s="1"/>
  <c r="G38" i="444"/>
  <c r="T37" i="444"/>
  <c r="U37" i="444" s="1"/>
  <c r="R37" i="444"/>
  <c r="S37" i="444" s="1"/>
  <c r="G37" i="444"/>
  <c r="R36" i="444"/>
  <c r="T36" i="444" s="1"/>
  <c r="U36" i="444" s="1"/>
  <c r="G36" i="444"/>
  <c r="R35" i="444"/>
  <c r="T35" i="444" s="1"/>
  <c r="U35" i="444" s="1"/>
  <c r="G35" i="444"/>
  <c r="T34" i="444"/>
  <c r="U34" i="444" s="1"/>
  <c r="V34" i="444" s="1"/>
  <c r="W34" i="444" s="1"/>
  <c r="S34" i="444"/>
  <c r="R34" i="444"/>
  <c r="G34" i="444"/>
  <c r="R33" i="444"/>
  <c r="G33" i="444"/>
  <c r="R32" i="444"/>
  <c r="T32" i="444" s="1"/>
  <c r="U32" i="444" s="1"/>
  <c r="G32" i="444"/>
  <c r="T31" i="444"/>
  <c r="U31" i="444" s="1"/>
  <c r="R31" i="444"/>
  <c r="S31" i="444" s="1"/>
  <c r="G31" i="444"/>
  <c r="R30" i="444"/>
  <c r="T30" i="444" s="1"/>
  <c r="U30" i="444" s="1"/>
  <c r="G30" i="444"/>
  <c r="T29" i="444"/>
  <c r="U29" i="444" s="1"/>
  <c r="V29" i="444" s="1"/>
  <c r="W29" i="444" s="1"/>
  <c r="S29" i="444"/>
  <c r="R29" i="444"/>
  <c r="G29" i="444"/>
  <c r="S28" i="444"/>
  <c r="R28" i="444"/>
  <c r="T28" i="444" s="1"/>
  <c r="U28" i="444" s="1"/>
  <c r="G28" i="444"/>
  <c r="T27" i="444"/>
  <c r="U27" i="444" s="1"/>
  <c r="S27" i="444"/>
  <c r="R27" i="444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R24" i="444"/>
  <c r="S24" i="444" s="1"/>
  <c r="G24" i="444"/>
  <c r="R23" i="444"/>
  <c r="T23" i="444" s="1"/>
  <c r="U23" i="444" s="1"/>
  <c r="G23" i="444"/>
  <c r="R22" i="444"/>
  <c r="T22" i="444" s="1"/>
  <c r="U22" i="444" s="1"/>
  <c r="G22" i="444"/>
  <c r="R21" i="444"/>
  <c r="T21" i="444" s="1"/>
  <c r="U21" i="444" s="1"/>
  <c r="G21" i="444"/>
  <c r="T20" i="444"/>
  <c r="U20" i="444" s="1"/>
  <c r="V20" i="444" s="1"/>
  <c r="W20" i="444" s="1"/>
  <c r="S20" i="444"/>
  <c r="R20" i="444"/>
  <c r="G20" i="444"/>
  <c r="R19" i="444"/>
  <c r="T19" i="444" s="1"/>
  <c r="U19" i="444" s="1"/>
  <c r="G19" i="444"/>
  <c r="R18" i="444"/>
  <c r="T18" i="444" s="1"/>
  <c r="U18" i="444" s="1"/>
  <c r="G18" i="444"/>
  <c r="T17" i="444"/>
  <c r="U17" i="444" s="1"/>
  <c r="R17" i="444"/>
  <c r="S17" i="444" s="1"/>
  <c r="G17" i="444"/>
  <c r="R16" i="444"/>
  <c r="T16" i="444" s="1"/>
  <c r="U16" i="444" s="1"/>
  <c r="G16" i="444"/>
  <c r="T15" i="444"/>
  <c r="U15" i="444" s="1"/>
  <c r="R15" i="444"/>
  <c r="S15" i="444" s="1"/>
  <c r="G15" i="444"/>
  <c r="T14" i="444"/>
  <c r="U14" i="444" s="1"/>
  <c r="V14" i="444" s="1"/>
  <c r="W14" i="444" s="1"/>
  <c r="S14" i="444"/>
  <c r="R14" i="444"/>
  <c r="G14" i="444"/>
  <c r="R13" i="444"/>
  <c r="G13" i="444"/>
  <c r="R12" i="444"/>
  <c r="T12" i="444" s="1"/>
  <c r="U12" i="444" s="1"/>
  <c r="G12" i="444"/>
  <c r="T11" i="444"/>
  <c r="U11" i="444" s="1"/>
  <c r="R11" i="444"/>
  <c r="S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S8" i="444"/>
  <c r="R8" i="444"/>
  <c r="T8" i="444" s="1"/>
  <c r="U8" i="444" s="1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R3" i="444"/>
  <c r="T3" i="444" s="1"/>
  <c r="U3" i="444" s="1"/>
  <c r="G3" i="444"/>
  <c r="R2" i="444"/>
  <c r="T2" i="444" s="1"/>
  <c r="U2" i="444" s="1"/>
  <c r="G2" i="444"/>
  <c r="B2" i="383"/>
  <c r="B3" i="383" s="1"/>
  <c r="B5" i="383" s="1"/>
  <c r="C42" i="54"/>
  <c r="D42" i="54" s="1"/>
  <c r="C40" i="54"/>
  <c r="I32" i="54"/>
  <c r="I31" i="54"/>
  <c r="D31" i="54"/>
  <c r="C31" i="54"/>
  <c r="I30" i="54"/>
  <c r="C29" i="54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H9" i="54"/>
  <c r="G9" i="54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D29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D38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S78" i="385"/>
  <c r="Q78" i="385"/>
  <c r="P78" i="385"/>
  <c r="R78" i="385" s="1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S77" i="385" s="1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S76" i="385" s="1"/>
  <c r="M76" i="385"/>
  <c r="L76" i="385"/>
  <c r="K76" i="385"/>
  <c r="J76" i="385"/>
  <c r="H76" i="385"/>
  <c r="G76" i="385"/>
  <c r="F76" i="385"/>
  <c r="E76" i="385"/>
  <c r="D76" i="385"/>
  <c r="C76" i="385"/>
  <c r="R75" i="385"/>
  <c r="Q75" i="385"/>
  <c r="P75" i="385"/>
  <c r="S75" i="385" s="1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R74" i="385" s="1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C53" i="385"/>
  <c r="Q52" i="385"/>
  <c r="C52" i="385"/>
  <c r="Q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P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P51" i="385" l="1"/>
  <c r="S51" i="385" s="1"/>
  <c r="P16" i="385"/>
  <c r="E12" i="415"/>
  <c r="E11" i="415"/>
  <c r="E15" i="415"/>
  <c r="E17" i="415"/>
  <c r="P67" i="385"/>
  <c r="S67" i="385" s="1"/>
  <c r="P72" i="385"/>
  <c r="S72" i="385" s="1"/>
  <c r="G12" i="385"/>
  <c r="P52" i="385"/>
  <c r="P71" i="385"/>
  <c r="S71" i="385" s="1"/>
  <c r="P48" i="385"/>
  <c r="S48" i="385" s="1"/>
  <c r="P73" i="385"/>
  <c r="S73" i="385" s="1"/>
  <c r="P66" i="385"/>
  <c r="R66" i="385" s="1"/>
  <c r="P49" i="385"/>
  <c r="R49" i="385" s="1"/>
  <c r="P69" i="385"/>
  <c r="R69" i="385" s="1"/>
  <c r="P68" i="385"/>
  <c r="S68" i="385" s="1"/>
  <c r="E13" i="415"/>
  <c r="E10" i="415"/>
  <c r="S70" i="385"/>
  <c r="S74" i="385"/>
  <c r="R77" i="385"/>
  <c r="R76" i="385"/>
  <c r="R70" i="385"/>
  <c r="G52" i="385"/>
  <c r="G28" i="385"/>
  <c r="S19" i="385"/>
  <c r="S18" i="385"/>
  <c r="F33" i="385"/>
  <c r="I45" i="385"/>
  <c r="I55" i="385"/>
  <c r="F39" i="385"/>
  <c r="P57" i="385"/>
  <c r="S57" i="385" s="1"/>
  <c r="I117" i="385"/>
  <c r="G15" i="385"/>
  <c r="R20" i="385"/>
  <c r="S22" i="385"/>
  <c r="I157" i="385"/>
  <c r="G33" i="385"/>
  <c r="G9" i="385"/>
  <c r="S17" i="385"/>
  <c r="R24" i="385"/>
  <c r="L18" i="385"/>
  <c r="D41" i="415"/>
  <c r="L13" i="385"/>
  <c r="K19" i="385"/>
  <c r="E14" i="415"/>
  <c r="E45" i="415"/>
  <c r="L41" i="385"/>
  <c r="K26" i="385"/>
  <c r="K34" i="385"/>
  <c r="L50" i="385"/>
  <c r="K7" i="385"/>
  <c r="L26" i="385"/>
  <c r="E16" i="415"/>
  <c r="K21" i="385"/>
  <c r="D7" i="415"/>
  <c r="K36" i="385"/>
  <c r="C8" i="415"/>
  <c r="C29" i="415"/>
  <c r="E29" i="415" s="1"/>
  <c r="K29" i="385"/>
  <c r="K10" i="385"/>
  <c r="E42" i="415"/>
  <c r="K6" i="385"/>
  <c r="L16" i="385"/>
  <c r="C9" i="415"/>
  <c r="C49" i="415"/>
  <c r="D8" i="415"/>
  <c r="E43" i="415"/>
  <c r="K41" i="385"/>
  <c r="L21" i="385"/>
  <c r="L29" i="385"/>
  <c r="K38" i="385"/>
  <c r="K18" i="385"/>
  <c r="K24" i="385"/>
  <c r="R18" i="385"/>
  <c r="V151" i="444"/>
  <c r="W151" i="444" s="1"/>
  <c r="V69" i="444"/>
  <c r="W69" i="444" s="1"/>
  <c r="S20" i="385"/>
  <c r="V15" i="444"/>
  <c r="W15" i="444" s="1"/>
  <c r="V132" i="444"/>
  <c r="W132" i="444" s="1"/>
  <c r="V58" i="444"/>
  <c r="W58" i="444" s="1"/>
  <c r="V38" i="444"/>
  <c r="W38" i="444" s="1"/>
  <c r="V27" i="444"/>
  <c r="W27" i="444" s="1"/>
  <c r="V107" i="444"/>
  <c r="W107" i="444" s="1"/>
  <c r="V9" i="444"/>
  <c r="W9" i="444" s="1"/>
  <c r="V57" i="444"/>
  <c r="W57" i="444" s="1"/>
  <c r="V129" i="444"/>
  <c r="W129" i="444" s="1"/>
  <c r="V137" i="444"/>
  <c r="W137" i="444" s="1"/>
  <c r="V28" i="444"/>
  <c r="W28" i="444" s="1"/>
  <c r="V150" i="444"/>
  <c r="W150" i="444" s="1"/>
  <c r="V17" i="444"/>
  <c r="W17" i="444" s="1"/>
  <c r="V25" i="444"/>
  <c r="W25" i="444" s="1"/>
  <c r="V31" i="444"/>
  <c r="W31" i="444" s="1"/>
  <c r="V105" i="444"/>
  <c r="W105" i="444" s="1"/>
  <c r="V125" i="444"/>
  <c r="W125" i="444" s="1"/>
  <c r="V131" i="444"/>
  <c r="W131" i="444" s="1"/>
  <c r="R19" i="385"/>
  <c r="V10" i="444"/>
  <c r="W10" i="444" s="1"/>
  <c r="V45" i="444"/>
  <c r="W45" i="444" s="1"/>
  <c r="V51" i="444"/>
  <c r="W51" i="444" s="1"/>
  <c r="V75" i="444"/>
  <c r="W75" i="444" s="1"/>
  <c r="V101" i="444"/>
  <c r="W101" i="444" s="1"/>
  <c r="V70" i="444"/>
  <c r="W70" i="444" s="1"/>
  <c r="V77" i="444"/>
  <c r="W77" i="444" s="1"/>
  <c r="V108" i="444"/>
  <c r="W108" i="444" s="1"/>
  <c r="V65" i="444"/>
  <c r="W65" i="444" s="1"/>
  <c r="V47" i="444"/>
  <c r="W47" i="444" s="1"/>
  <c r="V71" i="444"/>
  <c r="W71" i="444" s="1"/>
  <c r="V147" i="444"/>
  <c r="W147" i="444" s="1"/>
  <c r="V7" i="444"/>
  <c r="W7" i="444" s="1"/>
  <c r="V78" i="444"/>
  <c r="W78" i="444" s="1"/>
  <c r="V91" i="444"/>
  <c r="W91" i="444" s="1"/>
  <c r="V97" i="444"/>
  <c r="W97" i="444" s="1"/>
  <c r="V141" i="444"/>
  <c r="W141" i="444" s="1"/>
  <c r="V8" i="444"/>
  <c r="W8" i="444" s="1"/>
  <c r="V110" i="444"/>
  <c r="W110" i="444" s="1"/>
  <c r="V149" i="444"/>
  <c r="W149" i="444" s="1"/>
  <c r="V49" i="444"/>
  <c r="W49" i="444" s="1"/>
  <c r="V67" i="444"/>
  <c r="W67" i="444" s="1"/>
  <c r="V92" i="444"/>
  <c r="W92" i="444" s="1"/>
  <c r="V111" i="444"/>
  <c r="W111" i="444" s="1"/>
  <c r="V117" i="444"/>
  <c r="W117" i="444" s="1"/>
  <c r="V87" i="444"/>
  <c r="W87" i="444" s="1"/>
  <c r="V37" i="444"/>
  <c r="W37" i="444" s="1"/>
  <c r="R17" i="385"/>
  <c r="S23" i="385"/>
  <c r="S16" i="385"/>
  <c r="R50" i="385"/>
  <c r="S21" i="385"/>
  <c r="V109" i="444"/>
  <c r="W109" i="444" s="1"/>
  <c r="V115" i="444"/>
  <c r="W115" i="444" s="1"/>
  <c r="I36" i="385"/>
  <c r="P43" i="385"/>
  <c r="F28" i="385"/>
  <c r="F21" i="385"/>
  <c r="P27" i="385"/>
  <c r="P37" i="385"/>
  <c r="G41" i="385"/>
  <c r="P44" i="385"/>
  <c r="L53" i="385"/>
  <c r="I63" i="385"/>
  <c r="P64" i="385"/>
  <c r="L10" i="385"/>
  <c r="D12" i="385"/>
  <c r="K13" i="385"/>
  <c r="D15" i="385"/>
  <c r="K16" i="385"/>
  <c r="G21" i="385"/>
  <c r="R22" i="385"/>
  <c r="I24" i="385"/>
  <c r="I29" i="385"/>
  <c r="D31" i="385"/>
  <c r="P32" i="385"/>
  <c r="L34" i="385"/>
  <c r="F36" i="385"/>
  <c r="P39" i="385"/>
  <c r="D43" i="385"/>
  <c r="P46" i="385"/>
  <c r="I48" i="385"/>
  <c r="D50" i="385"/>
  <c r="D52" i="385"/>
  <c r="I56" i="385"/>
  <c r="C6" i="415"/>
  <c r="C27" i="415"/>
  <c r="D23" i="385"/>
  <c r="D40" i="385"/>
  <c r="P41" i="385"/>
  <c r="I7" i="385"/>
  <c r="D9" i="385"/>
  <c r="D18" i="385"/>
  <c r="D26" i="385"/>
  <c r="G36" i="385"/>
  <c r="I41" i="385"/>
  <c r="I50" i="385"/>
  <c r="P53" i="385"/>
  <c r="I66" i="385"/>
  <c r="I70" i="385"/>
  <c r="I74" i="385"/>
  <c r="I78" i="385"/>
  <c r="I82" i="385"/>
  <c r="I86" i="385"/>
  <c r="I90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I190" i="385"/>
  <c r="D27" i="415"/>
  <c r="C54" i="415"/>
  <c r="V85" i="444"/>
  <c r="W85" i="444" s="1"/>
  <c r="D6" i="385"/>
  <c r="P7" i="385"/>
  <c r="F9" i="385"/>
  <c r="P10" i="385"/>
  <c r="F12" i="385"/>
  <c r="F15" i="385"/>
  <c r="I21" i="385"/>
  <c r="F31" i="385"/>
  <c r="P34" i="385"/>
  <c r="F43" i="385"/>
  <c r="D45" i="385"/>
  <c r="K48" i="385"/>
  <c r="K50" i="385"/>
  <c r="F52" i="385"/>
  <c r="I59" i="385"/>
  <c r="P60" i="385"/>
  <c r="C7" i="415"/>
  <c r="D54" i="415"/>
  <c r="F45" i="385"/>
  <c r="C28" i="415"/>
  <c r="T113" i="444"/>
  <c r="U113" i="444" s="1"/>
  <c r="S113" i="444"/>
  <c r="S118" i="444"/>
  <c r="V118" i="444" s="1"/>
  <c r="W118" i="444" s="1"/>
  <c r="F6" i="385"/>
  <c r="I18" i="385"/>
  <c r="S24" i="385"/>
  <c r="I26" i="385"/>
  <c r="D28" i="385"/>
  <c r="I31" i="385"/>
  <c r="I43" i="385"/>
  <c r="G45" i="385"/>
  <c r="I62" i="385"/>
  <c r="P63" i="385"/>
  <c r="D28" i="415"/>
  <c r="B4" i="383"/>
  <c r="V11" i="444"/>
  <c r="W11" i="444" s="1"/>
  <c r="V48" i="444"/>
  <c r="W48" i="444" s="1"/>
  <c r="T104" i="444"/>
  <c r="U104" i="444" s="1"/>
  <c r="V104" i="444" s="1"/>
  <c r="W104" i="444" s="1"/>
  <c r="V127" i="444"/>
  <c r="W127" i="444" s="1"/>
  <c r="V157" i="444"/>
  <c r="W157" i="444" s="1"/>
  <c r="S161" i="444"/>
  <c r="V161" i="444" s="1"/>
  <c r="W161" i="444" s="1"/>
  <c r="T53" i="444"/>
  <c r="U53" i="444" s="1"/>
  <c r="S53" i="444"/>
  <c r="V95" i="444"/>
  <c r="W95" i="444" s="1"/>
  <c r="F23" i="385"/>
  <c r="T44" i="444"/>
  <c r="U44" i="444" s="1"/>
  <c r="V44" i="444" s="1"/>
  <c r="W44" i="444" s="1"/>
  <c r="S72" i="444"/>
  <c r="V72" i="444" s="1"/>
  <c r="W72" i="444" s="1"/>
  <c r="S81" i="444"/>
  <c r="V81" i="444" s="1"/>
  <c r="W81" i="444" s="1"/>
  <c r="S90" i="444"/>
  <c r="V90" i="444" s="1"/>
  <c r="W90" i="444" s="1"/>
  <c r="S152" i="444"/>
  <c r="V152" i="444" s="1"/>
  <c r="W152" i="444" s="1"/>
  <c r="S35" i="444"/>
  <c r="V35" i="444" s="1"/>
  <c r="W35" i="444" s="1"/>
  <c r="S138" i="444"/>
  <c r="V138" i="444" s="1"/>
  <c r="W138" i="444" s="1"/>
  <c r="D33" i="385"/>
  <c r="I38" i="385"/>
  <c r="I89" i="385"/>
  <c r="I145" i="385"/>
  <c r="D8" i="385"/>
  <c r="K52" i="385"/>
  <c r="D5" i="385"/>
  <c r="P15" i="385"/>
  <c r="P26" i="385"/>
  <c r="K45" i="385"/>
  <c r="F49" i="385"/>
  <c r="S50" i="385"/>
  <c r="D9" i="415"/>
  <c r="S12" i="444"/>
  <c r="V12" i="444" s="1"/>
  <c r="W12" i="444" s="1"/>
  <c r="S21" i="444"/>
  <c r="V21" i="444" s="1"/>
  <c r="W21" i="444" s="1"/>
  <c r="S30" i="444"/>
  <c r="V30" i="444" s="1"/>
  <c r="W30" i="444" s="1"/>
  <c r="V128" i="444"/>
  <c r="W128" i="444" s="1"/>
  <c r="I12" i="385"/>
  <c r="R16" i="385"/>
  <c r="I52" i="385"/>
  <c r="I77" i="385"/>
  <c r="I113" i="385"/>
  <c r="I133" i="385"/>
  <c r="I173" i="385"/>
  <c r="K12" i="385"/>
  <c r="I23" i="385"/>
  <c r="I65" i="385"/>
  <c r="L9" i="385"/>
  <c r="D14" i="385"/>
  <c r="G20" i="385"/>
  <c r="D25" i="385"/>
  <c r="F5" i="385"/>
  <c r="P6" i="385"/>
  <c r="F8" i="385"/>
  <c r="F11" i="385"/>
  <c r="G17" i="385"/>
  <c r="R21" i="385"/>
  <c r="K23" i="385"/>
  <c r="F25" i="385"/>
  <c r="I28" i="385"/>
  <c r="D30" i="385"/>
  <c r="K33" i="385"/>
  <c r="F35" i="385"/>
  <c r="P38" i="385"/>
  <c r="L45" i="385"/>
  <c r="I47" i="385"/>
  <c r="G49" i="385"/>
  <c r="S52" i="385"/>
  <c r="R52" i="385"/>
  <c r="P62" i="385"/>
  <c r="D19" i="415"/>
  <c r="C34" i="415"/>
  <c r="T133" i="444"/>
  <c r="U133" i="444" s="1"/>
  <c r="S133" i="444"/>
  <c r="S158" i="444"/>
  <c r="V158" i="444" s="1"/>
  <c r="W158" i="444" s="1"/>
  <c r="I15" i="385"/>
  <c r="P29" i="385"/>
  <c r="I97" i="385"/>
  <c r="I125" i="385"/>
  <c r="I141" i="385"/>
  <c r="I169" i="385"/>
  <c r="I185" i="385"/>
  <c r="D11" i="385"/>
  <c r="D35" i="385"/>
  <c r="P59" i="385"/>
  <c r="L12" i="385"/>
  <c r="F17" i="385"/>
  <c r="G40" i="385"/>
  <c r="G5" i="385"/>
  <c r="G8" i="385"/>
  <c r="P9" i="385"/>
  <c r="G11" i="385"/>
  <c r="P12" i="385"/>
  <c r="F14" i="385"/>
  <c r="I20" i="385"/>
  <c r="G25" i="385"/>
  <c r="L33" i="385"/>
  <c r="D37" i="385"/>
  <c r="I40" i="385"/>
  <c r="D42" i="385"/>
  <c r="D44" i="385"/>
  <c r="P47" i="385"/>
  <c r="D51" i="385"/>
  <c r="I54" i="385"/>
  <c r="P55" i="385"/>
  <c r="I61" i="385"/>
  <c r="C20" i="415"/>
  <c r="D34" i="415"/>
  <c r="V68" i="444"/>
  <c r="W68" i="444" s="1"/>
  <c r="T124" i="444"/>
  <c r="U124" i="444" s="1"/>
  <c r="V124" i="444" s="1"/>
  <c r="W124" i="444" s="1"/>
  <c r="P56" i="385"/>
  <c r="I69" i="385"/>
  <c r="D20" i="415"/>
  <c r="C46" i="415"/>
  <c r="V64" i="444"/>
  <c r="W64" i="444" s="1"/>
  <c r="T73" i="444"/>
  <c r="U73" i="444" s="1"/>
  <c r="S73" i="444"/>
  <c r="T153" i="444"/>
  <c r="U153" i="444" s="1"/>
  <c r="S153" i="444"/>
  <c r="I5" i="385"/>
  <c r="I8" i="385"/>
  <c r="I11" i="385"/>
  <c r="K14" i="385"/>
  <c r="K20" i="385"/>
  <c r="R23" i="385"/>
  <c r="I25" i="385"/>
  <c r="K30" i="385"/>
  <c r="P33" i="385"/>
  <c r="G37" i="385"/>
  <c r="K40" i="385"/>
  <c r="K42" i="385"/>
  <c r="F44" i="385"/>
  <c r="F51" i="385"/>
  <c r="D53" i="385"/>
  <c r="P58" i="385"/>
  <c r="P65" i="385"/>
  <c r="C35" i="415"/>
  <c r="C47" i="415"/>
  <c r="P13" i="385"/>
  <c r="I6" i="385"/>
  <c r="I109" i="385"/>
  <c r="K15" i="385"/>
  <c r="L38" i="385"/>
  <c r="I30" i="385"/>
  <c r="I42" i="385"/>
  <c r="I76" i="385"/>
  <c r="I112" i="385"/>
  <c r="D19" i="385"/>
  <c r="F32" i="385"/>
  <c r="P35" i="385"/>
  <c r="L42" i="385"/>
  <c r="G44" i="385"/>
  <c r="K49" i="385"/>
  <c r="F53" i="385"/>
  <c r="I57" i="385"/>
  <c r="C21" i="415"/>
  <c r="D47" i="415"/>
  <c r="T13" i="444"/>
  <c r="U13" i="444" s="1"/>
  <c r="S13" i="444"/>
  <c r="S18" i="444"/>
  <c r="V18" i="444" s="1"/>
  <c r="W18" i="444" s="1"/>
  <c r="S55" i="444"/>
  <c r="V55" i="444" s="1"/>
  <c r="W55" i="444" s="1"/>
  <c r="P31" i="385"/>
  <c r="I105" i="385"/>
  <c r="I161" i="385"/>
  <c r="I189" i="385"/>
  <c r="I58" i="385"/>
  <c r="I17" i="385"/>
  <c r="P45" i="385"/>
  <c r="I132" i="385"/>
  <c r="I152" i="385"/>
  <c r="I180" i="385"/>
  <c r="P28" i="385"/>
  <c r="K5" i="385"/>
  <c r="D7" i="385"/>
  <c r="K8" i="385"/>
  <c r="K11" i="385"/>
  <c r="D13" i="385"/>
  <c r="L17" i="385"/>
  <c r="I22" i="385"/>
  <c r="K25" i="385"/>
  <c r="G32" i="385"/>
  <c r="I37" i="385"/>
  <c r="D39" i="385"/>
  <c r="P40" i="385"/>
  <c r="L49" i="385"/>
  <c r="I51" i="385"/>
  <c r="G53" i="385"/>
  <c r="I64" i="385"/>
  <c r="D21" i="415"/>
  <c r="C36" i="415"/>
  <c r="T4" i="444"/>
  <c r="U4" i="444" s="1"/>
  <c r="V4" i="444" s="1"/>
  <c r="W4" i="444" s="1"/>
  <c r="S32" i="444"/>
  <c r="V32" i="444" s="1"/>
  <c r="W32" i="444" s="1"/>
  <c r="S41" i="444"/>
  <c r="V41" i="444" s="1"/>
  <c r="W41" i="444" s="1"/>
  <c r="S50" i="444"/>
  <c r="V50" i="444" s="1"/>
  <c r="W50" i="444" s="1"/>
  <c r="T144" i="444"/>
  <c r="U144" i="444" s="1"/>
  <c r="V144" i="444" s="1"/>
  <c r="W144" i="444" s="1"/>
  <c r="D47" i="385"/>
  <c r="I85" i="385"/>
  <c r="I121" i="385"/>
  <c r="I149" i="385"/>
  <c r="K9" i="385"/>
  <c r="D49" i="385"/>
  <c r="I35" i="385"/>
  <c r="I68" i="385"/>
  <c r="I104" i="385"/>
  <c r="I172" i="385"/>
  <c r="L14" i="385"/>
  <c r="L5" i="385"/>
  <c r="L8" i="385"/>
  <c r="D10" i="385"/>
  <c r="P11" i="385"/>
  <c r="F13" i="385"/>
  <c r="P14" i="385"/>
  <c r="F16" i="385"/>
  <c r="F19" i="385"/>
  <c r="K22" i="385"/>
  <c r="D24" i="385"/>
  <c r="L25" i="385"/>
  <c r="F27" i="385"/>
  <c r="P30" i="385"/>
  <c r="P42" i="385"/>
  <c r="I44" i="385"/>
  <c r="D46" i="385"/>
  <c r="D48" i="385"/>
  <c r="P54" i="385"/>
  <c r="P61" i="385"/>
  <c r="D39" i="415"/>
  <c r="C48" i="415"/>
  <c r="S135" i="444"/>
  <c r="V135" i="444" s="1"/>
  <c r="W135" i="444" s="1"/>
  <c r="I93" i="385"/>
  <c r="I129" i="385"/>
  <c r="I165" i="385"/>
  <c r="F20" i="385"/>
  <c r="F47" i="385"/>
  <c r="D32" i="385"/>
  <c r="I88" i="385"/>
  <c r="I116" i="385"/>
  <c r="I136" i="385"/>
  <c r="I168" i="385"/>
  <c r="D16" i="385"/>
  <c r="G13" i="385"/>
  <c r="I99" i="385"/>
  <c r="I123" i="385"/>
  <c r="I155" i="385"/>
  <c r="D22" i="415"/>
  <c r="D40" i="415"/>
  <c r="D48" i="415"/>
  <c r="V88" i="444"/>
  <c r="W88" i="444" s="1"/>
  <c r="T164" i="444"/>
  <c r="U164" i="444" s="1"/>
  <c r="V164" i="444" s="1"/>
  <c r="W164" i="444" s="1"/>
  <c r="F18" i="385"/>
  <c r="I9" i="385"/>
  <c r="I73" i="385"/>
  <c r="I101" i="385"/>
  <c r="I137" i="385"/>
  <c r="I153" i="385"/>
  <c r="I177" i="385"/>
  <c r="L6" i="385"/>
  <c r="P36" i="385"/>
  <c r="F40" i="385"/>
  <c r="G30" i="385"/>
  <c r="G14" i="385"/>
  <c r="G50" i="385"/>
  <c r="G46" i="385"/>
  <c r="G42" i="385"/>
  <c r="G38" i="385"/>
  <c r="G34" i="385"/>
  <c r="G26" i="385"/>
  <c r="G22" i="385"/>
  <c r="G18" i="385"/>
  <c r="G10" i="385"/>
  <c r="G6" i="385"/>
  <c r="F50" i="385"/>
  <c r="F46" i="385"/>
  <c r="F42" i="385"/>
  <c r="F38" i="385"/>
  <c r="F34" i="385"/>
  <c r="F30" i="385"/>
  <c r="G51" i="385"/>
  <c r="G47" i="385"/>
  <c r="G43" i="385"/>
  <c r="G39" i="385"/>
  <c r="G35" i="385"/>
  <c r="G31" i="385"/>
  <c r="G27" i="385"/>
  <c r="G23" i="385"/>
  <c r="G19" i="385"/>
  <c r="I14" i="385"/>
  <c r="D22" i="385"/>
  <c r="F37" i="385"/>
  <c r="I72" i="385"/>
  <c r="I84" i="385"/>
  <c r="I92" i="385"/>
  <c r="I100" i="385"/>
  <c r="I108" i="385"/>
  <c r="I120" i="385"/>
  <c r="I128" i="385"/>
  <c r="I140" i="385"/>
  <c r="I144" i="385"/>
  <c r="I156" i="385"/>
  <c r="I160" i="385"/>
  <c r="I176" i="385"/>
  <c r="I184" i="385"/>
  <c r="I188" i="385"/>
  <c r="F22" i="385"/>
  <c r="L30" i="385"/>
  <c r="F7" i="385"/>
  <c r="L22" i="385"/>
  <c r="K37" i="385"/>
  <c r="I46" i="385"/>
  <c r="I53" i="385"/>
  <c r="I67" i="385"/>
  <c r="I75" i="385"/>
  <c r="I87" i="385"/>
  <c r="I95" i="385"/>
  <c r="I103" i="385"/>
  <c r="I107" i="385"/>
  <c r="I115" i="385"/>
  <c r="I127" i="385"/>
  <c r="I131" i="385"/>
  <c r="I135" i="385"/>
  <c r="I147" i="385"/>
  <c r="I159" i="385"/>
  <c r="I167" i="385"/>
  <c r="I175" i="385"/>
  <c r="I187" i="385"/>
  <c r="P5" i="385"/>
  <c r="G7" i="385"/>
  <c r="P8" i="385"/>
  <c r="F10" i="385"/>
  <c r="I19" i="385"/>
  <c r="F24" i="385"/>
  <c r="P25" i="385"/>
  <c r="I27" i="385"/>
  <c r="F29" i="385"/>
  <c r="L37" i="385"/>
  <c r="D41" i="385"/>
  <c r="K44" i="385"/>
  <c r="K46" i="385"/>
  <c r="F48" i="385"/>
  <c r="R51" i="385"/>
  <c r="I60" i="385"/>
  <c r="V5" i="444"/>
  <c r="W5" i="444" s="1"/>
  <c r="V84" i="444"/>
  <c r="W84" i="444" s="1"/>
  <c r="T93" i="444"/>
  <c r="U93" i="444" s="1"/>
  <c r="S93" i="444"/>
  <c r="S98" i="444"/>
  <c r="V98" i="444" s="1"/>
  <c r="W98" i="444" s="1"/>
  <c r="S155" i="444"/>
  <c r="V155" i="444" s="1"/>
  <c r="W155" i="444" s="1"/>
  <c r="F26" i="385"/>
  <c r="D20" i="385"/>
  <c r="I81" i="385"/>
  <c r="I181" i="385"/>
  <c r="D52" i="415"/>
  <c r="C39" i="415"/>
  <c r="D32" i="415"/>
  <c r="C19" i="415"/>
  <c r="C52" i="415"/>
  <c r="C32" i="415"/>
  <c r="E32" i="415" s="1"/>
  <c r="D25" i="415"/>
  <c r="D5" i="415"/>
  <c r="D38" i="415"/>
  <c r="C25" i="415"/>
  <c r="D18" i="415"/>
  <c r="C5" i="415"/>
  <c r="L35" i="385"/>
  <c r="L23" i="385"/>
  <c r="L19" i="385"/>
  <c r="L11" i="385"/>
  <c r="L7" i="385"/>
  <c r="D51" i="415"/>
  <c r="C38" i="415"/>
  <c r="D31" i="415"/>
  <c r="C18" i="415"/>
  <c r="L51" i="385"/>
  <c r="L47" i="385"/>
  <c r="L43" i="385"/>
  <c r="L39" i="385"/>
  <c r="L31" i="385"/>
  <c r="L27" i="385"/>
  <c r="L15" i="385"/>
  <c r="C51" i="415"/>
  <c r="C31" i="415"/>
  <c r="D24" i="415"/>
  <c r="K51" i="385"/>
  <c r="K47" i="385"/>
  <c r="K43" i="385"/>
  <c r="K39" i="385"/>
  <c r="K35" i="385"/>
  <c r="K31" i="385"/>
  <c r="K27" i="385"/>
  <c r="D37" i="415"/>
  <c r="C24" i="415"/>
  <c r="D50" i="415"/>
  <c r="C37" i="415"/>
  <c r="D30" i="415"/>
  <c r="C50" i="415"/>
  <c r="C30" i="415"/>
  <c r="D23" i="415"/>
  <c r="D36" i="415"/>
  <c r="C23" i="415"/>
  <c r="L52" i="385"/>
  <c r="L48" i="385"/>
  <c r="L44" i="385"/>
  <c r="L40" i="385"/>
  <c r="L36" i="385"/>
  <c r="L32" i="385"/>
  <c r="L28" i="385"/>
  <c r="L24" i="385"/>
  <c r="L20" i="385"/>
  <c r="D35" i="415"/>
  <c r="C22" i="415"/>
  <c r="D53" i="415"/>
  <c r="C40" i="415"/>
  <c r="D33" i="415"/>
  <c r="C53" i="415"/>
  <c r="D46" i="415"/>
  <c r="C33" i="415"/>
  <c r="D26" i="415"/>
  <c r="D6" i="415"/>
  <c r="D17" i="385"/>
  <c r="I33" i="385"/>
  <c r="K28" i="385"/>
  <c r="I49" i="385"/>
  <c r="I80" i="385"/>
  <c r="I96" i="385"/>
  <c r="I124" i="385"/>
  <c r="I148" i="385"/>
  <c r="I164" i="385"/>
  <c r="K17" i="385"/>
  <c r="D27" i="385"/>
  <c r="G16" i="385"/>
  <c r="D29" i="385"/>
  <c r="I32" i="385"/>
  <c r="D34" i="385"/>
  <c r="I71" i="385"/>
  <c r="I79" i="385"/>
  <c r="I83" i="385"/>
  <c r="I91" i="385"/>
  <c r="I111" i="385"/>
  <c r="I119" i="385"/>
  <c r="I139" i="385"/>
  <c r="I143" i="385"/>
  <c r="I151" i="385"/>
  <c r="I163" i="385"/>
  <c r="I171" i="385"/>
  <c r="I179" i="385"/>
  <c r="I183" i="385"/>
  <c r="I191" i="385"/>
  <c r="I10" i="385"/>
  <c r="I13" i="385"/>
  <c r="I16" i="385"/>
  <c r="D21" i="385"/>
  <c r="G24" i="385"/>
  <c r="G29" i="385"/>
  <c r="K32" i="385"/>
  <c r="I34" i="385"/>
  <c r="D36" i="385"/>
  <c r="I39" i="385"/>
  <c r="F41" i="385"/>
  <c r="L46" i="385"/>
  <c r="G48" i="385"/>
  <c r="K53" i="385"/>
  <c r="C26" i="415"/>
  <c r="C41" i="415"/>
  <c r="E41" i="415" s="1"/>
  <c r="D49" i="415"/>
  <c r="S121" i="444"/>
  <c r="V121" i="444" s="1"/>
  <c r="W121" i="444" s="1"/>
  <c r="S130" i="444"/>
  <c r="V130" i="444" s="1"/>
  <c r="W130" i="444" s="1"/>
  <c r="V24" i="444"/>
  <c r="W24" i="444" s="1"/>
  <c r="T33" i="444"/>
  <c r="U33" i="444" s="1"/>
  <c r="S33" i="444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2" i="444"/>
  <c r="V2" i="444" s="1"/>
  <c r="W2" i="444" s="1"/>
  <c r="S22" i="444"/>
  <c r="V22" i="444" s="1"/>
  <c r="W22" i="444" s="1"/>
  <c r="S42" i="444"/>
  <c r="V42" i="444" s="1"/>
  <c r="W42" i="444" s="1"/>
  <c r="S62" i="444"/>
  <c r="V62" i="444" s="1"/>
  <c r="W62" i="444" s="1"/>
  <c r="S82" i="444"/>
  <c r="V82" i="444" s="1"/>
  <c r="W82" i="444" s="1"/>
  <c r="S102" i="444"/>
  <c r="V102" i="444" s="1"/>
  <c r="W102" i="444" s="1"/>
  <c r="S122" i="444"/>
  <c r="V122" i="444" s="1"/>
  <c r="W122" i="444" s="1"/>
  <c r="S142" i="444"/>
  <c r="V142" i="444" s="1"/>
  <c r="W142" i="444" s="1"/>
  <c r="S162" i="444"/>
  <c r="V162" i="444" s="1"/>
  <c r="W162" i="444" s="1"/>
  <c r="S145" i="444"/>
  <c r="V145" i="444" s="1"/>
  <c r="W145" i="444" s="1"/>
  <c r="S165" i="444"/>
  <c r="V165" i="444" s="1"/>
  <c r="W165" i="444" s="1"/>
  <c r="S148" i="444"/>
  <c r="V148" i="444" s="1"/>
  <c r="W148" i="444" s="1"/>
  <c r="S49" i="385" l="1"/>
  <c r="R72" i="385"/>
  <c r="R67" i="385"/>
  <c r="R73" i="385"/>
  <c r="R48" i="385"/>
  <c r="S69" i="385"/>
  <c r="R68" i="385"/>
  <c r="S66" i="385"/>
  <c r="E8" i="415"/>
  <c r="R71" i="385"/>
  <c r="E20" i="415"/>
  <c r="E54" i="415"/>
  <c r="E9" i="415"/>
  <c r="J33" i="385"/>
  <c r="H33" i="385"/>
  <c r="R57" i="385"/>
  <c r="E40" i="415"/>
  <c r="E22" i="415"/>
  <c r="E28" i="415"/>
  <c r="E5" i="415"/>
  <c r="M33" i="385"/>
  <c r="E33" i="385" s="1"/>
  <c r="E49" i="415"/>
  <c r="E30" i="415"/>
  <c r="E33" i="415"/>
  <c r="E26" i="415"/>
  <c r="E7" i="415"/>
  <c r="E25" i="415"/>
  <c r="M39" i="385"/>
  <c r="E39" i="385" s="1"/>
  <c r="E31" i="415"/>
  <c r="E51" i="415"/>
  <c r="E23" i="415"/>
  <c r="E47" i="415"/>
  <c r="E52" i="415"/>
  <c r="E19" i="415"/>
  <c r="E50" i="415"/>
  <c r="E39" i="415"/>
  <c r="E34" i="415"/>
  <c r="V133" i="444"/>
  <c r="W133" i="444" s="1"/>
  <c r="V153" i="444"/>
  <c r="W153" i="444" s="1"/>
  <c r="M17" i="385"/>
  <c r="E17" i="385" s="1"/>
  <c r="J17" i="385"/>
  <c r="H17" i="385"/>
  <c r="M31" i="385"/>
  <c r="E31" i="385" s="1"/>
  <c r="J31" i="385"/>
  <c r="H31" i="385"/>
  <c r="S40" i="385"/>
  <c r="R40" i="385"/>
  <c r="S26" i="385"/>
  <c r="R26" i="385"/>
  <c r="V53" i="444"/>
  <c r="W53" i="444" s="1"/>
  <c r="S46" i="385"/>
  <c r="R46" i="385"/>
  <c r="S44" i="385"/>
  <c r="R44" i="385"/>
  <c r="S36" i="385"/>
  <c r="R36" i="385"/>
  <c r="M27" i="385"/>
  <c r="E27" i="385" s="1"/>
  <c r="J27" i="385"/>
  <c r="H27" i="385"/>
  <c r="S47" i="385"/>
  <c r="R47" i="385"/>
  <c r="R38" i="385"/>
  <c r="S38" i="385"/>
  <c r="V113" i="444"/>
  <c r="W113" i="444" s="1"/>
  <c r="M9" i="385"/>
  <c r="E9" i="385" s="1"/>
  <c r="H9" i="385"/>
  <c r="J9" i="385"/>
  <c r="M21" i="385"/>
  <c r="E21" i="385" s="1"/>
  <c r="J21" i="385"/>
  <c r="H21" i="385"/>
  <c r="R7" i="385"/>
  <c r="S7" i="385"/>
  <c r="S32" i="385"/>
  <c r="R32" i="385"/>
  <c r="M28" i="385"/>
  <c r="E28" i="385" s="1"/>
  <c r="J28" i="385"/>
  <c r="H28" i="385"/>
  <c r="V13" i="444"/>
  <c r="W13" i="444" s="1"/>
  <c r="R43" i="385"/>
  <c r="S43" i="385"/>
  <c r="S37" i="385"/>
  <c r="R37" i="385"/>
  <c r="S10" i="385"/>
  <c r="R10" i="385"/>
  <c r="M35" i="385"/>
  <c r="E35" i="385" s="1"/>
  <c r="J35" i="385"/>
  <c r="H35" i="385"/>
  <c r="R13" i="385"/>
  <c r="S13" i="385"/>
  <c r="E53" i="415"/>
  <c r="M29" i="385"/>
  <c r="E29" i="385" s="1"/>
  <c r="J29" i="385"/>
  <c r="H29" i="385"/>
  <c r="J42" i="385"/>
  <c r="H42" i="385"/>
  <c r="M42" i="385"/>
  <c r="E42" i="385" s="1"/>
  <c r="M47" i="385"/>
  <c r="E47" i="385" s="1"/>
  <c r="J47" i="385"/>
  <c r="H47" i="385"/>
  <c r="M19" i="385"/>
  <c r="E19" i="385" s="1"/>
  <c r="J19" i="385"/>
  <c r="H19" i="385"/>
  <c r="J45" i="385"/>
  <c r="H45" i="385"/>
  <c r="M45" i="385"/>
  <c r="E45" i="385" s="1"/>
  <c r="S42" i="385"/>
  <c r="R42" i="385"/>
  <c r="J30" i="385"/>
  <c r="H30" i="385"/>
  <c r="M30" i="385"/>
  <c r="E30" i="385" s="1"/>
  <c r="J38" i="385"/>
  <c r="H38" i="385"/>
  <c r="M38" i="385"/>
  <c r="E38" i="385" s="1"/>
  <c r="E37" i="415"/>
  <c r="J46" i="385"/>
  <c r="H46" i="385"/>
  <c r="M46" i="385"/>
  <c r="E46" i="385" s="1"/>
  <c r="M20" i="385"/>
  <c r="E20" i="385" s="1"/>
  <c r="J20" i="385"/>
  <c r="H20" i="385"/>
  <c r="H16" i="385"/>
  <c r="M16" i="385"/>
  <c r="E16" i="385" s="1"/>
  <c r="J16" i="385"/>
  <c r="E35" i="415"/>
  <c r="V73" i="444"/>
  <c r="W73" i="444" s="1"/>
  <c r="S29" i="385"/>
  <c r="R29" i="385"/>
  <c r="M25" i="385"/>
  <c r="E25" i="385" s="1"/>
  <c r="H25" i="385"/>
  <c r="J25" i="385"/>
  <c r="J39" i="385"/>
  <c r="M36" i="385"/>
  <c r="E36" i="385" s="1"/>
  <c r="J36" i="385"/>
  <c r="H36" i="385"/>
  <c r="S25" i="385"/>
  <c r="R25" i="385"/>
  <c r="J50" i="385"/>
  <c r="H50" i="385"/>
  <c r="M50" i="385"/>
  <c r="E50" i="385" s="1"/>
  <c r="S14" i="385"/>
  <c r="R14" i="385"/>
  <c r="E21" i="415"/>
  <c r="S65" i="385"/>
  <c r="R65" i="385"/>
  <c r="S41" i="385"/>
  <c r="R41" i="385"/>
  <c r="H39" i="385"/>
  <c r="S55" i="385"/>
  <c r="R55" i="385"/>
  <c r="M15" i="385"/>
  <c r="E15" i="385" s="1"/>
  <c r="J15" i="385"/>
  <c r="H15" i="385"/>
  <c r="E24" i="415"/>
  <c r="M24" i="385"/>
  <c r="E24" i="385" s="1"/>
  <c r="J24" i="385"/>
  <c r="H24" i="385"/>
  <c r="H13" i="385"/>
  <c r="M13" i="385"/>
  <c r="E13" i="385" s="1"/>
  <c r="J13" i="385"/>
  <c r="S58" i="385"/>
  <c r="R58" i="385"/>
  <c r="R63" i="385"/>
  <c r="S63" i="385"/>
  <c r="S60" i="385"/>
  <c r="R60" i="385"/>
  <c r="S59" i="385"/>
  <c r="R59" i="385"/>
  <c r="E38" i="415"/>
  <c r="J18" i="385"/>
  <c r="H18" i="385"/>
  <c r="M18" i="385"/>
  <c r="E18" i="385" s="1"/>
  <c r="S11" i="385"/>
  <c r="R11" i="385"/>
  <c r="S28" i="385"/>
  <c r="R28" i="385"/>
  <c r="J53" i="385"/>
  <c r="H53" i="385"/>
  <c r="M53" i="385"/>
  <c r="E53" i="385" s="1"/>
  <c r="E46" i="415"/>
  <c r="J14" i="385"/>
  <c r="H14" i="385"/>
  <c r="M14" i="385"/>
  <c r="E14" i="385" s="1"/>
  <c r="S15" i="385"/>
  <c r="R15" i="385"/>
  <c r="J10" i="385"/>
  <c r="H10" i="385"/>
  <c r="M10" i="385"/>
  <c r="E10" i="385" s="1"/>
  <c r="M37" i="385"/>
  <c r="E37" i="385" s="1"/>
  <c r="J37" i="385"/>
  <c r="H37" i="385"/>
  <c r="E36" i="415"/>
  <c r="M51" i="385"/>
  <c r="E51" i="385" s="1"/>
  <c r="J51" i="385"/>
  <c r="H51" i="385"/>
  <c r="S12" i="385"/>
  <c r="R12" i="385"/>
  <c r="M11" i="385"/>
  <c r="E11" i="385" s="1"/>
  <c r="J11" i="385"/>
  <c r="H11" i="385"/>
  <c r="J52" i="385"/>
  <c r="M52" i="385"/>
  <c r="E52" i="385" s="1"/>
  <c r="H52" i="385"/>
  <c r="S31" i="385"/>
  <c r="R31" i="385"/>
  <c r="M12" i="385"/>
  <c r="E12" i="385" s="1"/>
  <c r="H12" i="385"/>
  <c r="J12" i="385"/>
  <c r="E18" i="415"/>
  <c r="V33" i="444"/>
  <c r="W33" i="444" s="1"/>
  <c r="J26" i="385"/>
  <c r="H26" i="385"/>
  <c r="M26" i="385"/>
  <c r="E26" i="385" s="1"/>
  <c r="S8" i="385"/>
  <c r="R8" i="385"/>
  <c r="M44" i="385"/>
  <c r="E44" i="385" s="1"/>
  <c r="J44" i="385"/>
  <c r="H44" i="385"/>
  <c r="M8" i="385"/>
  <c r="E8" i="385" s="1"/>
  <c r="J8" i="385"/>
  <c r="H8" i="385"/>
  <c r="E27" i="415"/>
  <c r="S56" i="385"/>
  <c r="R56" i="385"/>
  <c r="S9" i="385"/>
  <c r="R9" i="385"/>
  <c r="R6" i="385"/>
  <c r="S6" i="385"/>
  <c r="E6" i="415"/>
  <c r="M48" i="385"/>
  <c r="E48" i="385" s="1"/>
  <c r="J48" i="385"/>
  <c r="H48" i="385"/>
  <c r="S27" i="385"/>
  <c r="R27" i="385"/>
  <c r="J34" i="385"/>
  <c r="H34" i="385"/>
  <c r="M34" i="385"/>
  <c r="E34" i="385" s="1"/>
  <c r="E48" i="415"/>
  <c r="S5" i="385"/>
  <c r="R5" i="385"/>
  <c r="M7" i="385"/>
  <c r="E7" i="385" s="1"/>
  <c r="H7" i="385"/>
  <c r="J7" i="385"/>
  <c r="S45" i="385"/>
  <c r="R45" i="385"/>
  <c r="S35" i="385"/>
  <c r="R35" i="385"/>
  <c r="M5" i="385"/>
  <c r="E5" i="385" s="1"/>
  <c r="H5" i="385"/>
  <c r="J5" i="385"/>
  <c r="S64" i="385"/>
  <c r="R64" i="385"/>
  <c r="J6" i="385"/>
  <c r="H6" i="385"/>
  <c r="M6" i="385"/>
  <c r="E6" i="385" s="1"/>
  <c r="S53" i="385"/>
  <c r="R53" i="385"/>
  <c r="S30" i="385"/>
  <c r="R30" i="385"/>
  <c r="M41" i="385"/>
  <c r="E41" i="385" s="1"/>
  <c r="J41" i="385"/>
  <c r="H41" i="385"/>
  <c r="V93" i="444"/>
  <c r="W93" i="444" s="1"/>
  <c r="S61" i="385"/>
  <c r="R61" i="385"/>
  <c r="J32" i="385"/>
  <c r="H32" i="385"/>
  <c r="M32" i="385"/>
  <c r="E32" i="385" s="1"/>
  <c r="R62" i="385"/>
  <c r="S62" i="385"/>
  <c r="M43" i="385"/>
  <c r="E43" i="385" s="1"/>
  <c r="J43" i="385"/>
  <c r="H43" i="385"/>
  <c r="S39" i="385"/>
  <c r="R39" i="385"/>
  <c r="J40" i="385"/>
  <c r="M40" i="385"/>
  <c r="E40" i="385" s="1"/>
  <c r="H40" i="385"/>
  <c r="J22" i="385"/>
  <c r="H22" i="385"/>
  <c r="M22" i="385"/>
  <c r="E22" i="385" s="1"/>
  <c r="S54" i="385"/>
  <c r="R54" i="385"/>
  <c r="S33" i="385"/>
  <c r="R33" i="385"/>
  <c r="M49" i="385"/>
  <c r="E49" i="385" s="1"/>
  <c r="J49" i="385"/>
  <c r="H49" i="385"/>
  <c r="M23" i="385"/>
  <c r="E23" i="385" s="1"/>
  <c r="J23" i="385"/>
  <c r="H23" i="385"/>
  <c r="S34" i="385"/>
  <c r="R34" i="385"/>
  <c r="S225" i="89" a="1"/>
  <c r="S63" i="89" a="1"/>
  <c r="S63" i="89" l="1"/>
  <c r="S225" i="89"/>
  <c r="R63" i="89" a="1"/>
  <c r="R225" i="89" a="1"/>
  <c r="R225" i="89" l="1"/>
  <c r="R63" i="89"/>
  <c r="AE235" i="89" l="1"/>
  <c r="M235" i="89" l="1"/>
  <c r="I235" i="89"/>
  <c r="AA235" i="89" a="1"/>
  <c r="N235" i="89" a="1"/>
  <c r="AA235" i="89" l="1"/>
  <c r="N235" i="89"/>
  <c r="P235" i="89"/>
  <c r="Q235" i="89" s="1"/>
  <c r="AE234" i="89"/>
  <c r="Z235" i="89" a="1"/>
  <c r="S235" i="89" a="1"/>
  <c r="Z235" i="89" l="1"/>
  <c r="S235" i="89"/>
  <c r="R235" i="89" a="1"/>
  <c r="R235" i="89" l="1"/>
  <c r="AC235" i="89"/>
  <c r="Y235" i="89"/>
  <c r="U235" i="89"/>
  <c r="J235" i="89"/>
  <c r="A235" i="89" l="1"/>
  <c r="D235" i="89"/>
  <c r="M234" i="89" l="1"/>
  <c r="I234" i="89"/>
  <c r="AA234" i="89" a="1"/>
  <c r="N234" i="89" a="1"/>
  <c r="AA234" i="89" l="1"/>
  <c r="N234" i="89"/>
  <c r="AE233" i="89"/>
  <c r="Z234" i="89" a="1"/>
  <c r="Z234" i="89" l="1"/>
  <c r="P234" i="89"/>
  <c r="Q234" i="89" s="1"/>
  <c r="AC234" i="89"/>
  <c r="Y234" i="89"/>
  <c r="U234" i="89"/>
  <c r="J234" i="89"/>
  <c r="D234" i="89" l="1"/>
  <c r="A234" i="89"/>
  <c r="K239" i="89" l="1"/>
  <c r="I233" i="89"/>
  <c r="AA233" i="89" a="1"/>
  <c r="AA233" i="89" l="1"/>
  <c r="I239" i="89"/>
  <c r="M233" i="89"/>
  <c r="N233" i="89" a="1"/>
  <c r="N233" i="89" l="1"/>
  <c r="Z233" i="89" a="1"/>
  <c r="S233" i="89" a="1"/>
  <c r="Z233" i="89" l="1"/>
  <c r="P233" i="89"/>
  <c r="Q233" i="89" s="1"/>
  <c r="S233" i="89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Z225" i="89" a="1"/>
  <c r="AA224" i="89" a="1"/>
  <c r="N224" i="89" a="1"/>
  <c r="Z225" i="89" l="1"/>
  <c r="AA224" i="89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Z213" i="89" a="1"/>
  <c r="Z213" i="89" l="1"/>
  <c r="P213" i="89"/>
  <c r="Q213" i="89" s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M211" i="89"/>
  <c r="I211" i="89"/>
  <c r="H211" i="89"/>
  <c r="AA211" i="89" a="1"/>
  <c r="AA211" i="89" l="1"/>
  <c r="K217" i="89"/>
  <c r="I215" i="89"/>
  <c r="M218" i="89" s="1"/>
  <c r="I217" i="89"/>
  <c r="I219" i="89" s="1"/>
  <c r="N211" i="89" a="1"/>
  <c r="N211" i="89" l="1"/>
  <c r="W210" i="89"/>
  <c r="I210" i="89"/>
  <c r="Z211" i="89" a="1"/>
  <c r="S211" i="89" a="1"/>
  <c r="Z211" i="89" l="1"/>
  <c r="P211" i="89"/>
  <c r="P215" i="89" s="1"/>
  <c r="Q215" i="89" s="1"/>
  <c r="S211" i="89"/>
  <c r="R211" i="89" a="1"/>
  <c r="R211" i="89" l="1"/>
  <c r="C217" i="89"/>
  <c r="C218" i="89" s="1"/>
  <c r="Q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s="1"/>
  <c r="S204" i="89"/>
  <c r="AC204" i="89" l="1"/>
  <c r="Y204" i="89"/>
  <c r="U204" i="89"/>
  <c r="J204" i="89"/>
  <c r="R204" i="89" a="1"/>
  <c r="W203" i="89" a="1"/>
  <c r="R204" i="89" l="1"/>
  <c r="W203" i="89"/>
  <c r="L203" i="89" a="1"/>
  <c r="L203" i="89" l="1"/>
  <c r="K203" i="89" a="1"/>
  <c r="K203" i="89" l="1"/>
  <c r="K207" i="89" s="1"/>
  <c r="M203" i="89"/>
  <c r="I203" i="89"/>
  <c r="H203" i="89"/>
  <c r="AA203" i="89" a="1"/>
  <c r="F203" i="89" a="1"/>
  <c r="AA203" i="89" l="1"/>
  <c r="F203" i="89"/>
  <c r="AE203" i="89"/>
  <c r="I206" i="89"/>
  <c r="I208" i="89"/>
  <c r="N203" i="89" a="1"/>
  <c r="N203" i="89" l="1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I197" i="89"/>
  <c r="H197" i="89"/>
  <c r="AA197" i="89" a="1"/>
  <c r="F197" i="89" a="1"/>
  <c r="AA197" i="89" l="1"/>
  <c r="F197" i="89"/>
  <c r="AE197" i="89"/>
  <c r="N197" i="89" a="1"/>
  <c r="N197" i="89" l="1"/>
  <c r="Z197" i="89" a="1"/>
  <c r="Z197" i="89" l="1"/>
  <c r="P197" i="89"/>
  <c r="Q197" i="89" s="1"/>
  <c r="AE196" i="89"/>
  <c r="S197" i="89" a="1"/>
  <c r="S197" i="89" l="1"/>
  <c r="R197" i="89" a="1"/>
  <c r="R197" i="89" l="1"/>
  <c r="AC197" i="89"/>
  <c r="Y197" i="89"/>
  <c r="U197" i="89"/>
  <c r="J197" i="89"/>
  <c r="W196" i="89" a="1"/>
  <c r="W196" i="89" l="1"/>
  <c r="L196" i="89" a="1"/>
  <c r="L196" i="89" l="1"/>
  <c r="K196" i="89" a="1"/>
  <c r="K196" i="89" l="1"/>
  <c r="K198" i="89"/>
  <c r="M196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I195" i="89"/>
  <c r="H195" i="89"/>
  <c r="AA195" i="89" a="1"/>
  <c r="F195" i="89" a="1"/>
  <c r="AA195" i="89" l="1"/>
  <c r="M195" i="89"/>
  <c r="F195" i="89"/>
  <c r="I200" i="89"/>
  <c r="I198" i="89"/>
  <c r="AE195" i="89"/>
  <c r="N195" i="89" a="1"/>
  <c r="N195" i="89" l="1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89" i="89"/>
  <c r="I191" i="89"/>
  <c r="N186" i="89"/>
  <c r="D186" i="89"/>
  <c r="Z186" i="89" a="1"/>
  <c r="Z186" i="89" l="1"/>
  <c r="P186" i="89"/>
  <c r="J185" i="89"/>
  <c r="I185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S179" i="89" a="1"/>
  <c r="S179" i="89" l="1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AA178" i="89" a="1"/>
  <c r="F178" i="89" a="1"/>
  <c r="AA178" i="89" l="1"/>
  <c r="F178" i="89"/>
  <c r="AE178" i="89"/>
  <c r="I183" i="89"/>
  <c r="I181" i="89"/>
  <c r="N178" i="89" a="1"/>
  <c r="N178" i="89" l="1"/>
  <c r="D178" i="89"/>
  <c r="Z178" i="89" a="1"/>
  <c r="Z178" i="89" l="1"/>
  <c r="P178" i="89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M169" i="89" l="1"/>
  <c r="I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K162" i="89"/>
  <c r="L164" i="89"/>
  <c r="M160" i="89"/>
  <c r="I160" i="89"/>
  <c r="AA160" i="89" a="1"/>
  <c r="AA160" i="89" l="1"/>
  <c r="I162" i="89"/>
  <c r="I163" i="89" s="1"/>
  <c r="P160" i="89"/>
  <c r="Q160" i="89" s="1"/>
  <c r="Q162" i="89" s="1"/>
  <c r="K164" i="89"/>
  <c r="K163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P154" i="89"/>
  <c r="Q154" i="89" s="1"/>
  <c r="Z154" i="89" a="1"/>
  <c r="Z154" i="89" l="1"/>
  <c r="AG153" i="89"/>
  <c r="S154" i="89" a="1"/>
  <c r="AB154" i="89" a="1"/>
  <c r="AB154" i="89" l="1"/>
  <c r="S154" i="89"/>
  <c r="R154" i="89" a="1"/>
  <c r="R154" i="89" l="1"/>
  <c r="AC154" i="89"/>
  <c r="Y154" i="89"/>
  <c r="U154" i="89"/>
  <c r="J154" i="89"/>
  <c r="T155" i="89" l="1"/>
  <c r="M153" i="89" l="1"/>
  <c r="L157" i="89"/>
  <c r="L166" i="89" s="1"/>
  <c r="K155" i="89"/>
  <c r="I153" i="89"/>
  <c r="AA153" i="89" a="1"/>
  <c r="AA153" i="89" l="1"/>
  <c r="I155" i="89"/>
  <c r="I156" i="89" s="1"/>
  <c r="K157" i="89"/>
  <c r="K166" i="89" s="1"/>
  <c r="K156" i="89"/>
  <c r="N153" i="89" a="1"/>
  <c r="N153" i="89" l="1"/>
  <c r="P153" i="89"/>
  <c r="Q153" i="89" s="1"/>
  <c r="Q155" i="89" s="1"/>
  <c r="Q165" i="89" s="1"/>
  <c r="Z153" i="89" a="1"/>
  <c r="Z153" i="89" l="1"/>
  <c r="Z152" i="89"/>
  <c r="S153" i="89" a="1"/>
  <c r="AB153" i="89" a="1"/>
  <c r="AB153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AA137" i="89" a="1"/>
  <c r="F137" i="89" a="1"/>
  <c r="AA137" i="89" l="1"/>
  <c r="F137" i="89"/>
  <c r="N137" i="89"/>
  <c r="Z137" i="89" s="1" a="1"/>
  <c r="Z137" i="89" l="1"/>
  <c r="P137" i="89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AA136" i="89" a="1"/>
  <c r="F136" i="89" a="1"/>
  <c r="AA136" i="89" l="1"/>
  <c r="F136" i="89"/>
  <c r="AG136" i="89"/>
  <c r="I139" i="89"/>
  <c r="I140" i="89" s="1"/>
  <c r="N136" i="89"/>
  <c r="Z136" i="89" s="1" a="1"/>
  <c r="Z136" i="89" l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AA129" i="89" a="1"/>
  <c r="F129" i="89" a="1"/>
  <c r="AA129" i="89" l="1"/>
  <c r="F129" i="89"/>
  <c r="I131" i="89"/>
  <c r="I132" i="89" s="1"/>
  <c r="K133" i="89"/>
  <c r="K132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AA123" i="89" a="1"/>
  <c r="F123" i="89" a="1"/>
  <c r="AA123" i="89" l="1"/>
  <c r="F123" i="89"/>
  <c r="AG123" i="89"/>
  <c r="N123" i="89"/>
  <c r="Z123" i="89" s="1" a="1"/>
  <c r="Z123" i="89" l="1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6" i="89"/>
  <c r="K125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AA116" i="89" a="1"/>
  <c r="F116" i="89" a="1"/>
  <c r="AA116" i="89" l="1"/>
  <c r="F116" i="89"/>
  <c r="AG116" i="89"/>
  <c r="N116" i="89"/>
  <c r="Z116" i="89" s="1" a="1"/>
  <c r="Z116" i="89" l="1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AA109" i="89" a="1"/>
  <c r="F109" i="89" a="1"/>
  <c r="AA109" i="89" l="1"/>
  <c r="F109" i="89"/>
  <c r="AG109" i="89"/>
  <c r="N109" i="89"/>
  <c r="Z109" i="89" s="1" a="1"/>
  <c r="Z109" i="89" l="1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AA108" i="89" a="1"/>
  <c r="F108" i="89" a="1"/>
  <c r="AA108" i="89" l="1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Z102" i="89" a="1"/>
  <c r="AA102" i="89" a="1"/>
  <c r="AA102" i="89" l="1"/>
  <c r="Z102" i="89"/>
  <c r="AG102" i="89"/>
  <c r="P102" i="89"/>
  <c r="Q102" i="89" s="1"/>
  <c r="AG101" i="89" l="1"/>
  <c r="S102" i="89" a="1"/>
  <c r="S102" i="89" l="1"/>
  <c r="R102" i="89" a="1"/>
  <c r="R102" i="89" l="1"/>
  <c r="AC102" i="89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AA95" i="89" a="1"/>
  <c r="AA95" i="89" l="1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AA90" i="89" a="1"/>
  <c r="N90" i="89"/>
  <c r="Z90" i="89" s="1" a="1"/>
  <c r="Z90" i="89" l="1"/>
  <c r="AA90" i="89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AA89" i="89" a="1"/>
  <c r="F89" i="89" a="1"/>
  <c r="AA89" i="89" l="1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H82" i="89"/>
  <c r="Z82" i="89" a="1"/>
  <c r="Z82" i="89" l="1"/>
  <c r="I82" i="89"/>
  <c r="AE82" i="89"/>
  <c r="AA82" i="89" a="1"/>
  <c r="AA82" i="89" l="1"/>
  <c r="P82" i="89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S81" i="89" a="1"/>
  <c r="N81" i="89" l="1"/>
  <c r="S81" i="89"/>
  <c r="R81" i="89" a="1"/>
  <c r="Z81" i="89" a="1"/>
  <c r="R81" i="89" l="1"/>
  <c r="Z81" i="89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H76" i="89"/>
  <c r="Z76" i="89" a="1"/>
  <c r="AA76" i="89" a="1"/>
  <c r="Z76" i="89" l="1"/>
  <c r="AA76" i="89"/>
  <c r="AE76" i="89"/>
  <c r="P76" i="89"/>
  <c r="Q76" i="89" s="1"/>
  <c r="AE75" i="89" l="1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AA69" i="89" a="1"/>
  <c r="F69" i="89" a="1"/>
  <c r="AA69" i="89" l="1"/>
  <c r="F69" i="89"/>
  <c r="AE69" i="89"/>
  <c r="N69" i="89" a="1"/>
  <c r="N69" i="89" l="1"/>
  <c r="P69" i="89"/>
  <c r="Q69" i="89" s="1"/>
  <c r="Z69" i="89" a="1"/>
  <c r="Z69" i="89" l="1"/>
  <c r="AE68" i="89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S68" i="89" a="1"/>
  <c r="N68" i="89" l="1"/>
  <c r="S68" i="89"/>
  <c r="P68" i="89"/>
  <c r="Q68" i="89" s="1"/>
  <c r="Q70" i="89" s="1"/>
  <c r="Z68" i="89" a="1"/>
  <c r="R68" i="89" a="1"/>
  <c r="Z68" i="89" l="1"/>
  <c r="R68" i="89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P63" i="89"/>
  <c r="Q63" i="89" s="1"/>
  <c r="Z63" i="89" a="1"/>
  <c r="Z63" i="89" l="1"/>
  <c r="AE62" i="89"/>
  <c r="AC63" i="89" l="1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P56" i="89"/>
  <c r="Q56" i="89" s="1"/>
  <c r="Z56" i="89" a="1"/>
  <c r="Z56" i="89" l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G57" i="89"/>
  <c r="I60" i="89"/>
  <c r="I58" i="89"/>
  <c r="Z55" i="89" a="1"/>
  <c r="Z55" i="89" l="1"/>
  <c r="P55" i="89"/>
  <c r="Q55" i="89" s="1"/>
  <c r="Q57" i="89" s="1"/>
  <c r="P54" i="89" l="1"/>
  <c r="A51" i="89"/>
  <c r="S55" i="89" a="1"/>
  <c r="S55" i="89" l="1"/>
  <c r="R55" i="89" a="1"/>
  <c r="R55" i="89" l="1"/>
  <c r="AC55" i="89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P49" i="89"/>
  <c r="Q49" i="89" s="1"/>
  <c r="Q51" i="89" s="1"/>
  <c r="Z49" i="89" a="1"/>
  <c r="Z49" i="89" l="1"/>
  <c r="I48" i="89"/>
  <c r="P47" i="89"/>
  <c r="L46" i="89"/>
  <c r="K46" i="89"/>
  <c r="AE40" i="89"/>
  <c r="S49" i="89" a="1"/>
  <c r="S49" i="89" l="1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/>
  <c r="Q40" i="89" s="1"/>
  <c r="Z40" i="89" a="1"/>
  <c r="Z40" i="89" l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P39" i="89"/>
  <c r="Z39" i="89" a="1"/>
  <c r="Z39" i="89" l="1"/>
  <c r="P42" i="89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AE33" i="89" l="1"/>
  <c r="W37" i="89" l="1"/>
  <c r="T35" i="89" l="1"/>
  <c r="K36" i="89" l="1"/>
  <c r="K35" i="89"/>
  <c r="I33" i="89" l="1"/>
  <c r="M33" i="89"/>
  <c r="K44" i="89"/>
  <c r="L44" i="89"/>
  <c r="K43" i="89"/>
  <c r="AA33" i="89" a="1"/>
  <c r="N33" i="89" a="1"/>
  <c r="AA33" i="89" l="1"/>
  <c r="I35" i="89"/>
  <c r="I36" i="89" s="1"/>
  <c r="K37" i="89"/>
  <c r="N33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M27" i="89" l="1"/>
  <c r="I27" i="89"/>
  <c r="AA27" i="89" a="1"/>
  <c r="AA27" i="89" l="1"/>
  <c r="AE27" i="89"/>
  <c r="N27" i="89" a="1"/>
  <c r="N27" i="89" l="1"/>
  <c r="Z27" i="89" a="1"/>
  <c r="Z27" i="89" l="1"/>
  <c r="P27" i="89"/>
  <c r="Q27" i="89" s="1"/>
  <c r="A27" i="89" l="1"/>
  <c r="AE26" i="89"/>
  <c r="S27" i="89" a="1"/>
  <c r="AB27" i="89" a="1"/>
  <c r="AB27" i="89" l="1"/>
  <c r="S27" i="89"/>
  <c r="R27" i="89" a="1"/>
  <c r="R27" i="89" l="1"/>
  <c r="AC27" i="89"/>
  <c r="Y27" i="89"/>
  <c r="U27" i="89"/>
  <c r="J27" i="89"/>
  <c r="T28" i="89" l="1"/>
  <c r="L30" i="89" l="1"/>
  <c r="K28" i="89"/>
  <c r="M26" i="89"/>
  <c r="I26" i="89"/>
  <c r="AA26" i="89" a="1"/>
  <c r="AA26" i="89" l="1"/>
  <c r="I28" i="89"/>
  <c r="K31" i="89"/>
  <c r="K30" i="89"/>
  <c r="K29" i="89"/>
  <c r="N26" i="89" a="1"/>
  <c r="N26" i="89" l="1"/>
  <c r="I29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J20" i="89"/>
  <c r="AL21" i="89" s="1"/>
  <c r="AK21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N20" i="89" a="1"/>
  <c r="AA20" i="89" l="1"/>
  <c r="I23" i="89"/>
  <c r="N20" i="89"/>
  <c r="P20" i="89"/>
  <c r="Q20" i="89" s="1"/>
  <c r="Z20" i="89" a="1"/>
  <c r="Z20" i="89" l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S19" i="89" a="1"/>
  <c r="F19" i="89"/>
  <c r="AA19" i="89" l="1"/>
  <c r="S19" i="89"/>
  <c r="I21" i="89"/>
  <c r="I22" i="89" s="1"/>
  <c r="G18" i="89"/>
  <c r="R19" i="89" a="1"/>
  <c r="N19" i="89" a="1"/>
  <c r="R19" i="89" l="1"/>
  <c r="N19" i="89"/>
  <c r="AC19" i="89"/>
  <c r="Y19" i="89"/>
  <c r="U19" i="89"/>
  <c r="J19" i="89"/>
  <c r="Z19" i="89" a="1"/>
  <c r="Z19" i="89" l="1"/>
  <c r="P19" i="89"/>
  <c r="Y21" i="89"/>
  <c r="Y22" i="89" s="1"/>
  <c r="P22" i="89" l="1"/>
  <c r="P23" i="89" s="1"/>
  <c r="Q19" i="89"/>
  <c r="Q21" i="89" s="1"/>
  <c r="W14" i="89" a="1"/>
  <c r="W14" i="89" l="1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N13" i="89" a="1"/>
  <c r="N13" i="89" l="1"/>
  <c r="P13" i="89"/>
  <c r="Z13" i="89" a="1"/>
  <c r="Z13" i="89" l="1"/>
  <c r="P16" i="89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1" i="89"/>
  <c r="K10" i="89"/>
  <c r="K18" i="89" s="1"/>
  <c r="N7" i="89" a="1"/>
  <c r="N7" i="89" l="1"/>
  <c r="P7" i="89"/>
  <c r="Z7" i="89"/>
  <c r="P10" i="89" l="1"/>
  <c r="Q7" i="89"/>
  <c r="Q9" i="89" s="1"/>
  <c r="Q11" i="89" s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BA27" i="2"/>
  <c r="S7" i="89" a="1"/>
  <c r="J43" i="2" l="1"/>
  <c r="I43" i="2" s="1"/>
  <c r="J46" i="2"/>
  <c r="I46" i="2" s="1"/>
  <c r="J44" i="2"/>
  <c r="I44" i="2" s="1"/>
  <c r="J45" i="2"/>
  <c r="I45" i="2" s="1"/>
  <c r="S7" i="89"/>
  <c r="Q5" i="89"/>
  <c r="R7" i="89" a="1"/>
  <c r="R7" i="89" l="1"/>
  <c r="AC7" i="89"/>
  <c r="Y7" i="89"/>
  <c r="U7" i="89"/>
  <c r="J7" i="89"/>
  <c r="J11" i="89" s="1"/>
  <c r="Y9" i="89" l="1"/>
  <c r="AN27" i="2" a="1"/>
  <c r="AN27" i="2" l="1"/>
  <c r="Y10" i="89"/>
  <c r="P11" i="89"/>
  <c r="AF27" i="2" a="1"/>
  <c r="AF27" i="2" l="1"/>
  <c r="Q27" i="2" a="1"/>
  <c r="Q27" i="2" l="1"/>
  <c r="P27" i="2" a="1"/>
  <c r="P27" i="2" l="1"/>
  <c r="R27" i="2" s="1"/>
  <c r="L27" i="2" a="1"/>
  <c r="L27" i="2" l="1"/>
  <c r="BB27" i="2"/>
  <c r="BC27" i="2" s="1"/>
  <c r="G27" i="2" a="1"/>
  <c r="G27" i="2" l="1"/>
  <c r="O27" i="2"/>
  <c r="S27" i="2" a="1"/>
  <c r="S27" i="2" l="1"/>
  <c r="AO27" i="2"/>
  <c r="AP27" i="2"/>
  <c r="U27" i="2"/>
  <c r="Z27" i="2"/>
  <c r="AV27" i="2" s="1" a="1"/>
  <c r="AV27" i="2" l="1"/>
  <c r="AE27" i="2"/>
  <c r="AS27" i="2"/>
  <c r="AT27" i="2"/>
  <c r="AL27" i="2"/>
  <c r="AB27" i="2"/>
  <c r="M27" i="2"/>
  <c r="AM27" i="2" l="1"/>
  <c r="X27" i="2"/>
  <c r="Y27" i="2" s="1"/>
  <c r="BA26" i="2" l="1"/>
  <c r="AN26" i="2" a="1"/>
  <c r="AN26" i="2" l="1"/>
  <c r="AF26" i="2" a="1"/>
  <c r="AF26" i="2" l="1"/>
  <c r="Q26" i="2" a="1"/>
  <c r="Q26" i="2" l="1"/>
  <c r="P26" i="2" a="1"/>
  <c r="P26" i="2" l="1"/>
  <c r="R26" i="2" s="1"/>
  <c r="L26" i="2" a="1"/>
  <c r="L26" i="2" l="1"/>
  <c r="BB26" i="2"/>
  <c r="BC26" i="2" s="1"/>
  <c r="G26" i="2" a="1"/>
  <c r="G26" i="2" l="1"/>
  <c r="O26" i="2"/>
  <c r="S26" i="2" a="1"/>
  <c r="S26" i="2" l="1"/>
  <c r="AO26" i="2" s="1"/>
  <c r="Z26" i="2"/>
  <c r="AV26" i="2" s="1" a="1"/>
  <c r="AV26" i="2" l="1"/>
  <c r="AP26" i="2"/>
  <c r="U26" i="2"/>
  <c r="AE26" i="2"/>
  <c r="AT26" i="2"/>
  <c r="AS26" i="2"/>
  <c r="AL26" i="2"/>
  <c r="AB26" i="2"/>
  <c r="M26" i="2"/>
  <c r="BA25" i="2"/>
  <c r="AM26" i="2" l="1"/>
  <c r="X26" i="2"/>
  <c r="Y26" i="2" s="1"/>
  <c r="AN25" i="2" a="1"/>
  <c r="AN25" i="2" l="1"/>
  <c r="AF25" i="2" a="1"/>
  <c r="AF25" i="2" l="1"/>
  <c r="Q25" i="2" a="1"/>
  <c r="Q25" i="2" l="1"/>
  <c r="P25" i="2" a="1"/>
  <c r="P25" i="2" l="1"/>
  <c r="R25" i="2" s="1"/>
  <c r="L25" i="2" a="1"/>
  <c r="L25" i="2" l="1"/>
  <c r="BB25" i="2"/>
  <c r="BC25" i="2" s="1"/>
  <c r="G25" i="2" a="1"/>
  <c r="G25" i="2" l="1"/>
  <c r="O25" i="2"/>
  <c r="S25" i="2" a="1"/>
  <c r="S25" i="2" l="1"/>
  <c r="AO25" i="2" s="1"/>
  <c r="AP25" i="2"/>
  <c r="U25" i="2"/>
  <c r="Z25" i="2"/>
  <c r="AV25" i="2" s="1" a="1"/>
  <c r="AV25" i="2" l="1"/>
  <c r="AE25" i="2"/>
  <c r="AT25" i="2"/>
  <c r="AS25" i="2"/>
  <c r="AL25" i="2"/>
  <c r="Q29" i="1" s="1"/>
  <c r="AB25" i="2"/>
  <c r="M25" i="2"/>
  <c r="BA4" i="2"/>
  <c r="AM25" i="2" l="1"/>
  <c r="X25" i="2"/>
  <c r="Y2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BB4" i="2"/>
  <c r="BC4" i="2" s="1"/>
  <c r="G4" i="2" a="1"/>
  <c r="G4" i="2" l="1"/>
  <c r="O4" i="2"/>
  <c r="S4" i="2" a="1"/>
  <c r="S4" i="2" l="1"/>
  <c r="AO4" i="2"/>
  <c r="AP4" i="2"/>
  <c r="U4" i="2"/>
  <c r="AC4" i="2" a="1"/>
  <c r="Z4" i="2"/>
  <c r="AV4" i="2" s="1" a="1"/>
  <c r="AQ4" i="2" a="1"/>
  <c r="AV4" i="2" l="1"/>
  <c r="AQ4" i="2"/>
  <c r="AC4" i="2"/>
  <c r="AE4" i="2" s="1"/>
  <c r="AS4" i="2"/>
  <c r="AT4" i="2"/>
  <c r="AM4" i="2"/>
  <c r="AL4" i="2"/>
  <c r="X4" i="2"/>
  <c r="Y4" i="2" s="1"/>
  <c r="AB4" i="2"/>
  <c r="M4" i="2"/>
  <c r="BA7" i="2" l="1"/>
  <c r="AN7" i="2" a="1"/>
  <c r="AN7" i="2" l="1"/>
  <c r="AF7" i="2" a="1"/>
  <c r="AF7" i="2" l="1"/>
  <c r="Q7" i="2" a="1"/>
  <c r="Q7" i="2" l="1"/>
  <c r="P7" i="2" a="1"/>
  <c r="P7" i="2" l="1"/>
  <c r="R7" i="2" s="1"/>
  <c r="L7" i="2" a="1"/>
  <c r="L7" i="2" l="1"/>
  <c r="BB7" i="2"/>
  <c r="BC7" i="2" s="1"/>
  <c r="G7" i="2" a="1"/>
  <c r="G7" i="2" l="1"/>
  <c r="O7" i="2"/>
  <c r="S7" i="2" a="1"/>
  <c r="S7" i="2" l="1"/>
  <c r="AO7" i="2" s="1"/>
  <c r="AP7" i="2"/>
  <c r="Z7" i="2"/>
  <c r="AV7" i="2" s="1" a="1"/>
  <c r="AV7" i="2" l="1"/>
  <c r="U7" i="2"/>
  <c r="AE7" i="2"/>
  <c r="AT7" i="2"/>
  <c r="AS7" i="2"/>
  <c r="AL7" i="2"/>
  <c r="AB7" i="2"/>
  <c r="M7" i="2"/>
  <c r="BA6" i="2"/>
  <c r="AM7" i="2" l="1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BB6" i="2"/>
  <c r="BC6" i="2" s="1"/>
  <c r="G6" i="2" a="1"/>
  <c r="G6" i="2" l="1"/>
  <c r="O6" i="2"/>
  <c r="S6" i="2" a="1"/>
  <c r="S6" i="2" l="1"/>
  <c r="AO6" i="2"/>
  <c r="AP6" i="2"/>
  <c r="U6" i="2"/>
  <c r="Z6" i="2"/>
  <c r="AV6" i="2" s="1" a="1"/>
  <c r="AV6" i="2" l="1"/>
  <c r="AE6" i="2"/>
  <c r="AT6" i="2"/>
  <c r="AS6" i="2"/>
  <c r="AL6" i="2"/>
  <c r="AB6" i="2"/>
  <c r="M6" i="2"/>
  <c r="BA22" i="2"/>
  <c r="AM6" i="2" l="1"/>
  <c r="X6" i="2"/>
  <c r="Y6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BB22" i="2"/>
  <c r="BC22" i="2" s="1"/>
  <c r="G22" i="2" a="1"/>
  <c r="G22" i="2" l="1"/>
  <c r="O22" i="2"/>
  <c r="S22" i="2" a="1"/>
  <c r="S22" i="2" l="1"/>
  <c r="AO22" i="2" s="1"/>
  <c r="AP22" i="2"/>
  <c r="U22" i="2"/>
  <c r="AE22" i="2" l="1"/>
  <c r="AT22" i="2"/>
  <c r="AS22" i="2"/>
  <c r="AL22" i="2"/>
  <c r="Q23" i="1" s="1"/>
  <c r="AB22" i="2"/>
  <c r="M22" i="2"/>
  <c r="AM22" i="2" l="1"/>
  <c r="X22" i="2"/>
  <c r="Y22" i="2" s="1"/>
  <c r="BA19" i="2" l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BB19" i="2"/>
  <c r="BC19" i="2" s="1"/>
  <c r="G19" i="2" a="1"/>
  <c r="G19" i="2" l="1"/>
  <c r="O19" i="2"/>
  <c r="S19" i="2" a="1"/>
  <c r="S19" i="2" l="1"/>
  <c r="U19" i="2" s="1"/>
  <c r="AP19" i="2" l="1"/>
  <c r="AO19" i="2"/>
  <c r="AE19" i="2"/>
  <c r="AT19" i="2"/>
  <c r="AS19" i="2"/>
  <c r="AL19" i="2"/>
  <c r="AB19" i="2"/>
  <c r="M19" i="2"/>
  <c r="AM19" i="2" l="1"/>
  <c r="X19" i="2"/>
  <c r="Y19" i="2" s="1"/>
  <c r="BA18" i="2" l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BB18" i="2"/>
  <c r="BC18" i="2" s="1"/>
  <c r="G18" i="2" a="1"/>
  <c r="G18" i="2" l="1"/>
  <c r="O18" i="2"/>
  <c r="S18" i="2" a="1"/>
  <c r="S18" i="2" l="1"/>
  <c r="AO18" i="2" s="1"/>
  <c r="Z18" i="2"/>
  <c r="AV18" i="2" s="1" a="1"/>
  <c r="AV18" i="2" l="1"/>
  <c r="U18" i="2"/>
  <c r="AP18" i="2"/>
  <c r="AE18" i="2"/>
  <c r="AT18" i="2"/>
  <c r="AS18" i="2"/>
  <c r="AL18" i="2"/>
  <c r="Q32" i="1" s="1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BB17" i="2"/>
  <c r="BC17" i="2" s="1"/>
  <c r="G17" i="2" a="1"/>
  <c r="G17" i="2" l="1"/>
  <c r="O17" i="2"/>
  <c r="S17" i="2" a="1"/>
  <c r="S17" i="2" l="1"/>
  <c r="AO17" i="2" s="1"/>
  <c r="Z17" i="2"/>
  <c r="AV17" i="2" s="1" a="1"/>
  <c r="AV17" i="2" l="1"/>
  <c r="U17" i="2"/>
  <c r="AP17" i="2"/>
  <c r="AE17" i="2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BB16" i="2"/>
  <c r="BC16" i="2" s="1"/>
  <c r="G16" i="2" a="1"/>
  <c r="G16" i="2" l="1"/>
  <c r="O16" i="2"/>
  <c r="S16" i="2" a="1"/>
  <c r="S16" i="2" l="1"/>
  <c r="AO16" i="2"/>
  <c r="AP16" i="2"/>
  <c r="U16" i="2"/>
  <c r="Z16" i="2"/>
  <c r="AV16" i="2" s="1" a="1"/>
  <c r="AV16" i="2" l="1"/>
  <c r="AE16" i="2"/>
  <c r="AT16" i="2"/>
  <c r="AS16" i="2"/>
  <c r="AL16" i="2"/>
  <c r="AB16" i="2"/>
  <c r="M16" i="2"/>
  <c r="BA14" i="2"/>
  <c r="AM16" i="2" l="1"/>
  <c r="X16" i="2"/>
  <c r="Y16" i="2" s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BB14" i="2"/>
  <c r="BC14" i="2" s="1"/>
  <c r="G14" i="2" a="1"/>
  <c r="G14" i="2" l="1"/>
  <c r="O14" i="2"/>
  <c r="S14" i="2" a="1"/>
  <c r="S14" i="2" l="1"/>
  <c r="AO14" i="2" s="1"/>
  <c r="AP14" i="2"/>
  <c r="Z14" i="2"/>
  <c r="AV14" i="2" s="1" a="1"/>
  <c r="AV14" i="2" l="1"/>
  <c r="U14" i="2"/>
  <c r="AE14" i="2"/>
  <c r="AT14" i="2"/>
  <c r="AS14" i="2"/>
  <c r="AL14" i="2"/>
  <c r="AB14" i="2"/>
  <c r="M14" i="2"/>
  <c r="BA13" i="2"/>
  <c r="Q21" i="1" l="1"/>
  <c r="AM14" i="2"/>
  <c r="X14" i="2"/>
  <c r="Y14" i="2" s="1"/>
  <c r="AN13" i="2" a="1"/>
  <c r="T22" i="1" l="1"/>
  <c r="AN13" i="2"/>
  <c r="AF13" i="2" a="1"/>
  <c r="AF13" i="2" l="1"/>
  <c r="Q13" i="2" a="1"/>
  <c r="Q13" i="2" l="1"/>
  <c r="P13" i="2" a="1"/>
  <c r="P13" i="2" l="1"/>
  <c r="R13" i="2" s="1"/>
  <c r="L13" i="2" a="1"/>
  <c r="L13" i="2" l="1"/>
  <c r="BB13" i="2"/>
  <c r="BC13" i="2" s="1"/>
  <c r="G13" i="2" a="1"/>
  <c r="G13" i="2" l="1"/>
  <c r="O13" i="2"/>
  <c r="S13" i="2" a="1"/>
  <c r="S13" i="2" l="1"/>
  <c r="AO13" i="2" s="1"/>
  <c r="AP13" i="2"/>
  <c r="U13" i="2"/>
  <c r="AE13" i="2" l="1"/>
  <c r="AS13" i="2"/>
  <c r="AT13" i="2"/>
  <c r="AL13" i="2"/>
  <c r="Q27" i="1" s="1"/>
  <c r="AB13" i="2"/>
  <c r="M13" i="2"/>
  <c r="AM13" i="2" l="1"/>
  <c r="X13" i="2"/>
  <c r="Y13" i="2" s="1"/>
  <c r="BA10" i="2" l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BB10" i="2"/>
  <c r="BC10" i="2" s="1"/>
  <c r="G10" i="2" a="1"/>
  <c r="G10" i="2" l="1"/>
  <c r="O10" i="2"/>
  <c r="S10" i="2" a="1"/>
  <c r="S10" i="2" l="1"/>
  <c r="U10" i="2" s="1"/>
  <c r="AP10" i="2"/>
  <c r="Z10" i="2"/>
  <c r="AV10" i="2" s="1" a="1"/>
  <c r="AV10" i="2" l="1"/>
  <c r="AO10" i="2"/>
  <c r="AE10" i="2"/>
  <c r="AT10" i="2"/>
  <c r="AS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BB9" i="2"/>
  <c r="BC9" i="2" s="1"/>
  <c r="G9" i="2" a="1"/>
  <c r="G9" i="2" l="1"/>
  <c r="O9" i="2"/>
  <c r="S9" i="2" a="1"/>
  <c r="S9" i="2" l="1"/>
  <c r="AO9" i="2"/>
  <c r="U9" i="2"/>
  <c r="AP9" i="2"/>
  <c r="Z9" i="2"/>
  <c r="AV9" i="2" s="1" a="1"/>
  <c r="AV9" i="2" l="1"/>
  <c r="AE9" i="2"/>
  <c r="AS9" i="2"/>
  <c r="AT9" i="2"/>
  <c r="AL9" i="2"/>
  <c r="Q28" i="1" s="1"/>
  <c r="AB9" i="2"/>
  <c r="M9" i="2"/>
  <c r="BA8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S8" i="2" a="1"/>
  <c r="S8" i="2" l="1"/>
  <c r="U8" i="2" s="1"/>
  <c r="AO8" i="2"/>
  <c r="AP8" i="2" l="1"/>
  <c r="AE8" i="2"/>
  <c r="AT8" i="2"/>
  <c r="AS8" i="2"/>
  <c r="AL8" i="2"/>
  <c r="AB8" i="2"/>
  <c r="M8" i="2"/>
  <c r="U2" i="2"/>
  <c r="R2" i="2"/>
  <c r="Q2" i="2" a="1"/>
  <c r="Q2" i="2" l="1"/>
  <c r="S2" i="2" s="1"/>
  <c r="AM8" i="2"/>
  <c r="X8" i="2"/>
  <c r="Y8" i="2" s="1"/>
  <c r="P2" i="2" a="1"/>
  <c r="P2" i="2" l="1"/>
  <c r="L2" i="2" a="1"/>
  <c r="L2" i="2" l="1"/>
  <c r="I2" i="2" l="1"/>
  <c r="X1" i="2"/>
  <c r="R1" i="2"/>
  <c r="O1" i="2"/>
  <c r="H1" i="2"/>
  <c r="N34" i="1" l="1"/>
  <c r="J34" i="1"/>
  <c r="T34" i="1" l="1"/>
  <c r="N33" i="1" l="1"/>
  <c r="J33" i="1"/>
  <c r="T33" i="1" l="1"/>
  <c r="N32" i="1" l="1"/>
  <c r="J32" i="1"/>
  <c r="T32" i="1" l="1"/>
  <c r="N30" i="1" l="1"/>
  <c r="J30" i="1"/>
  <c r="T30" i="1" l="1"/>
  <c r="N29" i="1" l="1"/>
  <c r="J29" i="1"/>
  <c r="T29" i="1" l="1"/>
  <c r="N28" i="1" l="1"/>
  <c r="J28" i="1"/>
  <c r="T28" i="1" l="1"/>
  <c r="N27" i="1" l="1"/>
  <c r="J27" i="1"/>
  <c r="T27" i="1" l="1"/>
  <c r="N26" i="1" l="1"/>
  <c r="J26" i="1"/>
  <c r="T26" i="1" l="1"/>
  <c r="N24" i="1" l="1"/>
  <c r="J24" i="1"/>
  <c r="T24" i="1" l="1"/>
  <c r="N23" i="1" l="1"/>
  <c r="J23" i="1"/>
  <c r="T23" i="1" l="1"/>
  <c r="N21" i="1" l="1"/>
  <c r="J21" i="1"/>
  <c r="T21" i="1" l="1"/>
  <c r="Q15" i="1" l="1"/>
  <c r="I15" i="1" a="1"/>
  <c r="I15" i="1" l="1"/>
  <c r="N15" i="1" l="1"/>
  <c r="J15" i="1"/>
  <c r="T15" i="1" l="1"/>
  <c r="Q14" i="1" l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20" i="1" l="1"/>
  <c r="AH20" i="1"/>
  <c r="BD15" i="2"/>
  <c r="AI15" i="2"/>
  <c r="AK15" i="2"/>
  <c r="V15" i="2"/>
  <c r="P22" i="1"/>
  <c r="AD22" i="1" s="1"/>
  <c r="W15" i="2"/>
  <c r="AH22" i="1"/>
  <c r="BD5" i="2"/>
  <c r="BD24" i="2"/>
  <c r="AI24" i="2"/>
  <c r="AK24" i="2"/>
  <c r="V24" i="2"/>
  <c r="AK5" i="2"/>
  <c r="V5" i="2"/>
  <c r="W24" i="2"/>
  <c r="AI5" i="2"/>
  <c r="W5" i="2"/>
  <c r="BD21" i="2"/>
  <c r="BD20" i="2"/>
  <c r="AI20" i="2"/>
  <c r="AK20" i="2"/>
  <c r="V20" i="2"/>
  <c r="AK21" i="2"/>
  <c r="V21" i="2"/>
  <c r="AI21" i="2"/>
  <c r="W20" i="2"/>
  <c r="W21" i="2"/>
  <c r="P17" i="1"/>
  <c r="AD17" i="1" s="1"/>
  <c r="AH17" i="1"/>
  <c r="P25" i="1"/>
  <c r="AD25" i="1" s="1"/>
  <c r="AH25" i="1"/>
  <c r="BD23" i="2"/>
  <c r="AK23" i="2"/>
  <c r="V23" i="2"/>
  <c r="W23" i="2"/>
  <c r="P35" i="1"/>
  <c r="AH35" i="1"/>
  <c r="P36" i="1"/>
  <c r="V36" i="1" s="1"/>
  <c r="BD12" i="2"/>
  <c r="BD11" i="2"/>
  <c r="AK11" i="2"/>
  <c r="V11" i="2"/>
  <c r="AI11" i="2"/>
  <c r="AI12" i="2"/>
  <c r="V12" i="2"/>
  <c r="AK12" i="2"/>
  <c r="W12" i="2"/>
  <c r="W11" i="2"/>
  <c r="P19" i="1"/>
  <c r="V19" i="1" s="1"/>
  <c r="P18" i="1"/>
  <c r="V18" i="1" s="1"/>
  <c r="P16" i="1"/>
  <c r="BD27" i="2"/>
  <c r="V27" i="2"/>
  <c r="AI27" i="2"/>
  <c r="AK27" i="2"/>
  <c r="W27" i="2"/>
  <c r="BD26" i="2"/>
  <c r="AK26" i="2"/>
  <c r="V26" i="2"/>
  <c r="AI26" i="2"/>
  <c r="W26" i="2"/>
  <c r="BD25" i="2"/>
  <c r="V25" i="2"/>
  <c r="AK25" i="2"/>
  <c r="AI25" i="2"/>
  <c r="W25" i="2"/>
  <c r="BD4" i="2"/>
  <c r="V4" i="2"/>
  <c r="AK4" i="2"/>
  <c r="AI4" i="2"/>
  <c r="W4" i="2"/>
  <c r="BD7" i="2"/>
  <c r="AK7" i="2"/>
  <c r="V7" i="2"/>
  <c r="AI7" i="2"/>
  <c r="W7" i="2"/>
  <c r="BD6" i="2"/>
  <c r="V6" i="2"/>
  <c r="AK6" i="2"/>
  <c r="AI6" i="2"/>
  <c r="W6" i="2"/>
  <c r="BD22" i="2"/>
  <c r="AK22" i="2"/>
  <c r="S23" i="1" s="1"/>
  <c r="V22" i="2"/>
  <c r="AI22" i="2"/>
  <c r="W22" i="2"/>
  <c r="BD19" i="2"/>
  <c r="V19" i="2"/>
  <c r="AK19" i="2"/>
  <c r="AI19" i="2"/>
  <c r="W19" i="2"/>
  <c r="BD18" i="2"/>
  <c r="V18" i="2"/>
  <c r="AK18" i="2"/>
  <c r="AI18" i="2"/>
  <c r="W18" i="2"/>
  <c r="BD17" i="2"/>
  <c r="AK17" i="2"/>
  <c r="V17" i="2"/>
  <c r="AI17" i="2"/>
  <c r="W17" i="2"/>
  <c r="BD16" i="2"/>
  <c r="V16" i="2"/>
  <c r="AI16" i="2"/>
  <c r="AK16" i="2"/>
  <c r="W16" i="2"/>
  <c r="BD14" i="2"/>
  <c r="V14" i="2"/>
  <c r="AK14" i="2"/>
  <c r="AI14" i="2"/>
  <c r="W14" i="2"/>
  <c r="BD13" i="2"/>
  <c r="AK13" i="2"/>
  <c r="S27" i="1" s="1"/>
  <c r="V13" i="2"/>
  <c r="AI13" i="2"/>
  <c r="W13" i="2"/>
  <c r="BD10" i="2"/>
  <c r="V10" i="2"/>
  <c r="AK10" i="2"/>
  <c r="AI10" i="2"/>
  <c r="W10" i="2"/>
  <c r="BD9" i="2"/>
  <c r="V9" i="2"/>
  <c r="AI9" i="2"/>
  <c r="AK9" i="2"/>
  <c r="W9" i="2"/>
  <c r="BD8" i="2"/>
  <c r="AK8" i="2"/>
  <c r="AI8" i="2"/>
  <c r="V8" i="2"/>
  <c r="W8" i="2"/>
  <c r="AH36" i="1"/>
  <c r="P34" i="1"/>
  <c r="AH34" i="1"/>
  <c r="P33" i="1"/>
  <c r="AH33" i="1"/>
  <c r="P32" i="1"/>
  <c r="AH32" i="1"/>
  <c r="P30" i="1"/>
  <c r="AH30" i="1"/>
  <c r="P29" i="1"/>
  <c r="AH29" i="1"/>
  <c r="P28" i="1"/>
  <c r="AH28" i="1"/>
  <c r="P27" i="1"/>
  <c r="AH27" i="1"/>
  <c r="P26" i="1"/>
  <c r="AH26" i="1"/>
  <c r="P24" i="1"/>
  <c r="AH24" i="1"/>
  <c r="P23" i="1"/>
  <c r="AH23" i="1"/>
  <c r="P21" i="1"/>
  <c r="AH21" i="1"/>
  <c r="AH19" i="1"/>
  <c r="AH18" i="1"/>
  <c r="AH16" i="1"/>
  <c r="P15" i="1"/>
  <c r="AH15" i="1"/>
  <c r="P14" i="1"/>
  <c r="AH14" i="1"/>
  <c r="P13" i="1"/>
  <c r="AH13" i="1"/>
  <c r="P12" i="1"/>
  <c r="AH12" i="1"/>
  <c r="AH10" i="1" s="1"/>
  <c r="AD8" i="1"/>
  <c r="AD20" i="1" l="1"/>
  <c r="V20" i="1"/>
  <c r="S25" i="1"/>
  <c r="V25" i="1" s="1"/>
  <c r="V22" i="1"/>
  <c r="S32" i="1"/>
  <c r="S28" i="1"/>
  <c r="V28" i="1" s="1"/>
  <c r="S21" i="1"/>
  <c r="V21" i="1" s="1"/>
  <c r="S29" i="1"/>
  <c r="V29" i="1" s="1"/>
  <c r="S14" i="1"/>
  <c r="V14" i="1" s="1"/>
  <c r="V17" i="1"/>
  <c r="V27" i="1"/>
  <c r="S15" i="1"/>
  <c r="V15" i="1" s="1"/>
  <c r="AD35" i="1"/>
  <c r="V35" i="1"/>
  <c r="S16" i="1"/>
  <c r="V16" i="1" s="1"/>
  <c r="W1" i="2"/>
  <c r="V1" i="2"/>
  <c r="V23" i="1"/>
  <c r="J7" i="1"/>
  <c r="AD34" i="1"/>
  <c r="V34" i="1"/>
  <c r="AD30" i="1"/>
  <c r="V30" i="1"/>
  <c r="AD15" i="1"/>
  <c r="AI1" i="2"/>
  <c r="AJ15" i="2" s="1"/>
  <c r="AD24" i="1"/>
  <c r="V24" i="1"/>
  <c r="AD26" i="1"/>
  <c r="V26" i="1"/>
  <c r="AD28" i="1"/>
  <c r="AD19" i="1"/>
  <c r="AD27" i="1"/>
  <c r="AD13" i="1"/>
  <c r="V13" i="1"/>
  <c r="AD16" i="1"/>
  <c r="AD14" i="1"/>
  <c r="AD18" i="1"/>
  <c r="AD21" i="1"/>
  <c r="AD23" i="1"/>
  <c r="AD33" i="1"/>
  <c r="V33" i="1"/>
  <c r="AD29" i="1"/>
  <c r="AD32" i="1"/>
  <c r="AD36" i="1"/>
  <c r="AD12" i="1"/>
  <c r="V12" i="1"/>
  <c r="P10" i="1"/>
  <c r="P7" i="1"/>
  <c r="AJ5" i="2" l="1"/>
  <c r="AJ24" i="2"/>
  <c r="AJ21" i="2"/>
  <c r="AJ20" i="2"/>
  <c r="V9" i="1"/>
  <c r="AJ23" i="2"/>
  <c r="AJ19" i="2"/>
  <c r="AJ12" i="2"/>
  <c r="AJ11" i="2"/>
  <c r="AJ18" i="2"/>
  <c r="AJ13" i="2"/>
  <c r="AJ9" i="2"/>
  <c r="AJ4" i="2"/>
  <c r="AJ17" i="2"/>
  <c r="AJ26" i="2"/>
  <c r="AJ25" i="2"/>
  <c r="AJ27" i="2"/>
  <c r="AJ22" i="2"/>
  <c r="AJ7" i="2"/>
  <c r="S10" i="1"/>
  <c r="AD10" i="1"/>
  <c r="V32" i="1"/>
  <c r="S7" i="1"/>
  <c r="AJ16" i="2"/>
  <c r="AJ14" i="2"/>
  <c r="AJ8" i="2"/>
  <c r="AJ10" i="2"/>
  <c r="AJ6" i="2"/>
  <c r="D7" i="1" l="1"/>
  <c r="AE6" i="1"/>
  <c r="V6" i="1"/>
  <c r="S6" i="1"/>
  <c r="P6" i="1"/>
  <c r="J6" i="1" l="1"/>
  <c r="D6" i="1" l="1"/>
  <c r="AE5" i="1"/>
  <c r="V5" i="1"/>
  <c r="V7" i="1" s="1"/>
  <c r="V10" i="1" s="1"/>
  <c r="S5" i="1"/>
  <c r="P5" i="1"/>
  <c r="AD237" i="89" l="1"/>
  <c r="X237" i="89"/>
  <c r="AD236" i="89"/>
  <c r="X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AD160" i="89"/>
  <c r="AD162" i="89" s="1"/>
  <c r="X160" i="89"/>
  <c r="X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X129" i="89"/>
  <c r="X131" i="89" s="1"/>
  <c r="AD129" i="89"/>
  <c r="AD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AD108" i="89"/>
  <c r="AD110" i="89" s="1"/>
  <c r="X108" i="89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3" i="89"/>
  <c r="AD33" i="89"/>
  <c r="AD35" i="89" s="1"/>
  <c r="X27" i="89"/>
  <c r="AD27" i="89"/>
  <c r="AD26" i="89"/>
  <c r="AD28" i="89" s="1"/>
  <c r="X26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B1" i="2"/>
  <c r="O20" i="1" l="1"/>
  <c r="U20" i="1"/>
  <c r="O22" i="1"/>
  <c r="AH15" i="2"/>
  <c r="AG15" i="2"/>
  <c r="U22" i="1"/>
  <c r="X110" i="89"/>
  <c r="X146" i="89"/>
  <c r="AG24" i="2"/>
  <c r="AH24" i="2"/>
  <c r="AG5" i="2"/>
  <c r="AH5" i="2"/>
  <c r="R35" i="1"/>
  <c r="R24" i="1"/>
  <c r="R18" i="1"/>
  <c r="R34" i="1"/>
  <c r="R33" i="1"/>
  <c r="R19" i="1"/>
  <c r="R36" i="1"/>
  <c r="R17" i="1"/>
  <c r="R30" i="1"/>
  <c r="R26" i="1"/>
  <c r="R25" i="1"/>
  <c r="R29" i="1"/>
  <c r="R23" i="1"/>
  <c r="R32" i="1"/>
  <c r="R21" i="1"/>
  <c r="R27" i="1"/>
  <c r="R28" i="1"/>
  <c r="X103" i="89"/>
  <c r="AG21" i="2"/>
  <c r="AH20" i="2"/>
  <c r="AG20" i="2"/>
  <c r="AH21" i="2"/>
  <c r="O17" i="1"/>
  <c r="U17" i="1"/>
  <c r="O25" i="1"/>
  <c r="U25" i="1"/>
  <c r="X70" i="89"/>
  <c r="O35" i="1"/>
  <c r="U35" i="1"/>
  <c r="X9" i="89"/>
  <c r="X77" i="89"/>
  <c r="AH11" i="2"/>
  <c r="AG11" i="2"/>
  <c r="AG12" i="2"/>
  <c r="AH12" i="2"/>
  <c r="O19" i="1"/>
  <c r="O16" i="1"/>
  <c r="O18" i="1"/>
  <c r="R16" i="1"/>
  <c r="U19" i="1"/>
  <c r="U18" i="1"/>
  <c r="U16" i="1"/>
  <c r="O36" i="1"/>
  <c r="U36" i="1"/>
  <c r="X41" i="89"/>
  <c r="X35" i="89"/>
  <c r="X124" i="89"/>
  <c r="X91" i="89"/>
  <c r="X51" i="89"/>
  <c r="X97" i="89"/>
  <c r="X64" i="89"/>
  <c r="X206" i="89"/>
  <c r="X208" i="89" s="1"/>
  <c r="X155" i="89"/>
  <c r="X139" i="89"/>
  <c r="X117" i="89"/>
  <c r="X28" i="89"/>
  <c r="X83" i="89"/>
  <c r="X21" i="89"/>
  <c r="X57" i="89"/>
  <c r="X15" i="89"/>
  <c r="J5" i="1"/>
  <c r="AG27" i="2"/>
  <c r="AH27" i="2"/>
  <c r="AG26" i="2"/>
  <c r="AH26" i="2"/>
  <c r="AG25" i="2"/>
  <c r="AH25" i="2"/>
  <c r="AG4" i="2"/>
  <c r="AH4" i="2"/>
  <c r="AG7" i="2"/>
  <c r="AH7" i="2"/>
  <c r="AG6" i="2"/>
  <c r="AH6" i="2"/>
  <c r="AG22" i="2"/>
  <c r="AH22" i="2"/>
  <c r="AG19" i="2"/>
  <c r="AH19" i="2"/>
  <c r="AG18" i="2"/>
  <c r="AH18" i="2"/>
  <c r="AG17" i="2"/>
  <c r="AH17" i="2"/>
  <c r="AG16" i="2"/>
  <c r="AH16" i="2"/>
  <c r="AG14" i="2"/>
  <c r="AH14" i="2"/>
  <c r="AG13" i="2"/>
  <c r="AH13" i="2"/>
  <c r="AG10" i="2"/>
  <c r="AH10" i="2"/>
  <c r="AG9" i="2"/>
  <c r="AH9" i="2"/>
  <c r="AG8" i="2"/>
  <c r="AH8" i="2"/>
  <c r="O34" i="1"/>
  <c r="U34" i="1"/>
  <c r="O33" i="1"/>
  <c r="U33" i="1"/>
  <c r="O32" i="1"/>
  <c r="U32" i="1"/>
  <c r="O30" i="1"/>
  <c r="U30" i="1"/>
  <c r="O29" i="1"/>
  <c r="U29" i="1"/>
  <c r="O28" i="1"/>
  <c r="U28" i="1"/>
  <c r="O27" i="1"/>
  <c r="U27" i="1"/>
  <c r="O26" i="1"/>
  <c r="U26" i="1"/>
  <c r="O24" i="1"/>
  <c r="U24" i="1"/>
  <c r="O23" i="1"/>
  <c r="U23" i="1"/>
  <c r="O21" i="1"/>
  <c r="U21" i="1"/>
  <c r="R15" i="1"/>
  <c r="O15" i="1"/>
  <c r="U15" i="1"/>
  <c r="R14" i="1"/>
  <c r="O14" i="1"/>
  <c r="U14" i="1"/>
  <c r="R13" i="1"/>
  <c r="O13" i="1"/>
  <c r="U13" i="1"/>
  <c r="R12" i="1"/>
  <c r="W10" i="1"/>
  <c r="O12" i="1"/>
  <c r="U12" i="1"/>
  <c r="X215" i="89"/>
  <c r="X181" i="89"/>
  <c r="X189" i="89"/>
  <c r="X198" i="89"/>
  <c r="X200" i="89" s="1"/>
  <c r="X172" i="89"/>
  <c r="X12" i="89" s="1"/>
  <c r="X226" i="89"/>
  <c r="AA20" i="1" l="1"/>
  <c r="Y20" i="1"/>
  <c r="Z20" i="1"/>
  <c r="W20" i="1"/>
  <c r="W22" i="1"/>
  <c r="Y22" i="1"/>
  <c r="AA22" i="1"/>
  <c r="Z22" i="1"/>
  <c r="U9" i="1"/>
  <c r="W17" i="1"/>
  <c r="Y17" i="1"/>
  <c r="Z17" i="1"/>
  <c r="AA17" i="1"/>
  <c r="AA25" i="1"/>
  <c r="Y25" i="1"/>
  <c r="Z25" i="1"/>
  <c r="W25" i="1"/>
  <c r="R1" i="1"/>
  <c r="W35" i="1"/>
  <c r="Y35" i="1"/>
  <c r="Z35" i="1"/>
  <c r="AA35" i="1"/>
  <c r="AA24" i="1"/>
  <c r="Z24" i="1"/>
  <c r="Y24" i="1"/>
  <c r="Y28" i="1"/>
  <c r="AA28" i="1"/>
  <c r="Z28" i="1"/>
  <c r="Z33" i="1"/>
  <c r="AA33" i="1"/>
  <c r="Y33" i="1"/>
  <c r="R6" i="1"/>
  <c r="R5" i="1"/>
  <c r="AA12" i="1"/>
  <c r="Y12" i="1"/>
  <c r="Z12" i="1"/>
  <c r="Z30" i="1"/>
  <c r="Y30" i="1"/>
  <c r="AA30" i="1"/>
  <c r="Y23" i="1"/>
  <c r="AA23" i="1"/>
  <c r="Z23" i="1"/>
  <c r="W36" i="1"/>
  <c r="W34" i="1"/>
  <c r="W33" i="1"/>
  <c r="W32" i="1"/>
  <c r="W30" i="1"/>
  <c r="W29" i="1"/>
  <c r="W28" i="1"/>
  <c r="W27" i="1"/>
  <c r="W26" i="1"/>
  <c r="W24" i="1"/>
  <c r="W23" i="1"/>
  <c r="W21" i="1"/>
  <c r="W19" i="1"/>
  <c r="W18" i="1"/>
  <c r="W16" i="1"/>
  <c r="W15" i="1"/>
  <c r="W14" i="1"/>
  <c r="W13" i="1"/>
  <c r="W12" i="1"/>
  <c r="AA13" i="1"/>
  <c r="Z13" i="1"/>
  <c r="Y13" i="1"/>
  <c r="Z34" i="1"/>
  <c r="AA34" i="1"/>
  <c r="Y34" i="1"/>
  <c r="Y19" i="1"/>
  <c r="AA19" i="1"/>
  <c r="Z19" i="1"/>
  <c r="O6" i="1"/>
  <c r="O5" i="1"/>
  <c r="AA16" i="1"/>
  <c r="Z16" i="1"/>
  <c r="Y16" i="1"/>
  <c r="U5" i="1"/>
  <c r="AA14" i="1"/>
  <c r="Y14" i="1"/>
  <c r="Z14" i="1"/>
  <c r="Z15" i="1"/>
  <c r="AA15" i="1"/>
  <c r="Y15" i="1"/>
  <c r="U6" i="1"/>
  <c r="Y21" i="1"/>
  <c r="AA21" i="1"/>
  <c r="Z21" i="1"/>
  <c r="Z29" i="1"/>
  <c r="Y29" i="1"/>
  <c r="AA29" i="1"/>
  <c r="Z26" i="1"/>
  <c r="Y26" i="1"/>
  <c r="AA26" i="1"/>
  <c r="Y18" i="1"/>
  <c r="AA18" i="1"/>
  <c r="Z18" i="1"/>
  <c r="AA36" i="1"/>
  <c r="Z36" i="1"/>
  <c r="Y36" i="1"/>
  <c r="AA32" i="1"/>
  <c r="Z32" i="1"/>
  <c r="Y32" i="1"/>
  <c r="Y27" i="1"/>
  <c r="AA27" i="1"/>
  <c r="Z27" i="1"/>
  <c r="Z10" i="1" l="1"/>
  <c r="AA6" i="1"/>
  <c r="AB6" i="1" s="1"/>
  <c r="AA5" i="1"/>
  <c r="D5" i="1"/>
  <c r="W6" i="1"/>
  <c r="O8" i="1"/>
  <c r="O7" i="1"/>
  <c r="R8" i="1"/>
  <c r="R7" i="1"/>
  <c r="U8" i="1"/>
  <c r="U7" i="1"/>
  <c r="U10" i="1" s="1"/>
  <c r="W5" i="1"/>
  <c r="AA8" i="1" l="1"/>
  <c r="AB5" i="1"/>
  <c r="AA7" i="1"/>
  <c r="AA10" i="1" s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 l="1"/>
  <c r="D3" i="1" l="1"/>
  <c r="W2" i="1" l="1"/>
  <c r="J2" i="1" l="1"/>
  <c r="D2" i="1" l="1"/>
  <c r="T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13" i="446" l="1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X4" i="446"/>
  <c r="X14" i="446" l="1"/>
  <c r="AG4" i="446"/>
  <c r="AG14" i="446" s="1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Z55" i="338"/>
  <c r="AB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V46" i="338" l="1"/>
  <c r="U46" i="338"/>
  <c r="L46" i="338"/>
  <c r="N46" i="338" s="1"/>
  <c r="AD46" i="338"/>
  <c r="AB46" i="338"/>
  <c r="Z46" i="338"/>
  <c r="I45" i="338" a="1"/>
  <c r="I45" i="338" l="1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B42" i="338"/>
  <c r="AD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N41" i="338" s="1"/>
  <c r="AD41" i="338"/>
  <c r="Z41" i="338"/>
  <c r="AB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U37" i="338" l="1"/>
  <c r="V37" i="338"/>
  <c r="L37" i="338"/>
  <c r="AD37" i="338"/>
  <c r="Z37" i="338"/>
  <c r="AB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Z36" i="338"/>
  <c r="AB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Z32" i="338"/>
  <c r="AB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U31" i="338" l="1"/>
  <c r="V31" i="338"/>
  <c r="L31" i="338"/>
  <c r="N31" i="338" s="1"/>
  <c r="AD31" i="338"/>
  <c r="AB31" i="338"/>
  <c r="Z31" i="338"/>
  <c r="I30" i="338" a="1"/>
  <c r="I30" i="338" l="1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B29" i="338"/>
  <c r="AD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Z18" i="338"/>
  <c r="AB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Z17" i="338"/>
  <c r="AB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N14" i="338" s="1"/>
  <c r="AD14" i="338"/>
  <c r="AB14" i="338"/>
  <c r="Z14" i="338"/>
  <c r="I13" i="338" a="1"/>
  <c r="I13" i="338" l="1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N13" i="338" s="1"/>
  <c r="AB13" i="338"/>
  <c r="AD13" i="338"/>
  <c r="Z13" i="338"/>
  <c r="I12" i="338" a="1"/>
  <c r="I12" i="338" l="1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B12" i="338"/>
  <c r="AD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N9" i="338" s="1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50" i="338" a="1"/>
  <c r="AP42" i="338" a="1"/>
  <c r="AU15" i="338" a="1"/>
  <c r="AU17" i="338" a="1"/>
  <c r="AU44" i="338" a="1"/>
  <c r="AU35" i="338" a="1"/>
  <c r="AU37" i="338" a="1"/>
  <c r="AU39" i="338" a="1"/>
  <c r="AP51" i="338" a="1"/>
  <c r="AU34" i="338" a="1"/>
  <c r="AU16" i="338" a="1"/>
  <c r="AP36" i="338" a="1"/>
  <c r="AU52" i="338" a="1"/>
  <c r="AU29" i="338" a="1"/>
  <c r="AP41" i="338" a="1"/>
  <c r="AU36" i="338" a="1"/>
  <c r="AU54" i="338" a="1"/>
  <c r="AU38" i="338" a="1"/>
  <c r="AU45" i="338" a="1"/>
  <c r="AU13" i="338" a="1"/>
  <c r="AP46" i="338" a="1"/>
  <c r="AP35" i="338" a="1"/>
  <c r="AP15" i="338" a="1"/>
  <c r="AU51" i="338" a="1"/>
  <c r="AP18" i="338" a="1"/>
  <c r="AP45" i="338" a="1"/>
  <c r="AP49" i="338" a="1"/>
  <c r="AP14" i="338" a="1"/>
  <c r="AP11" i="338" a="1"/>
  <c r="AP31" i="338" a="1"/>
  <c r="AU31" i="338" a="1"/>
  <c r="AU33" i="338" a="1"/>
  <c r="AP39" i="338" a="1"/>
  <c r="AP10" i="338" a="1"/>
  <c r="AP17" i="338" a="1"/>
  <c r="AP33" i="338" a="1"/>
  <c r="AP38" i="338" a="1"/>
  <c r="AP40" i="338" a="1"/>
  <c r="AP32" i="338" a="1"/>
  <c r="AU30" i="338" a="1"/>
  <c r="AU41" i="338" a="1"/>
  <c r="AU47" i="338" a="1"/>
  <c r="AU40" i="338" a="1"/>
  <c r="AP16" i="338" a="1"/>
  <c r="AU48" i="338" a="1"/>
  <c r="AP8" i="338" a="1"/>
  <c r="AP9" i="338" a="1"/>
  <c r="AU42" i="338" a="1"/>
  <c r="AU18" i="338" a="1"/>
  <c r="AU9" i="338" a="1"/>
  <c r="AU49" i="338" a="1"/>
  <c r="AU11" i="338" a="1"/>
  <c r="AP37" i="338" a="1"/>
  <c r="AP13" i="338" a="1"/>
  <c r="AU10" i="338" a="1"/>
  <c r="AP53" i="338" a="1"/>
  <c r="AP30" i="338" a="1"/>
  <c r="AP44" i="338" a="1"/>
  <c r="AP47" i="338" a="1"/>
  <c r="AP48" i="338" a="1"/>
  <c r="AU32" i="338" a="1"/>
  <c r="AU8" i="338" a="1"/>
  <c r="AP12" i="338" a="1"/>
  <c r="AU46" i="338" a="1"/>
  <c r="AU50" i="338" a="1"/>
  <c r="AP52" i="338" a="1"/>
  <c r="AP54" i="338" a="1"/>
  <c r="AP34" i="338" a="1"/>
  <c r="AU12" i="338" a="1"/>
  <c r="AU53" i="338" a="1"/>
  <c r="AP29" i="338" a="1"/>
  <c r="H8" i="338" l="1"/>
  <c r="AP29" i="338"/>
  <c r="AU53" i="338"/>
  <c r="AU12" i="338"/>
  <c r="AP34" i="338"/>
  <c r="AP54" i="338"/>
  <c r="AP52" i="338"/>
  <c r="AU50" i="338"/>
  <c r="AU46" i="338"/>
  <c r="AP12" i="338"/>
  <c r="AU8" i="338"/>
  <c r="AU32" i="338"/>
  <c r="AP48" i="338"/>
  <c r="AP47" i="338"/>
  <c r="AP44" i="338"/>
  <c r="AP30" i="338"/>
  <c r="AP53" i="338"/>
  <c r="AU10" i="338"/>
  <c r="AP13" i="338"/>
  <c r="AP37" i="338"/>
  <c r="AU11" i="338"/>
  <c r="AU49" i="338"/>
  <c r="AU9" i="338"/>
  <c r="AU18" i="338"/>
  <c r="AU42" i="338"/>
  <c r="AP9" i="338"/>
  <c r="AP8" i="338"/>
  <c r="AU48" i="338"/>
  <c r="AP16" i="338"/>
  <c r="AU40" i="338"/>
  <c r="AU47" i="338"/>
  <c r="AU41" i="338"/>
  <c r="AU30" i="338"/>
  <c r="AP32" i="338"/>
  <c r="AP40" i="338"/>
  <c r="AP38" i="338"/>
  <c r="AP33" i="338"/>
  <c r="AP17" i="338"/>
  <c r="AP10" i="338"/>
  <c r="AP39" i="338"/>
  <c r="AU33" i="338"/>
  <c r="AU31" i="338"/>
  <c r="AP31" i="338"/>
  <c r="AP11" i="338"/>
  <c r="AP14" i="338"/>
  <c r="AP49" i="338"/>
  <c r="AP45" i="338"/>
  <c r="AP18" i="338"/>
  <c r="AU51" i="338"/>
  <c r="AP15" i="338"/>
  <c r="AP35" i="338"/>
  <c r="AP46" i="338"/>
  <c r="AU13" i="338"/>
  <c r="AU45" i="338"/>
  <c r="AU38" i="338"/>
  <c r="AU54" i="338"/>
  <c r="AU36" i="338"/>
  <c r="AP41" i="338"/>
  <c r="AU29" i="338"/>
  <c r="AU52" i="338"/>
  <c r="AP36" i="338"/>
  <c r="AU16" i="338"/>
  <c r="AU34" i="338"/>
  <c r="AP51" i="338"/>
  <c r="AU39" i="338"/>
  <c r="AU37" i="338"/>
  <c r="AU35" i="338"/>
  <c r="AU44" i="338"/>
  <c r="AU17" i="338"/>
  <c r="AU15" i="338"/>
  <c r="AP42" i="338"/>
  <c r="AP50" i="338"/>
  <c r="AN3" i="338"/>
  <c r="V20" i="252"/>
  <c r="U20" i="252"/>
  <c r="O8" i="338"/>
  <c r="Q2" i="338"/>
  <c r="Q4" i="338" s="1"/>
  <c r="E4" i="338"/>
  <c r="E1" i="338" s="1"/>
  <c r="AM3" i="338"/>
  <c r="K8" i="338"/>
  <c r="L8" i="338" a="1"/>
  <c r="U8" i="338" a="1"/>
  <c r="V8" i="338" a="1"/>
  <c r="AN29" i="338"/>
  <c r="AN11" i="338"/>
  <c r="AN9" i="338"/>
  <c r="AN8" i="338"/>
  <c r="AS18" i="338"/>
  <c r="AN33" i="338"/>
  <c r="AN10" i="338"/>
  <c r="AS42" i="338"/>
  <c r="AN30" i="338"/>
  <c r="AS11" i="338"/>
  <c r="AS29" i="338"/>
  <c r="AN36" i="338"/>
  <c r="Q17" i="338" a="1"/>
  <c r="Q39" i="338" a="1"/>
  <c r="Q15" i="338" a="1"/>
  <c r="Q38" i="338" a="1"/>
  <c r="Q16" i="338" a="1"/>
  <c r="Q52" i="338" a="1"/>
  <c r="Q44" i="338" a="1"/>
  <c r="AM29" i="338"/>
  <c r="AR42" i="338"/>
  <c r="AM9" i="338"/>
  <c r="AM8" i="338"/>
  <c r="AR29" i="338"/>
  <c r="AR11" i="338"/>
  <c r="AR18" i="338"/>
  <c r="AM11" i="338"/>
  <c r="Q36" i="338" a="1"/>
  <c r="Q35" i="338" a="1"/>
  <c r="Q37" i="338" a="1"/>
  <c r="Q34" i="338" a="1"/>
  <c r="Q49" i="338" a="1"/>
  <c r="Q48" i="338" a="1"/>
  <c r="Q45" i="338" a="1"/>
  <c r="Q10" i="338" a="1"/>
  <c r="Q53" i="338" a="1"/>
  <c r="Q13" i="338" a="1"/>
  <c r="Q33" i="338" a="1"/>
  <c r="Q31" i="338" a="1"/>
  <c r="Q51" i="338" a="1"/>
  <c r="Q47" i="338" a="1"/>
  <c r="Q41" i="338" a="1"/>
  <c r="Q9" i="338" a="1"/>
  <c r="Q14" i="338" a="1"/>
  <c r="Q12" i="338" a="1"/>
  <c r="Q30" i="338" a="1"/>
  <c r="Q18" i="338" a="1"/>
  <c r="Q8" i="338" a="1"/>
  <c r="Q50" i="338" a="1"/>
  <c r="Q46" i="338" a="1"/>
  <c r="Q32" i="338" a="1"/>
  <c r="Q40" i="338" a="1"/>
  <c r="Q42" i="338" a="1"/>
  <c r="Q11" i="338" a="1"/>
  <c r="Q54" i="338" a="1"/>
  <c r="AM36" i="338"/>
  <c r="AM30" i="338"/>
  <c r="AM33" i="338"/>
  <c r="AM10" i="338"/>
  <c r="Q29" i="338" a="1"/>
  <c r="Q55" i="338" a="1"/>
  <c r="V8" i="338" l="1"/>
  <c r="U8" i="338"/>
  <c r="L8" i="338"/>
  <c r="Q44" i="338"/>
  <c r="Q52" i="338"/>
  <c r="Q16" i="338"/>
  <c r="Q38" i="338"/>
  <c r="Q15" i="338"/>
  <c r="Q39" i="338"/>
  <c r="Q17" i="338"/>
  <c r="Q54" i="338"/>
  <c r="Q11" i="338"/>
  <c r="Q42" i="338"/>
  <c r="Q40" i="338"/>
  <c r="Q32" i="338"/>
  <c r="Q46" i="338"/>
  <c r="Q50" i="338"/>
  <c r="Q8" i="338"/>
  <c r="Q18" i="338"/>
  <c r="Q30" i="338"/>
  <c r="Q12" i="338"/>
  <c r="Q14" i="338"/>
  <c r="Q9" i="338"/>
  <c r="Q41" i="338"/>
  <c r="Q47" i="338"/>
  <c r="Q51" i="338"/>
  <c r="Q31" i="338"/>
  <c r="Q33" i="338"/>
  <c r="Q13" i="338"/>
  <c r="Q53" i="338"/>
  <c r="Q10" i="338"/>
  <c r="Q45" i="338"/>
  <c r="Q48" i="338"/>
  <c r="Q49" i="338"/>
  <c r="Q34" i="338"/>
  <c r="Q37" i="338"/>
  <c r="Q35" i="338"/>
  <c r="Q36" i="338"/>
  <c r="Q29" i="338"/>
  <c r="Q55" i="338"/>
  <c r="E2" i="338"/>
  <c r="AT37" i="338"/>
  <c r="AO53" i="338"/>
  <c r="AT48" i="338"/>
  <c r="AT53" i="338"/>
  <c r="AT39" i="338"/>
  <c r="AO49" i="338"/>
  <c r="AO39" i="338"/>
  <c r="AO9" i="338"/>
  <c r="AT9" i="338"/>
  <c r="AT40" i="338"/>
  <c r="AO31" i="338"/>
  <c r="AO52" i="338"/>
  <c r="AT31" i="338"/>
  <c r="AT11" i="338"/>
  <c r="AO12" i="338"/>
  <c r="AT42" i="338"/>
  <c r="AT12" i="338"/>
  <c r="AD8" i="338"/>
  <c r="AB8" i="338"/>
  <c r="Z8" i="338"/>
  <c r="AT34" i="338"/>
  <c r="AT45" i="338"/>
  <c r="AT49" i="338"/>
  <c r="AT29" i="338"/>
  <c r="AO30" i="338"/>
  <c r="AO10" i="338"/>
  <c r="AT41" i="338"/>
  <c r="AO33" i="338"/>
  <c r="AO54" i="338"/>
  <c r="AT33" i="338"/>
  <c r="AT54" i="338"/>
  <c r="AO8" i="338"/>
  <c r="AO15" i="338"/>
  <c r="AO35" i="338"/>
  <c r="AO46" i="338"/>
  <c r="AT17" i="338"/>
  <c r="AO18" i="338"/>
  <c r="AT18" i="338"/>
  <c r="AT38" i="338"/>
  <c r="AO51" i="338"/>
  <c r="AT15" i="338"/>
  <c r="AT35" i="338"/>
  <c r="AT46" i="338"/>
  <c r="AO29" i="338"/>
  <c r="AO50" i="338"/>
  <c r="AO40" i="338"/>
  <c r="AT30" i="338"/>
  <c r="AT10" i="338"/>
  <c r="AO42" i="338"/>
  <c r="AO13" i="338"/>
  <c r="AT44" i="338"/>
  <c r="AT13" i="338"/>
  <c r="AO45" i="338"/>
  <c r="AO14" i="338"/>
  <c r="AO16" i="338"/>
  <c r="AO36" i="338"/>
  <c r="AO47" i="338"/>
  <c r="AT16" i="338"/>
  <c r="AT36" i="338"/>
  <c r="AT47" i="338"/>
  <c r="AO38" i="338"/>
  <c r="AT8" i="338"/>
  <c r="AT50" i="338"/>
  <c r="AT51" i="338"/>
  <c r="AO41" i="338"/>
  <c r="AO11" i="338"/>
  <c r="AT52" i="338"/>
  <c r="AO32" i="338"/>
  <c r="AT32" i="338"/>
  <c r="AO44" i="338"/>
  <c r="AO34" i="338"/>
  <c r="AO17" i="338"/>
  <c r="AO37" i="338"/>
  <c r="AO48" i="338"/>
  <c r="AM41" i="338"/>
  <c r="AR40" i="338"/>
  <c r="AM17" i="338"/>
  <c r="AM15" i="338"/>
  <c r="AR37" i="338"/>
  <c r="AR16" i="338"/>
  <c r="AR31" i="338"/>
  <c r="AN49" i="338"/>
  <c r="AN39" i="338"/>
  <c r="AM45" i="338"/>
  <c r="AS35" i="338"/>
  <c r="AN41" i="338"/>
  <c r="AS40" i="338"/>
  <c r="AN17" i="338"/>
  <c r="AN15" i="338"/>
  <c r="AS37" i="338"/>
  <c r="AS16" i="338"/>
  <c r="AM12" i="338"/>
  <c r="AN54" i="338"/>
  <c r="AS31" i="338"/>
  <c r="AR17" i="338"/>
  <c r="AS17" i="338"/>
  <c r="AR50" i="338"/>
  <c r="AR32" i="338"/>
  <c r="AR10" i="338"/>
  <c r="AM49" i="338"/>
  <c r="AM39" i="338"/>
  <c r="AN12" i="338"/>
  <c r="AM54" i="338"/>
  <c r="AS39" i="338"/>
  <c r="AS9" i="338"/>
  <c r="AS32" i="338"/>
  <c r="AS10" i="338"/>
  <c r="AS49" i="338"/>
  <c r="AS8" i="338"/>
  <c r="AR53" i="338"/>
  <c r="AS53" i="338"/>
  <c r="AM38" i="338"/>
  <c r="AM37" i="338"/>
  <c r="AM13" i="338"/>
  <c r="AR39" i="338"/>
  <c r="AR49" i="338"/>
  <c r="AR9" i="338"/>
  <c r="AR35" i="338"/>
  <c r="AN38" i="338"/>
  <c r="AN37" i="338"/>
  <c r="AN13" i="338"/>
  <c r="AR12" i="338"/>
  <c r="AR38" i="338"/>
  <c r="AR36" i="338"/>
  <c r="AR13" i="338"/>
  <c r="AR51" i="338"/>
  <c r="AM14" i="338"/>
  <c r="AR54" i="338"/>
  <c r="AM50" i="338"/>
  <c r="AM16" i="338"/>
  <c r="AM34" i="338"/>
  <c r="AN48" i="338"/>
  <c r="AR41" i="338"/>
  <c r="AN51" i="338"/>
  <c r="AM40" i="338"/>
  <c r="AR34" i="338"/>
  <c r="AS33" i="338"/>
  <c r="AS12" i="338"/>
  <c r="AS38" i="338"/>
  <c r="AS36" i="338"/>
  <c r="AS13" i="338"/>
  <c r="AS51" i="338"/>
  <c r="AN14" i="338"/>
  <c r="AM44" i="338"/>
  <c r="AN47" i="338"/>
  <c r="AM42" i="338"/>
  <c r="AS50" i="338"/>
  <c r="AS15" i="338"/>
  <c r="AM53" i="338"/>
  <c r="AM32" i="338"/>
  <c r="AR44" i="338"/>
  <c r="AR15" i="338"/>
  <c r="AN53" i="338"/>
  <c r="AN44" i="338"/>
  <c r="AS54" i="338"/>
  <c r="AN50" i="338"/>
  <c r="AN16" i="338"/>
  <c r="AN34" i="338"/>
  <c r="AM47" i="338"/>
  <c r="AR45" i="338"/>
  <c r="AM48" i="338"/>
  <c r="AS41" i="338"/>
  <c r="AR46" i="338"/>
  <c r="AM51" i="338"/>
  <c r="AS45" i="338"/>
  <c r="AS46" i="338"/>
  <c r="AM35" i="338"/>
  <c r="AN40" i="338"/>
  <c r="AN32" i="338"/>
  <c r="AN35" i="338"/>
  <c r="AN42" i="338"/>
  <c r="AS44" i="338"/>
  <c r="AS34" i="338"/>
  <c r="AM52" i="338"/>
  <c r="AR30" i="338"/>
  <c r="AR48" i="338"/>
  <c r="AR47" i="338"/>
  <c r="AM18" i="338"/>
  <c r="AM31" i="338"/>
  <c r="AN52" i="338"/>
  <c r="AS30" i="338"/>
  <c r="AS48" i="338"/>
  <c r="AS47" i="338"/>
  <c r="AN18" i="338"/>
  <c r="AN31" i="338"/>
  <c r="AM46" i="338"/>
  <c r="AS52" i="338"/>
  <c r="AR33" i="338"/>
  <c r="AN46" i="338"/>
  <c r="AN45" i="338"/>
  <c r="AR8" i="338"/>
  <c r="AR52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B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C6" i="252" l="1"/>
  <c r="A6" i="252" s="1"/>
  <c r="I41" i="530"/>
  <c r="I42" i="530"/>
  <c r="G42" i="530"/>
  <c r="G41" i="530"/>
  <c r="K16" i="530"/>
  <c r="L16" i="530"/>
  <c r="F42" i="530"/>
  <c r="F41" i="530"/>
  <c r="H42" i="530"/>
  <c r="H41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<sst xmlns="http://schemas.openxmlformats.org/spreadsheetml/2006/main" count="20739" uniqueCount="2367">
  <si>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</si>
  <si>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</si>
  <si>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</si>
  <si>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</si>
  <si>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</si>
  <si>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</si>
  <si>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</si>
  <si>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</si>
  <si>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</si>
  <si>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</si>
  <si>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</si>
  <si>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</si>
  <si>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</si>
  <si>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</si>
  <si>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</si>
  <si>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</si>
  <si>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</si>
  <si>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</si>
  <si>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</si>
  <si>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</si>
  <si>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</si>
  <si>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</si>
  <si>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</si>
  <si>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</si>
  <si>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</si>
  <si>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</si>
  <si>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</si>
  <si>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</si>
  <si>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</si>
  <si>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</si>
  <si>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</si>
  <si>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</si>
  <si>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</si>
  <si>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</si>
  <si>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</si>
  <si>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</si>
  <si>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</si>
  <si>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</si>
  <si>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</si>
  <si>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</si>
  <si>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</si>
  <si>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</si>
  <si>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</si>
  <si>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</si>
  <si>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</si>
  <si>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</si>
  <si>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</si>
  <si>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</si>
  <si>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</si>
  <si>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</si>
  <si>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</si>
  <si>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</si>
  <si>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</si>
  <si>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</si>
  <si>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</si>
  <si>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</si>
  <si>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</si>
  <si>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</si>
  <si>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</si>
  <si>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</si>
  <si>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</si>
  <si>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</si>
  <si>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</si>
  <si>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</si>
  <si>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</si>
  <si>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</si>
  <si>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</si>
  <si>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</si>
  <si>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</si>
  <si>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</si>
  <si>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</si>
  <si>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</si>
  <si>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</si>
  <si>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</si>
  <si>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</si>
  <si>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</si>
  <si>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</si>
  <si>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</si>
  <si>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</si>
  <si>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</si>
  <si>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</si>
  <si>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</si>
  <si>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</si>
  <si>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</si>
  <si>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</si>
  <si>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</si>
  <si>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</si>
  <si>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</si>
  <si>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</si>
  <si>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</si>
  <si>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</si>
  <si>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</si>
  <si>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</si>
  <si>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</si>
  <si>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</si>
  <si>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</si>
  <si>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</si>
  <si>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</si>
  <si>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</si>
  <si>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</si>
  <si>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</si>
  <si>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</si>
  <si>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</si>
  <si>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</si>
  <si>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</si>
  <si>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</si>
  <si>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</si>
  <si>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</si>
  <si>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</si>
  <si>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</si>
  <si>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</si>
  <si>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</si>
  <si>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</si>
  <si>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</si>
  <si>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</si>
  <si>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</si>
  <si>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</si>
  <si>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</si>
  <si>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</si>
  <si>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</si>
  <si>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</si>
  <si>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</si>
  <si>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</si>
  <si>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</si>
  <si>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</si>
  <si>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</si>
  <si>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</si>
  <si>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</si>
  <si>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</si>
  <si>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</si>
  <si>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</si>
  <si>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</si>
  <si>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</si>
  <si>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</si>
  <si>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</si>
  <si>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</si>
  <si>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</si>
  <si>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</si>
  <si>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</si>
  <si>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</si>
  <si>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</si>
  <si>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</si>
  <si>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</si>
  <si>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</si>
  <si>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</si>
  <si>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</si>
  <si>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</si>
  <si>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</si>
  <si>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</si>
  <si>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</si>
  <si>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</si>
  <si>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</si>
  <si>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</si>
  <si>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</si>
  <si>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</si>
  <si>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</si>
  <si>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</si>
  <si>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</si>
  <si>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</si>
  <si>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</si>
  <si>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</si>
  <si>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</si>
  <si>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</si>
  <si>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</si>
  <si>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</si>
  <si>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</si>
  <si>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</si>
  <si>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</si>
  <si>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</si>
  <si>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</si>
  <si>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</si>
  <si>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</si>
  <si>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</si>
  <si>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</si>
  <si>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</si>
  <si>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</si>
  <si>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</si>
  <si>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</si>
  <si>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</si>
  <si>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</si>
  <si>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</si>
  <si>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</si>
  <si>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</si>
  <si>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</si>
  <si>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</si>
  <si>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</si>
  <si>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</si>
  <si>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</si>
  <si>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</si>
  <si>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</si>
  <si>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</si>
  <si>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</si>
  <si>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</si>
  <si>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</si>
  <si>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</si>
  <si>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</si>
  <si>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</si>
  <si>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</si>
  <si>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</si>
  <si>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</si>
  <si>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</si>
  <si>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</si>
  <si>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</si>
  <si>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</si>
  <si>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</si>
  <si>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</si>
  <si>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</si>
  <si>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</si>
  <si>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</si>
  <si>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</si>
  <si>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</si>
  <si>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</si>
  <si>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</si>
  <si>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</si>
  <si>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</si>
  <si>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</si>
  <si>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</si>
  <si>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</si>
  <si>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</si>
  <si>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</si>
  <si>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</si>
  <si>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</si>
  <si>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</si>
  <si>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</si>
  <si>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</si>
  <si>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</si>
  <si>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</si>
  <si>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</si>
  <si>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</si>
  <si>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</si>
  <si>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</si>
  <si>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</si>
  <si>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</si>
  <si>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</si>
  <si>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</si>
  <si>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</si>
  <si>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</si>
  <si>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</si>
  <si>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</si>
  <si>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</si>
  <si>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</si>
  <si>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</si>
  <si>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</si>
  <si>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</si>
  <si>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</si>
  <si>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</si>
  <si>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</si>
  <si>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</si>
  <si>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</si>
  <si>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</si>
  <si>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</si>
  <si>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</si>
  <si>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</si>
  <si>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</si>
  <si>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</si>
  <si>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</si>
  <si>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</si>
  <si>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</si>
  <si>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</si>
  <si>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</si>
  <si>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</si>
  <si>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</si>
  <si>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</si>
  <si>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</si>
  <si>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</si>
  <si>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</si>
  <si>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</si>
  <si>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</si>
  <si>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</si>
  <si>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</si>
  <si>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</si>
  <si>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</si>
  <si>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</si>
  <si>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</si>
  <si>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</si>
  <si>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</si>
  <si>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</si>
  <si>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</si>
  <si>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</si>
  <si>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</si>
  <si>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</si>
  <si>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</si>
  <si>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</si>
  <si>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</si>
  <si>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</si>
  <si>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</si>
  <si>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</si>
  <si>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</si>
  <si>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</si>
  <si>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</si>
  <si>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</si>
  <si>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</si>
  <si>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</si>
  <si>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</si>
  <si>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</si>
  <si>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</si>
  <si>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</si>
  <si>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</si>
  <si>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</si>
  <si>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</si>
  <si>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</si>
  <si>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</si>
  <si>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</si>
  <si>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</si>
  <si>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</si>
  <si>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</si>
  <si>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</si>
  <si>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</si>
  <si>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</si>
  <si>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</si>
  <si>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</si>
  <si>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</si>
  <si>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</si>
  <si>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</si>
  <si>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</si>
  <si>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</si>
  <si>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</si>
  <si>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</si>
  <si>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</si>
  <si>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</si>
  <si>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</si>
  <si>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</si>
  <si>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</si>
  <si>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</si>
  <si>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</si>
  <si>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</si>
  <si>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</si>
  <si>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</si>
  <si>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</si>
  <si>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</si>
  <si>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</si>
  <si>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</si>
  <si>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</si>
  <si>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</si>
  <si>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</si>
  <si>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</si>
  <si>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</si>
  <si>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</si>
  <si>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</si>
  <si>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</si>
  <si>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</si>
  <si>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</si>
  <si>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</si>
  <si>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</si>
  <si>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</si>
  <si>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</si>
  <si>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</si>
  <si>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</si>
  <si>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</si>
  <si>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</si>
  <si>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</si>
  <si>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</si>
  <si>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</si>
  <si>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</si>
  <si>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</si>
  <si>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</si>
  <si>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</si>
  <si>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</si>
  <si>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</si>
  <si>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</si>
  <si>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</si>
  <si>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</si>
  <si>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</si>
  <si>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</si>
  <si>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</si>
  <si>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</si>
  <si>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</si>
  <si>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</si>
  <si>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</si>
  <si>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</si>
  <si>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</si>
  <si>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</si>
  <si>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</si>
  <si>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</si>
  <si>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</si>
  <si>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</si>
  <si>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</si>
  <si>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</si>
  <si>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</si>
  <si>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</si>
  <si>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</si>
  <si>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</si>
  <si>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</si>
  <si>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</si>
  <si>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</si>
  <si>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</si>
  <si>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</si>
  <si>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</si>
  <si>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</si>
  <si>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</si>
  <si>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</si>
  <si>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</si>
  <si>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</si>
  <si>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</si>
  <si>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</si>
  <si>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</si>
  <si>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</si>
  <si>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</si>
  <si>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</si>
  <si>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</si>
  <si>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</si>
  <si>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</si>
  <si>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</si>
  <si>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</si>
  <si>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</si>
  <si>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</si>
  <si>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</si>
  <si>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</si>
  <si>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</si>
  <si>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</si>
  <si>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</si>
  <si>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</si>
  <si>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</si>
  <si>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</si>
  <si>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</si>
  <si>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</si>
  <si>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</si>
  <si>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</si>
  <si>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</si>
  <si>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</si>
  <si>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</si>
  <si>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</si>
  <si>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</si>
  <si>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</si>
  <si>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</si>
  <si>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</si>
  <si>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</si>
  <si>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</si>
  <si>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</si>
  <si>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</si>
  <si>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</si>
  <si>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</si>
  <si>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</si>
  <si>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</si>
  <si>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</si>
  <si>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</si>
  <si>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</si>
  <si>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</si>
  <si>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</si>
  <si>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</si>
  <si>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</si>
  <si>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</si>
  <si>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</si>
  <si>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</si>
  <si>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</si>
  <si>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</si>
  <si>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</si>
  <si>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</si>
  <si>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</si>
  <si>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</si>
  <si>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</si>
  <si>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</si>
  <si>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</si>
  <si>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</si>
  <si>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</si>
  <si>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</si>
  <si>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</si>
  <si>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</si>
  <si>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</si>
  <si>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</si>
  <si>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</si>
  <si>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</si>
  <si>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</si>
  <si>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</si>
  <si>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</si>
  <si>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</si>
  <si>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</si>
  <si>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</si>
  <si>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</si>
  <si>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</si>
  <si>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</si>
  <si>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</si>
  <si>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</si>
  <si>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</si>
  <si>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</si>
  <si>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</si>
  <si>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</si>
  <si>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</si>
  <si>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</si>
  <si>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</si>
  <si>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</si>
  <si>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</si>
  <si>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</si>
  <si>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</si>
  <si>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</si>
  <si>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</si>
  <si>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</si>
  <si>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</si>
  <si>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</si>
  <si>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</si>
  <si>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</si>
  <si>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</si>
  <si>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</si>
  <si>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</si>
  <si>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</si>
  <si>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</si>
  <si>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</si>
  <si>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</si>
  <si>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</si>
  <si>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</si>
  <si>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</si>
  <si>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</si>
  <si>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</si>
  <si>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</si>
  <si>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</si>
  <si>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</si>
  <si>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</si>
  <si>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</si>
  <si>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</si>
  <si>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</si>
  <si>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</si>
  <si>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</si>
  <si>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</si>
  <si>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</si>
  <si>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</si>
  <si>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</si>
  <si>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</si>
  <si>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</si>
  <si>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</si>
  <si>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</si>
  <si>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</si>
  <si>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</si>
  <si>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</si>
  <si>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</si>
  <si>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</si>
  <si>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</si>
  <si>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</si>
  <si>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</si>
  <si>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</si>
  <si>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</si>
  <si>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</si>
  <si>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</si>
  <si>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</si>
  <si>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</si>
  <si>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</si>
  <si>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</si>
  <si>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</si>
  <si>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</si>
  <si>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</si>
  <si>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</si>
  <si>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</si>
  <si>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</si>
  <si>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</si>
  <si>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</si>
  <si>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</si>
  <si>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</si>
  <si>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</si>
  <si>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</si>
  <si>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</si>
  <si>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</si>
  <si>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</si>
  <si>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</si>
  <si>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</si>
  <si>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</si>
  <si>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</si>
  <si>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</si>
  <si>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</si>
  <si>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</si>
  <si>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</si>
  <si>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</si>
  <si>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</si>
  <si>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</si>
  <si>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</si>
  <si>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</si>
  <si>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</si>
  <si>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</si>
  <si>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</si>
  <si>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</si>
  <si>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</si>
  <si>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</si>
  <si>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</si>
  <si>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</si>
  <si>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</si>
  <si>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</si>
  <si>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</si>
  <si>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</si>
  <si>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</si>
  <si>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</si>
  <si>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</si>
  <si>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</si>
  <si>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</si>
  <si>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</si>
  <si>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</si>
  <si>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</si>
  <si>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</si>
  <si>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</si>
  <si>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</si>
  <si>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</si>
  <si>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</si>
  <si>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</si>
  <si>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</si>
  <si>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</si>
  <si>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</si>
  <si>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</si>
  <si>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</si>
  <si>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</si>
  <si>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</si>
  <si>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</si>
  <si>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</si>
  <si>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</si>
  <si>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</si>
  <si>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</si>
  <si>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</si>
  <si>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</si>
  <si>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</si>
  <si>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</si>
  <si>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</si>
  <si>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</si>
  <si>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</si>
  <si>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</si>
  <si>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</si>
  <si>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</si>
  <si>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</si>
  <si>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</si>
  <si>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</si>
  <si>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</si>
  <si>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</si>
  <si>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</si>
  <si>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</si>
  <si>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</si>
  <si>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</si>
  <si>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</si>
  <si>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</si>
  <si>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</si>
  <si>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</si>
  <si>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</si>
  <si>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</si>
  <si>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</si>
  <si>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</si>
  <si>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</si>
  <si>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</si>
  <si>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</si>
  <si>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</si>
  <si>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</si>
  <si>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</si>
  <si>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</si>
  <si>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</si>
  <si>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</si>
  <si>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</si>
  <si>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</si>
  <si>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</si>
  <si>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</si>
  <si>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</si>
  <si>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</si>
  <si>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</si>
  <si>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</si>
  <si>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</si>
  <si>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</si>
  <si>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</si>
  <si>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</si>
  <si>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</si>
  <si>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</si>
  <si>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</si>
  <si>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</si>
  <si>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</si>
  <si>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</si>
  <si>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</si>
  <si>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</si>
  <si>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</si>
  <si>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</si>
  <si>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</si>
  <si>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</si>
  <si>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</si>
  <si>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</si>
  <si>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</si>
  <si>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</si>
  <si>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</si>
  <si>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</si>
  <si>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</si>
  <si>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</si>
  <si>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</si>
  <si>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</si>
  <si>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</si>
  <si>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</si>
  <si>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</si>
  <si>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</si>
  <si>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</si>
  <si>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</si>
  <si>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</si>
  <si>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</si>
  <si>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</si>
  <si>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</si>
  <si>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</si>
  <si>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</si>
  <si>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</si>
  <si>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</si>
  <si>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</si>
  <si>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</si>
  <si>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</si>
  <si>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</si>
  <si>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</si>
  <si>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</si>
  <si>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</si>
  <si>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</si>
  <si>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</si>
  <si>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</si>
  <si>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</si>
  <si>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</si>
  <si>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</si>
  <si>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</si>
  <si>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</si>
  <si>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</si>
  <si>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</si>
  <si>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</si>
  <si>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</si>
  <si>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</si>
  <si>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</si>
  <si>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</si>
  <si>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</si>
  <si>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</si>
  <si>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</si>
  <si>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</si>
  <si>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</si>
  <si>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</si>
  <si>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</si>
  <si>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</si>
  <si>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</si>
  <si>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</si>
  <si>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</si>
  <si>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</si>
  <si>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</si>
  <si>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</si>
  <si>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</si>
  <si>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</si>
  <si>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</si>
  <si>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</si>
  <si>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</si>
  <si>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</si>
  <si>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</si>
  <si>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</si>
  <si>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</si>
  <si>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</si>
  <si>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</si>
  <si>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</si>
  <si>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</si>
  <si>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</si>
  <si>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</si>
  <si>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</si>
  <si>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</si>
  <si>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</si>
  <si>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</si>
  <si>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</si>
  <si>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</si>
  <si>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</si>
  <si>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</si>
  <si>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</si>
  <si>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</si>
  <si>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</si>
  <si>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</si>
  <si>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</si>
  <si>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</si>
  <si>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</si>
  <si>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</si>
  <si>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</si>
  <si>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</si>
  <si>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</si>
  <si>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</si>
  <si>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</si>
  <si>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</si>
  <si>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</si>
  <si>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</si>
  <si>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</si>
  <si>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</si>
  <si>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</si>
  <si>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</si>
  <si>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</si>
  <si>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</si>
  <si>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</si>
  <si>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</si>
  <si>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</si>
  <si>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</si>
  <si>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</si>
  <si>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</si>
  <si>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</si>
  <si>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</si>
  <si>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</si>
  <si>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</si>
  <si>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</si>
  <si>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</si>
  <si>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</si>
  <si>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</si>
  <si>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</si>
  <si>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</si>
  <si>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</si>
  <si>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</si>
  <si>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</si>
  <si>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</si>
  <si>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</si>
  <si>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</si>
  <si>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</si>
  <si>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</si>
  <si>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</si>
  <si>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</si>
  <si>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</si>
  <si>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</si>
  <si>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</si>
  <si>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</si>
  <si>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</si>
  <si>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</si>
  <si>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</si>
  <si>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</si>
  <si>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</si>
  <si>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</si>
  <si>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</si>
  <si>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</si>
  <si>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</si>
  <si>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</si>
  <si>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</si>
  <si>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</si>
  <si>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</si>
  <si>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</si>
  <si>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</si>
  <si>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</si>
  <si>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</si>
  <si>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</si>
  <si>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</si>
  <si>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</si>
  <si>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</si>
  <si>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</si>
  <si>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</si>
  <si>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</si>
  <si>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</si>
  <si>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</si>
  <si>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</si>
  <si>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</si>
  <si>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</si>
  <si>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</si>
  <si>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</si>
  <si>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</si>
  <si>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</si>
  <si>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</si>
  <si>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</si>
  <si>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</si>
  <si>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</si>
  <si>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</si>
  <si>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</si>
  <si>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</si>
  <si>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</si>
  <si>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</si>
  <si>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</si>
  <si>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</si>
  <si>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</si>
  <si>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</si>
  <si>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</si>
  <si>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</si>
  <si>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</si>
  <si>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</si>
  <si>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</si>
  <si>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</si>
  <si>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</si>
  <si>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</si>
  <si>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</si>
  <si>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</si>
  <si>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</si>
  <si>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</si>
  <si>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</si>
  <si>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</si>
  <si>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</si>
  <si>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</si>
  <si>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</si>
  <si>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</si>
  <si>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</si>
  <si>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</si>
  <si>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</si>
  <si>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</si>
  <si>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</si>
  <si>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</si>
  <si>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</si>
  <si>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</si>
  <si>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</si>
  <si>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</si>
  <si>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</si>
  <si>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</si>
  <si>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</si>
  <si>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</si>
  <si>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</si>
  <si>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</si>
  <si>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</si>
  <si>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</si>
  <si>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</si>
  <si>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</si>
  <si>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</si>
  <si>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</si>
  <si>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</si>
  <si>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</si>
  <si>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</si>
  <si>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</si>
  <si>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</si>
  <si>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</si>
  <si>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</si>
  <si>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</si>
  <si>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</si>
  <si>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</si>
  <si>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</si>
  <si>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</si>
  <si>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</si>
  <si>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</si>
  <si>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</si>
  <si>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</si>
  <si>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</si>
  <si>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</si>
  <si>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</si>
  <si>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</si>
  <si>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</si>
  <si>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</si>
  <si>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</si>
  <si>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</si>
  <si>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</si>
  <si>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</si>
  <si>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</si>
  <si>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</si>
  <si>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</si>
  <si>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</si>
  <si>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</si>
  <si>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</si>
  <si>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</si>
  <si>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</si>
  <si>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</si>
  <si>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</si>
  <si>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</si>
  <si>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</si>
  <si>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</si>
  <si>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</si>
  <si>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</si>
  <si>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</si>
  <si>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</si>
  <si>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</si>
  <si>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</si>
  <si>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</si>
  <si>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</si>
  <si>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</si>
  <si>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</si>
  <si>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</si>
  <si>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</si>
  <si>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</si>
  <si>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</si>
  <si>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</si>
  <si>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</si>
  <si>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</si>
  <si>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</si>
  <si>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</si>
  <si>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</si>
  <si>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</si>
  <si>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</si>
  <si>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</si>
  <si>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</si>
  <si>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</si>
  <si>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</si>
  <si>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</si>
  <si>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</si>
  <si>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</si>
  <si>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</si>
  <si>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</si>
  <si>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</si>
  <si>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</si>
  <si>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</si>
  <si>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</si>
  <si>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</si>
  <si>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</si>
  <si>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</si>
  <si>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</si>
  <si>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</si>
  <si>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</si>
  <si>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</si>
  <si>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</si>
  <si>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</si>
  <si>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</si>
  <si>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</si>
  <si>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</si>
  <si>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</si>
  <si>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</si>
  <si>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</si>
  <si>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</si>
  <si>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</si>
  <si>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</si>
  <si>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</si>
  <si>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</si>
  <si>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</si>
  <si>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</si>
  <si>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</si>
  <si>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</si>
  <si>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</si>
  <si>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</si>
  <si>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</si>
  <si>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</si>
  <si>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</si>
  <si>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</si>
  <si>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</si>
  <si>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</si>
  <si>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</si>
  <si>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</si>
  <si>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</si>
  <si>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</si>
  <si>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</si>
  <si>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</si>
  <si>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</si>
  <si>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</si>
  <si>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</si>
  <si>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</si>
  <si>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</si>
  <si>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</si>
  <si>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</si>
  <si>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</si>
  <si>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</si>
  <si>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</si>
  <si>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</si>
  <si>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</si>
  <si>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</si>
  <si>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</si>
  <si>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</si>
  <si>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</si>
  <si>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</si>
  <si>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</si>
  <si>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</si>
  <si>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</si>
  <si>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</si>
  <si>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</si>
  <si>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</si>
  <si>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</si>
  <si>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</si>
  <si>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</si>
  <si>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</si>
  <si>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</si>
  <si>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</si>
  <si>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</si>
  <si>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</si>
  <si>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</si>
  <si>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</si>
  <si>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</si>
  <si>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</si>
  <si>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</si>
  <si>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</si>
  <si>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</si>
  <si>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</si>
  <si>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</si>
  <si>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</si>
  <si>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</si>
  <si>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</si>
  <si>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</si>
  <si>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</si>
  <si>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</si>
  <si>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</si>
  <si>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</si>
  <si>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</si>
  <si>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</si>
  <si>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</si>
  <si>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</si>
  <si>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</si>
  <si>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</si>
  <si>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</si>
  <si>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</si>
  <si>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</si>
  <si>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</si>
  <si>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</si>
  <si>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</si>
  <si>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</si>
  <si>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</si>
  <si>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</si>
  <si>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</si>
  <si>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</si>
  <si>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</si>
  <si>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</si>
  <si>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</si>
  <si>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</si>
  <si>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</si>
  <si>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</si>
  <si>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</si>
  <si>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</si>
  <si>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</si>
  <si>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</si>
  <si>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</si>
  <si>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</si>
  <si>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</si>
  <si>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</si>
  <si>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</si>
  <si>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</si>
  <si>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</si>
  <si>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</si>
  <si>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</si>
  <si>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</si>
  <si>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</si>
  <si>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</si>
  <si>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</si>
  <si>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</si>
  <si>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</si>
  <si>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</si>
  <si>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</si>
  <si>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</si>
  <si>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</si>
  <si>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</si>
  <si>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</si>
  <si>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</si>
  <si>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</si>
  <si>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</si>
  <si>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</si>
  <si>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</si>
  <si>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</si>
  <si>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</si>
  <si>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</si>
  <si>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</si>
  <si>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</si>
  <si>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</si>
  <si>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</si>
  <si>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</si>
  <si>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</si>
  <si>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</si>
  <si>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</si>
  <si>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</si>
  <si>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</si>
  <si>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</si>
  <si>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</si>
  <si>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</si>
  <si>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</si>
  <si>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</si>
  <si>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</si>
  <si>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</si>
  <si>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</si>
  <si>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</si>
  <si>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</si>
  <si>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</si>
  <si>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</si>
  <si>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</si>
  <si>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</si>
  <si>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</si>
  <si>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</si>
  <si>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</si>
  <si>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</si>
  <si>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</si>
  <si>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</si>
  <si>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</si>
  <si>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</si>
  <si>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</si>
  <si>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</si>
  <si>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</si>
  <si>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</si>
  <si>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</si>
  <si>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</si>
  <si>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</si>
  <si>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</si>
  <si>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</si>
  <si>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</si>
  <si>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</si>
  <si>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</si>
  <si>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</si>
  <si>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</si>
  <si>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</si>
  <si>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</si>
  <si>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</si>
  <si>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</si>
  <si>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</si>
  <si>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</si>
  <si>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</si>
  <si>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</si>
  <si>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</si>
  <si>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</si>
  <si>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</si>
  <si>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</si>
  <si>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</si>
  <si>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</si>
  <si>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</si>
  <si>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</si>
  <si>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</si>
  <si>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</si>
  <si>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</si>
  <si>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</si>
  <si>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</si>
  <si>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</si>
  <si>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</si>
  <si>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</si>
  <si>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</si>
  <si>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</si>
  <si>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</si>
  <si>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</si>
  <si>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</si>
  <si>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</si>
  <si>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</si>
  <si>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</si>
  <si>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</si>
  <si>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</si>
  <si>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</si>
  <si>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</si>
  <si>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</si>
  <si>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</si>
  <si>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</si>
  <si>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</si>
  <si>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</si>
  <si>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</si>
  <si>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</si>
  <si>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</si>
  <si>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</si>
  <si>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</si>
  <si>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</si>
  <si>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</si>
  <si>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</si>
  <si>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</si>
  <si>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</si>
  <si>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</si>
  <si>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</si>
  <si>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</si>
  <si>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</si>
  <si>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</si>
  <si>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</si>
  <si>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</si>
  <si>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</si>
  <si>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</si>
  <si>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</si>
  <si>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</si>
  <si>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</si>
  <si>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</si>
  <si>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</si>
  <si>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</si>
  <si>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</si>
  <si>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</si>
  <si>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</si>
  <si>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</si>
  <si>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</si>
  <si>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</si>
  <si>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</si>
  <si>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</si>
  <si>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</si>
  <si>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</si>
  <si>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</si>
  <si>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</si>
  <si>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</si>
  <si>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</si>
  <si>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</si>
  <si>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</si>
  <si>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</si>
  <si>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</si>
  <si>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</si>
  <si>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</si>
  <si>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</si>
  <si>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</si>
  <si>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</si>
  <si>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</si>
  <si>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</si>
  <si>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</si>
  <si>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</si>
  <si>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</si>
  <si>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</si>
  <si>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</si>
  <si>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</si>
  <si>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</si>
  <si>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</si>
  <si>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</si>
  <si>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</si>
  <si>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</si>
  <si>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</si>
  <si>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</si>
  <si>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</si>
  <si>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</si>
  <si>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</si>
  <si>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</si>
  <si>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</si>
  <si>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</si>
  <si>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</si>
  <si>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</si>
  <si>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</si>
  <si>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</si>
  <si>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</si>
  <si>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</si>
  <si>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</si>
  <si>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</si>
  <si>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</si>
  <si>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</si>
  <si>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</si>
  <si>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</si>
  <si>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</si>
  <si>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</si>
  <si>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</si>
  <si>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</si>
  <si>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</si>
  <si>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</si>
  <si>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</si>
  <si>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</si>
  <si>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</si>
  <si>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</si>
  <si>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</si>
  <si>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</si>
  <si>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</si>
  <si>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</si>
  <si>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</si>
  <si>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</si>
  <si>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</si>
  <si>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</si>
  <si>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</si>
  <si>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</si>
  <si>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</si>
  <si>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</si>
  <si>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</si>
  <si>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</si>
  <si>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</si>
  <si>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</si>
  <si>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</si>
  <si>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</si>
  <si>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</si>
  <si>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</si>
  <si>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</si>
  <si>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</si>
  <si>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</si>
  <si>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</si>
  <si>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</si>
  <si>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</si>
  <si>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</si>
  <si>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</si>
  <si>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</si>
  <si>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</si>
  <si>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</si>
  <si>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</si>
  <si>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</si>
  <si>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</si>
  <si>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</si>
  <si>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</si>
  <si>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</si>
  <si>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</si>
  <si>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</si>
  <si>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</si>
  <si>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</si>
  <si>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</si>
  <si>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</si>
  <si>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</si>
  <si>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</si>
  <si>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</si>
  <si>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</si>
  <si>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</si>
  <si>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</si>
  <si>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</si>
  <si>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</si>
  <si>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</si>
  <si>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</si>
  <si>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</si>
  <si>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</si>
  <si>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</si>
  <si>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</si>
  <si>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</si>
  <si>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</si>
  <si>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</si>
  <si>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</si>
  <si>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</si>
  <si>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</si>
  <si>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</si>
  <si>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</si>
  <si>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</si>
  <si>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</si>
  <si>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</si>
  <si>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</si>
  <si>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</si>
  <si>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</si>
  <si>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</si>
  <si>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</si>
  <si>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</si>
  <si>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</si>
  <si>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</si>
  <si>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</si>
  <si>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</si>
  <si>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</si>
  <si>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</si>
  <si>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</si>
  <si>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</si>
  <si>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</si>
  <si>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</si>
  <si>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</si>
  <si>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</si>
  <si>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</si>
  <si>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</si>
  <si>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</si>
  <si>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</si>
  <si>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</si>
  <si>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</si>
  <si>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</si>
  <si>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</si>
  <si>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</si>
  <si>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</si>
  <si>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</si>
  <si>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</si>
  <si>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</si>
  <si>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</si>
  <si>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</si>
  <si>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</si>
  <si>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</si>
  <si>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</si>
  <si>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</si>
  <si>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</si>
  <si>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</si>
  <si>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</si>
  <si>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</si>
  <si>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</si>
  <si>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</si>
  <si>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</si>
  <si>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</si>
  <si>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</si>
  <si>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</si>
  <si>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</si>
  <si>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</si>
  <si>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</si>
  <si>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</si>
  <si>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</si>
  <si>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</si>
  <si>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</si>
  <si>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</si>
  <si>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</si>
  <si>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</si>
  <si>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</si>
  <si>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</si>
  <si>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</si>
  <si>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</si>
  <si>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</si>
  <si>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</si>
  <si>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</si>
  <si>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</si>
  <si>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</si>
  <si>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</si>
  <si>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</si>
  <si>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</si>
  <si>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</si>
  <si>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</si>
  <si>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</si>
  <si>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</si>
  <si>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</si>
  <si>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</si>
  <si>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</si>
  <si>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</si>
  <si>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</si>
  <si>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</si>
  <si>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</si>
  <si>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</si>
  <si>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</si>
  <si>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</si>
  <si>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</si>
  <si>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</si>
  <si>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</si>
  <si>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</si>
  <si>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</si>
  <si>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</si>
  <si>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</si>
  <si>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</si>
  <si>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</si>
  <si>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</si>
  <si>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</si>
  <si>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</si>
  <si>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</si>
  <si>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</si>
  <si>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</si>
  <si>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</si>
  <si>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</si>
  <si>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</si>
  <si>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</si>
  <si>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</si>
  <si>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</si>
  <si>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</si>
  <si>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</si>
  <si>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</si>
  <si>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</si>
  <si>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</si>
  <si>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</si>
  <si>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</si>
  <si>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</si>
  <si>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</si>
  <si>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</si>
  <si>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</si>
  <si>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</si>
  <si>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</si>
  <si>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</si>
  <si>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</si>
  <si>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</si>
  <si>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</si>
  <si>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</si>
  <si>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</si>
  <si>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</si>
  <si>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</si>
  <si>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</si>
  <si>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</si>
  <si>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</si>
  <si>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</si>
  <si>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</si>
  <si>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</si>
  <si>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</si>
  <si>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</si>
  <si>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</si>
  <si>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</si>
  <si>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</si>
  <si>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</si>
  <si>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</si>
  <si>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</si>
  <si>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</si>
  <si>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</si>
  <si>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</si>
  <si>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</si>
  <si>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</si>
  <si>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</si>
  <si>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</si>
  <si>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</si>
  <si>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</si>
  <si>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</si>
  <si>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</si>
  <si>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</si>
  <si>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</si>
  <si>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</si>
  <si>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</si>
  <si>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</si>
  <si>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</si>
  <si>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</si>
  <si>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</si>
  <si>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</si>
  <si>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</si>
  <si>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</si>
  <si>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</si>
  <si>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</si>
  <si>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</si>
  <si>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</si>
  <si>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</si>
  <si>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</si>
  <si>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</si>
  <si>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</si>
  <si>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</si>
  <si>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</si>
  <si>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</si>
  <si>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</si>
  <si>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</si>
  <si>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</si>
  <si>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</si>
  <si>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</si>
  <si>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</si>
  <si>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</si>
  <si>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</si>
  <si>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</si>
  <si>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</si>
  <si>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</si>
  <si>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</si>
  <si>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</si>
  <si>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</si>
  <si>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</si>
  <si>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</si>
  <si>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</si>
  <si>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</si>
  <si>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</si>
  <si>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</si>
  <si>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</si>
  <si>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</si>
  <si>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</si>
  <si>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</si>
  <si>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</si>
  <si>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</si>
  <si>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</si>
  <si>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</si>
  <si>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</si>
  <si>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</si>
  <si>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</si>
  <si>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</si>
  <si>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</si>
  <si>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</si>
  <si>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</si>
  <si>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</si>
  <si>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</si>
  <si>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</si>
  <si>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</si>
  <si>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</si>
  <si>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</si>
  <si>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</si>
  <si>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</si>
  <si>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</si>
  <si>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</si>
  <si>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</si>
  <si>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</si>
  <si>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</si>
  <si>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</si>
  <si>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</si>
  <si>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</si>
  <si>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</si>
  <si>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</si>
  <si>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</si>
  <si>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</si>
  <si>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</si>
  <si>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</si>
  <si>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</si>
  <si>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</si>
  <si>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</si>
  <si>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</si>
  <si>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</si>
  <si>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</si>
  <si>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</si>
  <si>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</si>
  <si>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</si>
  <si>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</si>
  <si>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</si>
  <si>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</si>
  <si>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</si>
  <si>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</si>
  <si>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</si>
  <si>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</si>
  <si>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</si>
  <si>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</si>
  <si>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</si>
  <si>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</si>
  <si>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</si>
  <si>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</si>
  <si>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</si>
  <si>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</si>
  <si>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</si>
  <si>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</si>
  <si>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</si>
  <si>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</si>
  <si>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</si>
  <si>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</si>
  <si>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</si>
  <si>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</si>
  <si>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</si>
  <si>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</si>
  <si>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</si>
  <si>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</si>
  <si>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</si>
  <si>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</si>
  <si>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</si>
  <si>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</si>
  <si>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</si>
  <si>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</si>
  <si>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</si>
  <si>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</si>
  <si>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</si>
  <si>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</si>
  <si>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</si>
  <si>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</si>
  <si>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</si>
  <si>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</si>
  <si>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</si>
  <si>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</si>
  <si>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</si>
  <si>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</si>
  <si>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</si>
  <si>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</si>
  <si>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</si>
  <si>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</si>
  <si>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</si>
  <si>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</si>
  <si>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</si>
  <si>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</si>
  <si>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</si>
  <si>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</si>
  <si>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</si>
  <si>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</si>
  <si>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</si>
  <si>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</si>
  <si>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</si>
  <si>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</si>
  <si>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</si>
  <si>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</si>
  <si>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</si>
  <si>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</si>
  <si>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</si>
  <si>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</si>
  <si>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</si>
  <si>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</si>
  <si>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</si>
  <si>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</si>
  <si>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</si>
  <si>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</si>
  <si>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</si>
  <si>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</si>
  <si>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</si>
  <si>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</si>
  <si>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</si>
  <si>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</si>
  <si>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</si>
  <si>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</si>
  <si>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</si>
  <si>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</si>
  <si>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</si>
  <si>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</si>
  <si>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</si>
  <si>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</si>
  <si>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</si>
  <si>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</si>
  <si>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</si>
  <si>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</si>
  <si>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</si>
  <si>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</si>
  <si>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</si>
  <si>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</si>
  <si>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</si>
  <si>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</si>
  <si>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</si>
  <si>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</si>
  <si>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</si>
  <si>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</si>
  <si>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</si>
  <si>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</si>
  <si>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</si>
  <si>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</si>
  <si>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</si>
  <si>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</si>
  <si>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</si>
  <si>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</si>
  <si>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</si>
  <si>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</si>
  <si>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</si>
  <si>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</si>
  <si>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</si>
  <si>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</si>
  <si>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</si>
  <si>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</si>
  <si>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</si>
  <si>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</si>
  <si>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</si>
  <si>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</si>
  <si>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</si>
  <si>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</si>
  <si>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</si>
  <si>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</si>
  <si>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</si>
  <si>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</si>
  <si>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</si>
  <si>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</si>
  <si>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</si>
  <si>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</si>
  <si>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</si>
  <si>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</si>
  <si>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</si>
  <si>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</si>
  <si>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</si>
  <si>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</si>
  <si>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</si>
  <si>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</si>
  <si>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</si>
  <si>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</si>
  <si>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</si>
  <si>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</si>
  <si>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</si>
  <si>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</si>
  <si>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</si>
  <si>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</si>
  <si>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</si>
  <si>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</si>
  <si>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</si>
  <si>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</si>
  <si>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</si>
  <si>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</si>
  <si>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</si>
  <si>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</si>
  <si>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</si>
  <si>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</si>
  <si>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</si>
  <si>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</si>
  <si>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</si>
  <si>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</si>
  <si>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</si>
  <si>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</si>
  <si>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</si>
  <si>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</si>
  <si>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</si>
  <si>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</si>
  <si>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</si>
  <si>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</si>
  <si>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</si>
  <si>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</si>
  <si>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</si>
  <si>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</si>
  <si>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</si>
  <si>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</si>
  <si>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</si>
  <si>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</si>
  <si>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</si>
  <si>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</si>
  <si>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</si>
  <si>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</si>
  <si>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</si>
  <si>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</si>
  <si>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</si>
  <si>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</si>
  <si>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</si>
  <si>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</si>
  <si>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</si>
  <si>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</si>
  <si>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</si>
  <si>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</si>
  <si>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</si>
  <si>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</si>
  <si>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</si>
  <si>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</si>
  <si>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</si>
  <si>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</si>
  <si>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</si>
  <si>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</si>
  <si>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</si>
  <si>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</si>
  <si>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</si>
  <si>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</si>
  <si>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</si>
  <si>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</si>
  <si>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</si>
  <si>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</si>
  <si>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</si>
  <si>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</si>
  <si>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</si>
  <si>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</si>
  <si>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</si>
  <si>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</si>
  <si>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</si>
  <si>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</si>
  <si>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</si>
  <si>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</si>
  <si>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</si>
  <si>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</si>
  <si>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</si>
  <si>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</si>
  <si>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</si>
  <si>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</si>
  <si>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</si>
  <si>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</si>
  <si>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</si>
  <si>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</si>
  <si>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</si>
  <si>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</si>
  <si>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</si>
  <si>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</si>
  <si>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</si>
  <si>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</si>
  <si>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</si>
  <si>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</si>
  <si>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</si>
  <si>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</si>
  <si>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</si>
  <si>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</si>
  <si>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</si>
  <si>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</si>
  <si>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</si>
  <si>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</si>
  <si>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</si>
  <si>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</si>
  <si>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</si>
  <si>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</si>
  <si>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</si>
  <si>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</si>
  <si>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</si>
  <si>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</si>
  <si>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</si>
  <si>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</si>
  <si>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</si>
  <si>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</si>
  <si>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</si>
  <si>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</si>
  <si>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</si>
  <si>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</si>
  <si>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</si>
  <si>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</si>
  <si>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</si>
  <si>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</si>
  <si>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</si>
  <si>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</si>
  <si>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</si>
  <si>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</si>
  <si>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</si>
  <si>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</si>
  <si>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</si>
  <si>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</si>
  <si>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</si>
  <si>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</si>
  <si>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</si>
  <si>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</si>
  <si>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</si>
  <si>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</si>
  <si>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</si>
  <si>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</si>
  <si>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</si>
  <si>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</si>
  <si>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</si>
  <si>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</si>
  <si>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</si>
  <si>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</si>
  <si>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</si>
  <si>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</si>
  <si>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</si>
  <si>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</si>
  <si>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</si>
  <si>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</si>
  <si>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</si>
  <si>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</si>
  <si>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</si>
  <si>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</si>
  <si>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</si>
  <si>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</si>
  <si>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</si>
  <si>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</si>
  <si>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</si>
  <si>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</si>
  <si>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</si>
  <si>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</si>
  <si>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</si>
  <si>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</si>
  <si>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</si>
  <si>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</si>
  <si>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</si>
  <si>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</si>
  <si>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</si>
  <si>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</si>
  <si>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</si>
  <si>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</si>
  <si>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</si>
  <si>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</si>
  <si>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</si>
  <si>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</si>
  <si>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</si>
  <si>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</si>
  <si>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</si>
  <si>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</si>
  <si>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</si>
  <si>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</si>
  <si>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</si>
  <si>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</si>
  <si>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</si>
  <si>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</si>
  <si>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</si>
  <si>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</si>
  <si>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</si>
  <si>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</si>
  <si>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</si>
  <si>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</si>
  <si>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</si>
  <si>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</si>
  <si>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</si>
  <si>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</si>
  <si>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</si>
  <si>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</si>
  <si>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</si>
  <si>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</si>
  <si>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</si>
  <si>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</si>
  <si>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</si>
  <si>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</si>
  <si>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</si>
  <si>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</si>
  <si>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</si>
  <si>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</si>
  <si>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</si>
  <si>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</si>
  <si>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</si>
  <si>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</si>
  <si>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</si>
  <si>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</si>
  <si>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</si>
  <si>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</si>
  <si>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</si>
  <si>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</si>
  <si>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</si>
  <si>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</si>
  <si>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</si>
  <si>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</si>
  <si>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</si>
  <si>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</si>
  <si>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</si>
  <si>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</si>
  <si>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</si>
  <si>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</si>
  <si>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</si>
  <si>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</si>
  <si>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</si>
  <si>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</si>
  <si>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</si>
  <si>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</si>
  <si>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</si>
  <si>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</si>
  <si>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</si>
  <si>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</si>
  <si>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</si>
  <si>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</si>
  <si>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</si>
  <si>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</si>
  <si>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</si>
  <si>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</si>
  <si>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</si>
  <si>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</si>
  <si>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</si>
  <si>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</si>
  <si>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</si>
  <si>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</si>
  <si>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</si>
  <si>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</si>
  <si>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</si>
  <si>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</si>
  <si>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</si>
  <si>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</si>
  <si>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</si>
  <si>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</si>
  <si>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</si>
  <si>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</si>
  <si>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</si>
  <si>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</si>
  <si>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</si>
  <si>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</si>
  <si>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</si>
  <si>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</si>
  <si>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</si>
  <si>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</si>
  <si>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</si>
  <si>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</si>
  <si>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</si>
  <si>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</si>
  <si>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</si>
  <si>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</si>
  <si>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</si>
  <si>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</si>
  <si>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</si>
  <si>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</si>
  <si>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</si>
  <si>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</si>
  <si>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</si>
  <si>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</si>
  <si>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</si>
  <si>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</si>
  <si>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</si>
  <si>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</si>
  <si>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</si>
  <si>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</si>
  <si>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</si>
  <si>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</si>
  <si>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</si>
  <si>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</si>
  <si>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</si>
  <si>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</si>
  <si>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</si>
  <si>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</si>
  <si>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</si>
  <si>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</si>
  <si>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</si>
  <si>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</si>
  <si>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</si>
  <si>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</si>
  <si>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</si>
  <si>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</si>
  <si>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</si>
  <si>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</si>
  <si>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</si>
  <si>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</si>
  <si>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</si>
  <si>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</si>
  <si>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</si>
  <si>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</si>
  <si>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</si>
  <si>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</si>
  <si>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</si>
  <si>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</si>
  <si>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</si>
  <si>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</si>
  <si>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</si>
  <si>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</si>
  <si>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</si>
  <si>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</si>
  <si>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</si>
  <si>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</si>
  <si>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</si>
  <si>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</si>
  <si>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</si>
  <si>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</si>
  <si>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</si>
  <si>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</si>
  <si>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</si>
  <si>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</si>
  <si>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</si>
  <si>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</si>
  <si>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</si>
  <si>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</si>
  <si>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</si>
  <si>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</si>
  <si>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</si>
  <si>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</si>
  <si>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</si>
  <si>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</si>
  <si>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</si>
  <si>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</si>
  <si>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</si>
  <si>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</si>
  <si>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</si>
  <si>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</si>
  <si>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</si>
  <si>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</si>
  <si>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</si>
  <si>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</si>
  <si>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</si>
  <si>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</si>
  <si>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</si>
  <si>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</si>
  <si>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</si>
  <si>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</si>
  <si>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</si>
  <si>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</si>
  <si>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</si>
  <si>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</si>
  <si>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</si>
  <si>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</si>
  <si>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</si>
  <si>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</si>
  <si>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</si>
  <si>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</si>
  <si>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</si>
  <si>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</si>
  <si>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</si>
  <si>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</si>
  <si>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</si>
  <si>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</si>
  <si>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</si>
  <si>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</si>
  <si>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</si>
  <si>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</si>
  <si>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</si>
  <si>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</si>
  <si>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</si>
  <si>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</si>
  <si>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</si>
  <si>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</si>
  <si>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</si>
  <si>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</si>
  <si>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</si>
  <si>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</si>
  <si>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</si>
  <si>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CPLE3 Equity</t>
  </si>
  <si>
    <t>CPLE3 16/01/26 P12.75 OTC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</si>
  <si>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</si>
  <si>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</si>
  <si>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</si>
  <si>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</si>
  <si>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</si>
  <si>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</si>
  <si>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</si>
  <si>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</si>
  <si>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</si>
  <si>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</si>
  <si>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</si>
  <si>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</si>
  <si>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</si>
  <si>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</si>
  <si>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</si>
  <si>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</si>
  <si>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</si>
  <si>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</si>
  <si>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</si>
  <si>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</si>
  <si>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</si>
  <si>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</si>
  <si>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</si>
  <si>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</si>
  <si>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</si>
  <si>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</si>
  <si>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</si>
  <si>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</si>
  <si>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</si>
  <si>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</si>
  <si>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</si>
  <si>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</si>
  <si>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</si>
  <si>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</si>
  <si>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</si>
  <si>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</si>
  <si>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</si>
  <si>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</si>
  <si>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</si>
  <si>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</si>
  <si>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Metals</t>
  </si>
  <si>
    <t xml:space="preserve">GDX </t>
  </si>
  <si>
    <t>B3SA3 16/01/26 C14.77 OTC</t>
  </si>
  <si>
    <t>B3SA3 16/01/26 P13.02 OTC</t>
  </si>
  <si>
    <t>B3SA3 16/01/26 P13.77 OTC</t>
  </si>
  <si>
    <t>PETR4 16/01/26 C31.87 OTC</t>
  </si>
  <si>
    <t>PETR4 Equity</t>
  </si>
  <si>
    <t>BIDU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</si>
  <si>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</si>
  <si>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</si>
  <si>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</si>
  <si>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</si>
  <si>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</si>
  <si>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</si>
  <si>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</si>
  <si>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</si>
  <si>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</si>
  <si>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</si>
  <si>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</si>
  <si>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</si>
  <si>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</si>
  <si>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</si>
  <si>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</si>
  <si>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</si>
  <si>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</si>
  <si>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</si>
  <si>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</si>
  <si>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</si>
  <si>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</si>
  <si>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</si>
  <si>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</si>
  <si>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</si>
  <si>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</si>
  <si>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</si>
  <si>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</si>
  <si>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</si>
  <si>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</si>
  <si>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</si>
  <si>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</si>
  <si>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</si>
  <si>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</si>
  <si>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</si>
  <si>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</si>
  <si>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</si>
  <si>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</si>
  <si>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</si>
  <si>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</si>
  <si>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</si>
  <si>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</si>
  <si>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</si>
  <si>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</si>
  <si>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</si>
  <si>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</si>
  <si>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</si>
  <si>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</si>
  <si>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</si>
  <si>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</si>
  <si>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</si>
  <si>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</si>
  <si>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</si>
  <si>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</si>
  <si>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</si>
  <si>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</si>
  <si>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</si>
  <si>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</si>
  <si>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</si>
  <si>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</si>
  <si>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</si>
  <si>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</si>
  <si>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</si>
  <si>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</si>
  <si>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</si>
  <si>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</si>
  <si>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</si>
  <si>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</si>
  <si>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</si>
  <si>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</si>
  <si>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</si>
  <si>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</si>
  <si>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</si>
  <si>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</si>
  <si>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</si>
  <si>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</si>
  <si>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</si>
  <si>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</si>
  <si>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</si>
  <si>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</si>
  <si>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</si>
  <si>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</si>
  <si>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</si>
  <si>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</si>
  <si>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</si>
  <si>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</si>
  <si>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</si>
  <si>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</si>
  <si>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</si>
  <si>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</si>
  <si>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</si>
  <si>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</si>
  <si>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</si>
  <si>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</si>
  <si>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</si>
  <si>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</si>
  <si>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</si>
  <si>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</si>
  <si>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</si>
  <si>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</si>
  <si>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</si>
  <si>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</si>
  <si>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</si>
  <si>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</si>
  <si>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</si>
  <si>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</si>
  <si>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</si>
  <si>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</si>
  <si>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</si>
  <si>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</si>
  <si>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</si>
  <si>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</si>
  <si>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</si>
  <si>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</si>
  <si>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</si>
  <si>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</si>
  <si>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</si>
  <si>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</si>
  <si>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</si>
  <si>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</si>
  <si>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P325</t>
  </si>
  <si>
    <t>TSM US 01/16/26 C335</t>
  </si>
  <si>
    <t>TSM US 01/16/26 P315</t>
  </si>
  <si>
    <t>ASML US 01/23/26 P1200</t>
  </si>
  <si>
    <t>ASML US 01/23/26 P1100</t>
  </si>
  <si>
    <t>AMAT US 01/23/26 P280</t>
  </si>
  <si>
    <t>AMAT US 01/23/26 P290</t>
  </si>
  <si>
    <t>Internet/SW</t>
  </si>
  <si>
    <t>AMAT US 01/23/26 P290 Equity</t>
  </si>
  <si>
    <t>AMAT US Equity</t>
  </si>
  <si>
    <t>290</t>
  </si>
  <si>
    <t>AMAT US 01/23/26 P280 Equity</t>
  </si>
  <si>
    <t>280</t>
  </si>
  <si>
    <t>Pairs</t>
  </si>
  <si>
    <t>QQQ US 01/16/26 C635</t>
  </si>
  <si>
    <t>QQQ US 01/16/26 C633</t>
  </si>
  <si>
    <t>QQQ US 01/16/26 P622</t>
  </si>
  <si>
    <t>EWT US 01/16/26 C66.2</t>
  </si>
  <si>
    <t>QQQ US 01/15/26 P623</t>
  </si>
  <si>
    <t>QQQ US 01/15/26 P622</t>
  </si>
  <si>
    <t>AMAT US 02/06/26 C340</t>
  </si>
  <si>
    <t>AMAT US 02/20/26 C340</t>
  </si>
  <si>
    <t>KLAC US 02/06/26 C1600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</si>
  <si>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</si>
  <si>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</si>
  <si>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</si>
  <si>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</si>
  <si>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</si>
  <si>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</si>
  <si>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</si>
  <si>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</si>
  <si>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</si>
  <si>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</si>
  <si>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1OH6</t>
  </si>
  <si>
    <t>SWAP KMH6 21JAN2026 16MAR2026 0.483389265383573</t>
  </si>
  <si>
    <t>META US 07/17/26 C620</t>
  </si>
  <si>
    <t>GDX US 09/18/26 C105</t>
  </si>
  <si>
    <t>GDX US 09/18/26 C115</t>
  </si>
  <si>
    <t>1OG6P 24700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</si>
  <si>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</si>
  <si>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</si>
  <si>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</si>
  <si>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</si>
  <si>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</si>
  <si>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</si>
  <si>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</si>
  <si>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NASDAQ-100 E-mini Options - CME</t>
  </si>
  <si>
    <t>DELL DIVIDEND_</t>
  </si>
  <si>
    <t>Provision EUR Equity EUR_</t>
  </si>
  <si>
    <t>Provision Total Return Swap USD_</t>
  </si>
  <si>
    <t>000660 KP</t>
  </si>
  <si>
    <t>SNDK US 02/20/26 C500</t>
  </si>
  <si>
    <t>AMZN US 07/17/26 C230</t>
  </si>
  <si>
    <t>MSFT US 07/17/26 C450</t>
  </si>
  <si>
    <t>MRVL US 03/20/26 P70</t>
  </si>
  <si>
    <t>SNDK</t>
  </si>
  <si>
    <t>QQQ US 01/21/26 P616</t>
  </si>
  <si>
    <t>QQQ US 01/23/26 P615</t>
  </si>
  <si>
    <t>QQQ US 01/21/26 P614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</si>
  <si>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</si>
  <si>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</si>
  <si>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</si>
  <si>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</si>
  <si>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</si>
  <si>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</si>
  <si>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</si>
  <si>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</si>
  <si>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</si>
  <si>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</si>
  <si>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</si>
  <si>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</si>
  <si>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</si>
  <si>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</si>
  <si>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</si>
  <si>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C245</t>
  </si>
  <si>
    <t>META US 07/17/26 C670</t>
  </si>
  <si>
    <t>MSFT US 07/17/26 C465</t>
  </si>
  <si>
    <t>GOOG US 07/17/26 C350</t>
  </si>
  <si>
    <t>NVDA US 07/17/26 C200</t>
  </si>
  <si>
    <t>Provision CME USD_</t>
  </si>
  <si>
    <t>SWAP 000660 KP 23JAN2026 25JAN2027 509.6192</t>
  </si>
  <si>
    <t>COPX US 04/17/26 C85</t>
  </si>
  <si>
    <t>COPX US 04/17/26 C95</t>
  </si>
  <si>
    <t>COPX US 07/17/26 C85</t>
  </si>
  <si>
    <t>COPX US 07/17/26 C95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</si>
</sst>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2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quotePrefix="1" applyFont="1"/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86" fillId="0" borderId="0" xfId="0" applyFont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166" fontId="0" fillId="14" borderId="0" xfId="0" applyNumberFormat="1" applyFill="1"/>
    <xf numFmtId="3" fontId="0" fillId="14" borderId="0" xfId="190" applyNumberFormat="1" applyFont="1" applyFill="1" applyAlignment="1">
      <alignment horizontal="center"/>
    </xf>
    <xf numFmtId="196" fontId="0" fillId="14" borderId="0" xfId="0" applyNumberFormat="1" applyFill="1"/>
    <xf numFmtId="10" fontId="0" fillId="14" borderId="0" xfId="1" applyNumberFormat="1" applyFont="1" applyFill="1" applyBorder="1"/>
    <xf numFmtId="170" fontId="0" fillId="14" borderId="0" xfId="190" applyNumberFormat="1" applyFont="1" applyFill="1" applyBorder="1"/>
    <xf numFmtId="4" fontId="0" fillId="14" borderId="0" xfId="190" applyFont="1" applyFill="1"/>
    <xf numFmtId="170" fontId="0" fillId="14" borderId="0" xfId="1" applyNumberFormat="1" applyFont="1" applyFill="1"/>
    <xf numFmtId="173" fontId="0" fillId="14" borderId="0" xfId="1" applyNumberFormat="1" applyFont="1" applyFill="1"/>
    <xf numFmtId="10" fontId="0" fillId="14" borderId="0" xfId="1" applyNumberFormat="1" applyFont="1" applyFill="1"/>
    <xf numFmtId="169" fontId="0" fillId="97" borderId="0" xfId="190" applyNumberFormat="1" applyFont="1" applyFill="1"/>
    <xf numFmtId="4" fontId="0" fillId="97" borderId="0" xfId="190" applyFont="1" applyFill="1"/>
    <xf numFmtId="170" fontId="0" fillId="97" borderId="0" xfId="190" applyNumberFormat="1" applyFont="1" applyFill="1"/>
    <xf numFmtId="195" fontId="0" fillId="97" borderId="0" xfId="190" applyNumberFormat="1" applyFont="1" applyFill="1"/>
    <xf numFmtId="167" fontId="0" fillId="97" borderId="0" xfId="190" applyNumberFormat="1" applyFont="1" applyFill="1"/>
    <xf numFmtId="4" fontId="1" fillId="97" borderId="0" xfId="190" applyFont="1" applyFill="1" applyAlignment="1">
      <alignment horizontal="right"/>
    </xf>
    <xf numFmtId="43" fontId="0" fillId="97" borderId="0" xfId="190" quotePrefix="1" applyNumberFormat="1" applyFont="1" applyFill="1"/>
    <xf numFmtId="170" fontId="1" fillId="97" borderId="0" xfId="190" applyNumberFormat="1" applyFont="1" applyFill="1"/>
    <xf numFmtId="172" fontId="0" fillId="97" borderId="0" xfId="1" applyNumberFormat="1" applyFont="1" applyFill="1"/>
    <xf numFmtId="9" fontId="0" fillId="97" borderId="0" xfId="1" applyFont="1" applyFill="1"/>
    <xf numFmtId="10" fontId="0" fillId="97" borderId="0" xfId="1" applyNumberFormat="1" applyFont="1" applyFill="1"/>
    <xf numFmtId="43" fontId="0" fillId="97" borderId="0" xfId="190" applyNumberFormat="1" applyFont="1" applyFill="1"/>
    <xf numFmtId="4" fontId="86" fillId="97" borderId="0" xfId="190" applyFont="1" applyFill="1"/>
    <xf numFmtId="166" fontId="0" fillId="97" borderId="0" xfId="190" applyNumberFormat="1" applyFont="1" applyFill="1"/>
    <xf numFmtId="0" fontId="0" fillId="97" borderId="0" xfId="0" applyFill="1"/>
    <xf numFmtId="4" fontId="28" fillId="97" borderId="0" xfId="190" applyFont="1" applyFill="1"/>
    <xf numFmtId="172" fontId="0" fillId="97" borderId="0" xfId="0" applyNumberFormat="1" applyFill="1"/>
    <xf numFmtId="171" fontId="0" fillId="97" borderId="0" xfId="190" applyNumberFormat="1" applyFont="1" applyFill="1"/>
    <xf numFmtId="170" fontId="0" fillId="14" borderId="1" xfId="190" applyNumberFormat="1" applyFont="1" applyFill="1" applyBorder="1"/>
    <xf numFmtId="198" fontId="0" fillId="14" borderId="0" xfId="1" applyNumberFormat="1" applyFont="1" applyFill="1"/>
    <xf numFmtId="166" fontId="0" fillId="14" borderId="1" xfId="190" applyNumberFormat="1" applyFont="1" applyFill="1" applyBorder="1"/>
    <xf numFmtId="10" fontId="0" fillId="14" borderId="1" xfId="1" applyNumberFormat="1" applyFont="1" applyFill="1" applyBorder="1"/>
    <xf numFmtId="43" fontId="0" fillId="14" borderId="0" xfId="190" applyNumberFormat="1" applyFont="1" applyFill="1"/>
    <xf numFmtId="168" fontId="0" fillId="14" borderId="0" xfId="190" applyNumberFormat="1" applyFont="1" applyFill="1"/>
    <xf numFmtId="166" fontId="0" fillId="14" borderId="0" xfId="0" applyNumberFormat="1" applyFill="1" applyAlignment="1">
      <alignment horizontal="right"/>
    </xf>
    <xf numFmtId="166" fontId="0" fillId="14" borderId="0" xfId="190" applyNumberFormat="1" applyFont="1" applyFill="1"/>
    <xf numFmtId="0" fontId="0" fillId="14" borderId="0" xfId="0" applyFill="1"/>
    <xf numFmtId="3" fontId="0" fillId="14" borderId="0" xfId="190" applyNumberFormat="1" applyFont="1" applyFill="1"/>
    <xf numFmtId="0" fontId="0" fillId="14" borderId="0" xfId="0" applyFill="1" applyAlignment="1">
      <alignment horizontal="center"/>
    </xf>
    <xf numFmtId="172" fontId="0" fillId="14" borderId="0" xfId="1" applyNumberFormat="1" applyFont="1" applyFill="1"/>
    <xf numFmtId="43" fontId="0" fillId="14" borderId="19" xfId="190" applyNumberFormat="1" applyFont="1" applyFill="1" applyBorder="1" applyAlignment="1">
      <alignment horizontal="right"/>
    </xf>
    <xf numFmtId="2" fontId="0" fillId="97" borderId="0" xfId="0" applyNumberFormat="1" applyFill="1"/>
    <xf numFmtId="4" fontId="28" fillId="92" borderId="0" xfId="190" applyFont="1" applyFill="1"/>
    <xf numFmtId="0" fontId="0" fillId="92" borderId="0" xfId="0" applyFill="1"/>
    <xf numFmtId="166" fontId="0" fillId="92" borderId="0" xfId="190" applyNumberFormat="1" applyFont="1" applyFill="1"/>
    <xf numFmtId="4" fontId="86" fillId="92" borderId="0" xfId="190" applyFont="1" applyFill="1"/>
    <xf numFmtId="43" fontId="0" fillId="92" borderId="0" xfId="190" applyNumberFormat="1" applyFont="1" applyFill="1"/>
    <xf numFmtId="10" fontId="0" fillId="92" borderId="0" xfId="1" applyNumberFormat="1" applyFont="1" applyFill="1"/>
    <xf numFmtId="9" fontId="0" fillId="92" borderId="0" xfId="1" applyFont="1" applyFill="1"/>
    <xf numFmtId="172" fontId="0" fillId="92" borderId="0" xfId="1" applyNumberFormat="1" applyFont="1" applyFill="1"/>
    <xf numFmtId="170" fontId="1" fillId="92" borderId="0" xfId="190" applyNumberFormat="1" applyFont="1" applyFill="1"/>
    <xf numFmtId="43" fontId="0" fillId="92" borderId="0" xfId="190" quotePrefix="1" applyNumberFormat="1" applyFont="1" applyFill="1"/>
    <xf numFmtId="4" fontId="1" fillId="92" borderId="0" xfId="190" applyFont="1" applyFill="1" applyAlignment="1">
      <alignment horizontal="right"/>
    </xf>
    <xf numFmtId="167" fontId="0" fillId="92" borderId="0" xfId="190" applyNumberFormat="1" applyFont="1" applyFill="1"/>
    <xf numFmtId="195" fontId="0" fillId="92" borderId="0" xfId="190" applyNumberFormat="1" applyFont="1" applyFill="1"/>
    <xf numFmtId="170" fontId="0" fillId="92" borderId="0" xfId="190" applyNumberFormat="1" applyFont="1" applyFill="1"/>
    <xf numFmtId="171" fontId="0" fillId="92" borderId="0" xfId="190" applyNumberFormat="1" applyFont="1" applyFill="1"/>
    <xf numFmtId="172" fontId="0" fillId="92" borderId="0" xfId="0" applyNumberFormat="1" applyFill="1"/>
    <xf numFmtId="4" fontId="0" fillId="92" borderId="0" xfId="190" applyFont="1" applyFill="1"/>
    <xf numFmtId="169" fontId="0" fillId="92" borderId="0" xfId="190" applyNumberFormat="1" applyFont="1" applyFill="1"/>
    <xf numFmtId="2" fontId="0" fillId="92" borderId="0" xfId="0" applyNumberFormat="1" applyFill="1"/>
    <xf numFmtId="9" fontId="28" fillId="0" borderId="0" xfId="1" applyFont="1" applyFill="1"/>
    <xf numFmtId="0" fontId="0" fillId="84" borderId="2" xfId="0" applyFill="1" applyBorder="1"/>
    <xf numFmtId="3" fontId="0" fillId="2" borderId="0" xfId="190" applyNumberFormat="1" applyFont="1" applyFill="1" applyAlignment="1">
      <alignment horizontal="center"/>
    </xf>
    <xf numFmtId="173" fontId="0" fillId="2" borderId="0" xfId="1" applyNumberFormat="1" applyFont="1" applyFill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0" fontId="106" fillId="0" borderId="0" xfId="0" applyFont="1" applyFill="1" applyAlignment="1">
      <alignment horizontal="center" vertical="center" wrapText="1"/>
    </xf>
    <xf numFmtId="10" fontId="106" fillId="0" borderId="0" xfId="0" applyNumberFormat="1" applyFont="1" applyFill="1" applyAlignment="1"/>
    <xf numFmtId="172" fontId="106" fillId="0" borderId="0" xfId="0" applyNumberFormat="1" applyFont="1" applyFill="1" applyAlignment="1"/>
    <xf numFmtId="0" fontId="106" fillId="0" borderId="0" xfId="0" applyFont="1" applyFill="1" applyAlignment="1">
      <alignment horizontal="left"/>
    </xf>
    <xf numFmtId="170" fontId="107" fillId="0" borderId="0" xfId="0" applyNumberFormat="1" applyFont="1" applyFill="1" applyAlignment="1">
      <alignment horizontal="center" vertical="center" wrapText="1"/>
    </xf>
    <xf numFmtId="2" fontId="0" fillId="10" borderId="0" xfId="0" applyNumberFormat="1" applyFill="1"/>
    <xf numFmtId="169" fontId="0" fillId="10" borderId="0" xfId="190" applyNumberFormat="1" applyFont="1" applyFill="1"/>
    <xf numFmtId="172" fontId="0" fillId="10" borderId="0" xfId="0" applyNumberFormat="1" applyFill="1"/>
    <xf numFmtId="171" fontId="0" fillId="10" borderId="0" xfId="190" applyNumberFormat="1" applyFont="1" applyFill="1"/>
    <xf numFmtId="170" fontId="0" fillId="10" borderId="0" xfId="190" applyNumberFormat="1" applyFont="1" applyFill="1"/>
    <xf numFmtId="195" fontId="0" fillId="10" borderId="0" xfId="190" applyNumberFormat="1" applyFont="1" applyFill="1"/>
    <xf numFmtId="167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43" fontId="0" fillId="10" borderId="0" xfId="190" quotePrefix="1" applyNumberFormat="1" applyFont="1" applyFill="1"/>
    <xf numFmtId="170" fontId="1" fillId="10" borderId="0" xfId="190" applyNumberFormat="1" applyFont="1" applyFill="1"/>
    <xf numFmtId="172" fontId="0" fillId="10" borderId="0" xfId="1" applyNumberFormat="1" applyFont="1" applyFill="1"/>
    <xf numFmtId="9" fontId="0" fillId="10" borderId="0" xfId="1" applyFont="1" applyFill="1"/>
    <xf numFmtId="4" fontId="86" fillId="10" borderId="0" xfId="190" applyFont="1" applyFill="1"/>
    <xf numFmtId="166" fontId="0" fillId="10" borderId="0" xfId="190" applyNumberFormat="1" applyFont="1" applyFill="1"/>
    <xf numFmtId="4" fontId="28" fillId="10" borderId="0" xfId="190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66" fontId="0" fillId="2" borderId="1" xfId="190" applyNumberFormat="1" applyFont="1" applyFill="1" applyBorder="1"/>
    <xf numFmtId="198" fontId="0" fillId="2" borderId="0" xfId="1" applyNumberFormat="1" applyFont="1" applyFill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196" fontId="0" fillId="2" borderId="0" xfId="0" applyNumberFormat="1" applyFill="1"/>
    <xf numFmtId="10" fontId="0" fillId="2" borderId="0" xfId="1" applyNumberFormat="1" applyFont="1" applyFill="1" applyBorder="1"/>
    <xf numFmtId="10" fontId="106" fillId="0" borderId="0" xfId="0" applyNumberFormat="1" applyFont="1" applyFill="1" applyAlignment="1">
      <alignment horizontal="center" vertical="center" wrapText="1"/>
    </xf>
    <xf numFmtId="0" fontId="0" fillId="0" borderId="0" xfId="0"/>
    <xf numFmtId="14" fontId="15" fillId="3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15" fillId="0" borderId="0" xfId="0" quotePrefix="1" applyFont="1"/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</cellXfs>
  <cellStyles count="5464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-0.14370264112949371</v>
        <stp/>
        <stp>BDP|7089862060470095058|22</stp>
        <stp>TSM US 03/20/26 C300 Equity</stp>
        <stp>theta_mid_rt</stp>
        <tr r="AN27" s="2"/>
      </tp>
      <tp>
        <v>26629.96</v>
        <stp/>
        <stp>BDP|17098946093906753306|22</stp>
        <stp>HSI Index</stp>
        <stp>LAST_PRICE</stp>
        <tr r="H18" s="252"/>
        <tr r="H18" s="252"/>
      </tp>
      <tp t="s">
        <v>USD</v>
        <stp/>
        <stp>BDP|795827357083289767|22</stp>
        <stp>EWT US 01/16/26 C66.2 Equity</stp>
        <stp>QUOTED_CURRENCY_REALTIME</stp>
        <tr r="F178" s="89"/>
      </tp>
      <tp>
        <v>24.85</v>
        <stp/>
        <stp>BDP|3309468697196509506|22</stp>
        <stp>META US 04/17/26 P600 Equity</stp>
        <stp>ask</stp>
        <tr r="Q16" s="2"/>
        <tr r="L180" s="89"/>
      </tp>
      <tp>
        <v>17.350000000000001</v>
        <stp/>
        <stp>BDP|3195613887489522976|22</stp>
        <stp>NVDA US 07/17/26 C200 Equity</stp>
        <stp>bid</stp>
        <tr r="K237" s="89"/>
      </tp>
      <tp>
        <v>403.23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F63" s="89"/>
        <tr r="G21" s="2"/>
      </tp>
      <tp>
        <v>0.12</v>
        <stp/>
        <stp>BDP|6734297528663565888|22</stp>
        <stp>AMAT US 01/23/26 P290 Equity</stp>
        <stp>mid</stp>
        <tr r="L6" s="2"/>
      </tp>
      <tp t="s">
        <v>#N/A Real Time</v>
        <stp/>
        <stp>BDP|9106857053131827566|22</stp>
        <stp>SPXW US 12/31/25 C6950 Index</stp>
        <stp>DELTA_MID_RT</stp>
        <tr r="W160" s="89"/>
      </tp>
      <tp>
        <v>0.36526086926460266</v>
        <stp/>
        <stp>BDP|16080044180315030458|22</stp>
        <stp>META US 04/17/26 C690 Equity</stp>
        <stp>DELTA_MID_RT</stp>
        <tr r="AF14" s="2"/>
        <tr r="W170" s="89"/>
        <tr r="W179" s="89"/>
      </tp>
      <tp>
        <v>0.28000000000000003</v>
        <stp/>
        <stp>BDP|9946810605715956638|22</stp>
        <stp>AMAT US 01/23/26 P280 Equity</stp>
        <stp>ask</stp>
        <tr r="Q7" s="2"/>
        <tr r="L56" s="89"/>
      </tp>
      <tp t="s">
        <v>#N/A Real Time</v>
        <stp/>
        <stp>BDP|4173700437419483715|22</stp>
        <stp>IMBWK5C4 5880 Index</stp>
        <stp>bid</stp>
        <tr r="K90" s="89"/>
      </tp>
      <tp>
        <v>0.08</v>
        <stp/>
        <stp>BDP|1660304564695201690|22</stp>
        <stp>AMAT US 01/23/26 P290 Equity</stp>
        <stp>bid</stp>
        <tr r="P6" s="2"/>
        <tr r="K55" s="89"/>
      </tp>
      <tp>
        <v>15.7</v>
        <stp/>
        <stp>BDP|2905463583307910060|22</stp>
        <stp>META US 04/17/26 P570 Equity</stp>
        <stp>ask</stp>
        <tr r="Q17" s="2"/>
      </tp>
      <tp>
        <v>-0.22289231419563293</v>
        <stp/>
        <stp>BDP|16178066503720423746|22</stp>
        <stp>META US 04/17/26 P570 Equity</stp>
        <stp>DELTA_MID_RT</stp>
        <tr r="AF17" s="2"/>
      </tp>
      <tp>
        <v>28.8</v>
        <stp/>
        <stp>BDP|3303812229576852028|22</stp>
        <stp>MSFT US 07/17/26 C465 Equity</stp>
        <stp>ask</stp>
        <tr r="L235" s="89"/>
      </tp>
      <tp t="s">
        <v>USD</v>
        <stp/>
        <stp>BDP|6836574577411751820|22</stp>
        <stp>MRVL US 03/20/26 P75 Equity</stp>
        <stp>QUOTED_CURRENCY_REALTIME</stp>
        <tr r="G19" s="2"/>
      </tp>
      <tp>
        <v>13.2</v>
        <stp/>
        <stp>BDP|6325338273908007494|22</stp>
        <stp>W US 05/15/26 C125 Equity</stp>
        <stp>bid</stp>
        <tr r="K40" s="89"/>
      </tp>
      <tp t="s">
        <v>#N/A Real Time</v>
        <stp/>
        <stp>BDP|3954062195024173589|22</stp>
        <stp>RTYWU5C3 2425 Index</stp>
        <stp>ask</stp>
        <tr r="L144" s="89"/>
      </tp>
      <tp t="s">
        <v>USD</v>
        <stp/>
        <stp>BDP|18302061383042043751|22</stp>
        <stp>1OG6P 24700 Index</stp>
        <stp>QUOTED_CURRENCY_REALTIME</stp>
        <tr r="F153" s="89"/>
      </tp>
      <tp>
        <v>0.50516641139984131</v>
        <stp/>
        <stp>BDP|15462594640836016524|22</stp>
        <stp>AMZN US 07/17/26 C245 Equity</stp>
        <stp>DELTA_MID_RT</stp>
        <tr r="W234" s="89"/>
      </tp>
      <tp>
        <v>-0.10036687552928925</v>
        <stp/>
        <stp>BDP|2162853239863021436|22</stp>
        <stp>TSM US 06/18/26 C380 Equity</stp>
        <stp>theta_mid_rt</stp>
        <tr r="AN26" s="2"/>
      </tp>
      <tp>
        <v>35.15</v>
        <stp/>
        <stp>BDP|4238048935133024019|22</stp>
        <stp>AVGO US 06/18/26 C350 Equity</stp>
        <stp>mid</stp>
        <tr r="L10" s="2"/>
      </tp>
      <tp>
        <v>0.01</v>
        <stp/>
        <stp>BDP|7439765758104486583|22</stp>
        <stp>AMAT US 01/23/26 P280 Equity</stp>
        <stp>bid</stp>
        <tr r="P7" s="2"/>
        <tr r="K56" s="89"/>
      </tp>
      <tp>
        <v>21.2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>
        <v>13.9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53.83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0.25731766223907471</v>
        <stp/>
        <stp>BDP|14091170888152008254|22</stp>
        <stp>ASHR US 02/20/26 C35 Equity</stp>
        <stp>DELTA_MID_RT</stp>
        <tr r="AF8" s="2"/>
      </tp>
      <tp t="s">
        <v>#N/A Real Time</v>
        <stp/>
        <stp>BDP|3350828662352011280|22</stp>
        <stp>RFSWZ4C3 2360 Index</stp>
        <stp>ask</stp>
        <tr r="L122" s="89"/>
      </tp>
      <tp>
        <v>446.77</v>
        <stp/>
        <stp>BDP|274803756834169207|22</stp>
        <stp>MSFT EQUITY</stp>
        <stp>LAST_PRICE</stp>
        <tr r="C7" s="1"/>
      </tp>
      <tp>
        <v>-0.27521651983261108</v>
        <stp/>
        <stp>BDP|864859914045185424|22</stp>
        <stp>1OG6P 25000 Index</stp>
        <stp>DELTA_MID_RT</stp>
        <tr r="AF4" s="2"/>
        <tr r="W154" s="89"/>
        <tr r="AF5" s="2"/>
      </tp>
      <tp t="s">
        <v>#N/A Real Time</v>
        <stp/>
        <stp>BDP|2891447407704048860|22</stp>
        <stp>IMBWK5C4 5840 Index</stp>
        <stp>bid</stp>
        <tr r="K89" s="89"/>
      </tp>
      <tp t="s">
        <v>USD</v>
        <stp/>
        <stp>BDP|7375528466321996878|22</stp>
        <stp>COPX US 04/17/26 C85 Equity</stp>
        <stp>QUOTED_CURRENCY_REALTIME</stp>
        <tr r="F33" s="89"/>
      </tp>
      <tp>
        <v>21.6</v>
        <stp/>
        <stp>BDP|9846539138093835445|22</stp>
        <stp>RKT US Equity</stp>
        <stp>LAST_PRICE</stp>
        <tr r="S39" s="89"/>
      </tp>
      <tp t="s">
        <v>USD</v>
        <stp/>
        <stp>BDP|7525271008399615963|22</stp>
        <stp>MRVL US 03/20/26 P80 Equity</stp>
        <stp>QUOTED_CURRENCY_REALTIME</stp>
        <tr r="F62" s="89"/>
        <tr r="G20" s="2"/>
      </tp>
      <tp>
        <v>-0.67621642351150513</v>
        <stp/>
        <stp>BDP|14063713080232141765|22</stp>
        <stp>NFLX US 03/20/26 P90 Equity</stp>
        <stp>DELTA_MID_RT</stp>
        <tr r="W187" s="89"/>
      </tp>
      <tp>
        <v>71.010000000000005</v>
        <stp/>
        <stp>BDP|3505174117914270567|22</stp>
        <stp>KRE Equity</stp>
        <stp>LAST PRICE</stp>
        <tr r="I54" s="338"/>
      </tp>
      <tp>
        <v>0.44355407357215881</v>
        <stp/>
        <stp>BDP|18353628177462926305|22</stp>
        <stp>LITE US 02/20/26 C400 Equity</stp>
        <stp>DELTA_MID_RT</stp>
        <tr r="AF13" s="2"/>
        <tr r="W7" s="89"/>
      </tp>
      <tp>
        <v>271.47000000000003</v>
        <stp/>
        <stp>BDP|9630309169962502325|22</stp>
        <stp>IWM Equity</stp>
        <stp>LAST PRICE</stp>
        <tr r="I48" s="338"/>
        <tr r="I49" s="338"/>
      </tp>
      <tp t="s">
        <v>#N/A Requesting Data...2897124248</v>
        <stp/>
        <stp>BDP|15582332073698885344</stp>
        <tr r="G19" s="446"/>
      </tp>
      <tp t="s">
        <v>#N/A Requesting Data...3603933329</v>
        <stp/>
        <stp>BDP|18146375769712507536</stp>
        <tr r="E2" s="1"/>
        <tr r="K30" s="1"/>
      </tp>
      <tp t="s">
        <v>#N/A Requesting Data...2259845964</v>
        <stp/>
        <stp>BDP|13135230879275111937</stp>
        <tr r="AJ12" s="338"/>
      </tp>
      <tp t="s">
        <v>#N/A Requesting Data...2966679967</v>
        <stp/>
        <stp>BDP|17278629169738623577</stp>
        <tr r="N19" s="252"/>
        <tr r="N19" s="252"/>
      </tp>
      <tp t="s">
        <v>#N/A Requesting Data...2081933805</v>
        <stp/>
        <stp>BDP|13861516293945551079</stp>
        <tr r="AI25" s="1"/>
      </tp>
      <tp t="s">
        <v>#N/A N/A</v>
        <stp/>
        <stp>BDP|16146200554279689285</stp>
        <tr r="O211" s="89"/>
      </tp>
      <tp t="s">
        <v>#N/A Requesting Data...2425643953</v>
        <stp/>
        <stp>BDP|15581562198526337530</stp>
        <tr r="AK12" s="338"/>
      </tp>
      <tp t="s">
        <v>#N/A Requesting Data...2241689470</v>
        <stp/>
        <stp>BDP|13286384604342093849</stp>
        <tr r="X45" s="338"/>
      </tp>
      <tp t="s">
        <v>#N/A Requesting Data...3375172399</v>
        <stp/>
        <stp>BDP|15717048336038730484</stp>
        <tr r="AD22" s="2"/>
      </tp>
      <tp t="s">
        <v>#N/A Requesting Data...3153535773</v>
        <stp/>
        <stp>BDP|16845320119919973779</stp>
        <tr r="D76" s="89"/>
      </tp>
      <tp t="s">
        <v>#N/A N/A</v>
        <stp/>
        <stp>BDP|16655732894056873458</stp>
        <tr r="C235" s="89"/>
      </tp>
      <tp t="s">
        <v>#N/A Requesting Data...2717241579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Data...2433236522</v>
        <stp/>
        <stp>BDP|18304888293894101754</stp>
        <tr r="S9" s="338"/>
      </tp>
      <tp t="s">
        <v>#N/A Requesting Data...3184085116</v>
        <stp/>
        <stp>BDP|10639276692284852548</stp>
        <tr r="F28" s="446"/>
      </tp>
      <tp t="s">
        <v>#N/A Requesting Data...3118970808</v>
        <stp/>
        <stp>BDP|10749518787913680498</stp>
        <tr r="G41" s="446"/>
      </tp>
      <tp t="s">
        <v>#N/A Requesting Data...3506545572</v>
        <stp/>
        <stp>BDP|15491877244086779510</stp>
        <tr r="C90" s="89"/>
      </tp>
      <tp t="s">
        <v>#N/A N/A</v>
        <stp/>
        <stp>BDP|15599576753428820781</stp>
        <tr r="O236" s="89"/>
      </tp>
      <tp t="s">
        <v>#N/A N/A</v>
        <stp/>
        <stp>BDP|15119105356728105374</stp>
        <tr r="AB56" s="89"/>
        <tr r="AB55" s="89"/>
        <tr r="AQ7" s="2"/>
        <tr r="AQ6" s="2"/>
      </tp>
      <tp t="s">
        <v>#N/A N/A</v>
        <stp/>
        <stp>BDP|18282109433921312121</stp>
        <tr r="AA212" s="89"/>
        <tr r="Z212" s="89"/>
      </tp>
      <tp t="s">
        <v>#N/A Requesting Data...3128615061</v>
        <stp/>
        <stp>BDP|12497145892616892699</stp>
        <tr r="D102" s="89"/>
      </tp>
      <tp t="s">
        <v>#N/A Requesting Data...2216585019</v>
        <stp/>
        <stp>BDP|14492417491683249054</stp>
        <tr r="AJ41" s="338"/>
        <tr r="AJ42" s="338"/>
      </tp>
      <tp t="s">
        <v>#N/A N/A</v>
        <stp/>
        <stp>BDP|13625509580957281374</stp>
        <tr r="Q33" s="338"/>
      </tp>
      <tp t="s">
        <v>#N/A Requesting Data...2093729746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Data...3709736863</v>
        <stp/>
        <stp>BDP|10020321410941159965</stp>
        <tr r="S42" s="338"/>
      </tp>
      <tp t="s">
        <v>#N/A Requesting Data...3002595658</v>
        <stp/>
        <stp>BDP|11794748141588350041</stp>
        <tr r="AJ8" s="338"/>
        <tr r="AJ9" s="338"/>
      </tp>
      <tp t="s">
        <v>#N/A Requesting Data...3619519783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Data...3562820828</v>
        <stp/>
        <stp>BDP|16757205954548058378</stp>
        <tr r="AI24" s="1"/>
      </tp>
      <tp t="s">
        <v>#N/A Requesting Data...3487241156</v>
        <stp/>
        <stp>BDP|16761382649589718257</stp>
        <tr r="F27" s="446"/>
      </tp>
      <tp t="s">
        <v>#N/A Requesting Data...3791817263</v>
        <stp/>
        <stp>BDP|11629287799981255124</stp>
        <tr r="C68" s="89"/>
      </tp>
      <tp t="s">
        <v>#N/A Requesting Data...2775228440</v>
        <stp/>
        <stp>BDP|10560430593062313514</stp>
        <tr r="AG33" s="1"/>
      </tp>
      <tp t="s">
        <v>#N/A Requesting Data...2620830040</v>
        <stp/>
        <stp>BDP|13546818454494181070</stp>
        <tr r="AC33" s="1"/>
      </tp>
      <tp t="e">
        <v>#N/A</v>
        <stp/>
        <stp>BDH|10097910716274795641</stp>
        <tr r="W18" s="252"/>
        <tr r="T18" s="252"/>
      </tp>
      <tp t="s">
        <v>#N/A N/A</v>
        <stp/>
        <stp>BDH|17700160652740030988</stp>
        <tr r="AU49" s="338"/>
        <tr r="AU48" s="338"/>
      </tp>
      <tp>
        <v>0.94442898035049438</v>
        <stp/>
        <stp>BDP|4710820818482539208|22</stp>
        <stp>EWT US 01/16/26 C66.2 Equity</stp>
        <stp>DELTA_MID_RT</stp>
        <tr r="W178" s="89"/>
      </tp>
      <tp t="s">
        <v>#N/A Real Time</v>
        <stp/>
        <stp>BDP|14244088115833890454|22</stp>
        <stp>SCH5C   6250 Index</stp>
        <stp>DELTA_MID_RT</stp>
        <tr r="W96" s="89"/>
      </tp>
      <tp>
        <v>0.41377896070480347</v>
        <stp/>
        <stp>BDP|13328753895130576771|22</stp>
        <stp>SNDK US 02/20/26 C550 Equity</stp>
        <stp>DELTA_MID_RT</stp>
        <tr r="AF24" s="2"/>
      </tp>
      <tp>
        <v>0.30966514348983765</v>
        <stp/>
        <stp>BDP|15091267836171787049|22</stp>
        <stp>AVGO US 06/18/26 C410 Equity</stp>
        <stp>DELTA_MID_RT</stp>
        <tr r="AF9" s="2"/>
        <tr r="W222" s="89"/>
      </tp>
      <tp>
        <v>24.75</v>
        <stp/>
        <stp>BDP|9892279240398643988|22</stp>
        <stp>AVGO US 06/18/26 P300 Equity</stp>
        <stp>bid</stp>
        <tr r="K224" s="89"/>
      </tp>
      <tp>
        <v>6.8136513233184814E-2</v>
        <stp/>
        <stp>BDP|15345195851714362356|22</stp>
        <stp>NFLX US 03/20/26 C105 Equity</stp>
        <stp>DELTA_MID_RT</stp>
        <tr r="W186" s="89"/>
      </tp>
      <tp t="s">
        <v>#N/A Requesting Data...2027131450</v>
        <stp/>
        <stp>BDP|14708527546846978837</stp>
        <tr r="F22" s="446"/>
      </tp>
      <tp t="s">
        <v>#N/A Requesting Data...3895610312</v>
        <stp/>
        <stp>BDP|17382508591454336498</stp>
        <tr r="F10" s="446"/>
      </tp>
      <tp t="s">
        <v>#N/A Requesting Data...2891439939</v>
        <stp/>
        <stp>BDP|15393992280169008616</stp>
        <tr r="F24" s="446"/>
      </tp>
      <tp t="s">
        <v>#N/A Requesting Data...4284228012</v>
        <stp/>
        <stp>BDP|17538921220052801541</stp>
        <tr r="AA187" s="89"/>
        <tr r="Z187" s="89"/>
      </tp>
      <tp t="s">
        <v>#N/A Requesting Data...2882583321</v>
        <stp/>
        <stp>BDP|10256865635189905931</stp>
        <tr r="AC21" s="1"/>
        <tr r="AC22" s="1"/>
        <tr r="D26" s="446"/>
      </tp>
      <tp t="s">
        <v>#N/A Requesting Data...3313255760</v>
        <stp/>
        <stp>BDP|16326536432018842310</stp>
        <tr r="E102" s="89"/>
      </tp>
      <tp t="s">
        <v>#N/A Requesting Data...2925932550</v>
        <stp/>
        <stp>BDP|11291613004685235986</stp>
        <tr r="T40" s="89"/>
      </tp>
      <tp t="s">
        <v>#N/A Requesting Data...2515993549</v>
        <stp/>
        <stp>BDP|14305045698741171731</stp>
        <tr r="AD19" s="2"/>
      </tp>
      <tp t="s">
        <v>#N/A Requesting Data...3463657993</v>
        <stp/>
        <stp>BDP|10846290148809317467</stp>
        <tr r="T47" s="338"/>
      </tp>
      <tp t="s">
        <v>#N/A Requesting Data...2716409193</v>
        <stp/>
        <stp>BDP|17908300451053627923</stp>
        <tr r="C19" s="2"/>
      </tp>
      <tp t="s">
        <v>#N/A N/A</v>
        <stp/>
        <stp>BDP|11292951375013419795</stp>
        <tr r="C15" s="2"/>
      </tp>
      <tp t="s">
        <v>#N/A Requesting Data...2573369240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Data...3781387575</v>
        <stp/>
        <stp>BDP|11569977534954801402</stp>
        <tr r="D63" s="89"/>
      </tp>
      <tp t="s">
        <v>#N/A Requesting Data...2633497082</v>
        <stp/>
        <stp>BDP|14945010294650760658</stp>
        <tr r="L37" s="338"/>
        <tr r="H37" s="338"/>
      </tp>
      <tp t="s">
        <v>#N/A Requesting Data...3495478790</v>
        <stp/>
        <stp>BDP|12625403616855824991</stp>
        <tr r="F15" s="446"/>
      </tp>
      <tp t="s">
        <v>#N/A Requesting Data...3391994092</v>
        <stp/>
        <stp>BDP|14416377574372571935</stp>
        <tr r="D101" s="89"/>
      </tp>
      <tp t="s">
        <v>#N/A Requesting Data...2099080764</v>
        <stp/>
        <stp>BDP|11745089010498747381</stp>
        <tr r="T75" s="89"/>
      </tp>
      <tp t="s">
        <v>#N/A Requesting Data...4039643671</v>
        <stp/>
        <stp>BDP|10942621120688011798</stp>
        <tr r="V55" s="338"/>
      </tp>
      <tp t="s">
        <v>#N/A Requesting Data...3557121465</v>
        <stp/>
        <stp>BDP|14853590894083718008</stp>
        <tr r="V12" s="338"/>
      </tp>
      <tp t="s">
        <v>#N/A Requesting Data...4200201121</v>
        <stp/>
        <stp>BDP|17077564961768568704</stp>
        <tr r="O7" s="89"/>
        <tr r="T13" s="2"/>
      </tp>
      <tp t="s">
        <v>#N/A N/A</v>
        <stp/>
        <stp>BDP|14230486891323782196</stp>
        <tr r="T27" s="89"/>
      </tp>
      <tp t="s">
        <v>#N/A Requesting Data...3953909934</v>
        <stp/>
        <stp>BDP|18215029187872028927</stp>
        <tr r="F13" s="2"/>
      </tp>
      <tp t="s">
        <v>#N/A Requesting Data...4269931214</v>
        <stp/>
        <stp>BDP|13154673264950579831</stp>
        <tr r="P8" s="338"/>
      </tp>
      <tp t="s">
        <v>#N/A Requesting Data...2971822252</v>
        <stp/>
        <stp>BDP|18352383299971018866</stp>
        <tr r="V96" s="89"/>
      </tp>
      <tp t="s">
        <v>#N/A N/A</v>
        <stp/>
        <stp>BDP|10865582194811567656</stp>
        <tr r="C233" s="89"/>
        <tr r="D15" s="2"/>
      </tp>
      <tp t="s">
        <v>#N/A Requesting Data...3516172785</v>
        <stp/>
        <stp>BDP|18149202901248495937</stp>
        <tr r="AH8" s="338"/>
        <tr r="AH9" s="338"/>
      </tp>
      <tp t="s">
        <v>#N/A Requesting Data...2270427215</v>
        <stp/>
        <stp>BDP|17812279814258546797</stp>
        <tr r="U12" s="338"/>
      </tp>
      <tp t="s">
        <v>#N/A Requesting Data...2942716958</v>
        <stp/>
        <stp>BDP|16354487536428919237</stp>
        <tr r="P36" s="338"/>
      </tp>
      <tp t="s">
        <v>#N/A Requesting Data...2150473314</v>
        <stp/>
        <stp>BDP|12938986196201541855</stp>
        <tr r="T9" s="338"/>
      </tp>
      <tp t="s">
        <v>#N/A Requesting Data...2441430557</v>
        <stp/>
        <stp>BDP|17486908537523033556</stp>
        <tr r="E180" s="89"/>
      </tp>
      <tp>
        <v>191.25</v>
        <stp/>
        <stp>BDP|13617156827013839169|22</stp>
        <stp>1OG6P 25000 Index</stp>
        <stp>ask</stp>
        <tr r="Q4" s="2"/>
        <tr r="L154" s="89"/>
        <tr r="Q5" s="2"/>
      </tp>
      <tp t="s">
        <v>#N/A N/A</v>
        <stp/>
        <stp>BDH|16501811107852223710</stp>
        <tr r="AR30" s="338"/>
      </tp>
      <tp t="s">
        <v>#N/A N/A</v>
        <stp/>
        <stp>BDH|10605315957724468941</stp>
        <tr r="AM10" s="338"/>
        <tr r="AM33" s="338"/>
        <tr r="AM11" s="338"/>
      </tp>
      <tp t="s">
        <v>#N/A N/A</v>
        <stp/>
        <stp>BDH|17802403994636686741</stp>
        <tr r="AP9" s="338"/>
        <tr r="AP8" s="338"/>
      </tp>
      <tp t="s">
        <v>#N/A Requesting Data...3166303840</v>
        <stp/>
        <stp>BDP|16382697175628205742</stp>
        <tr r="K2" s="2"/>
        <tr r="J1" s="24"/>
      </tp>
      <tp t="s">
        <v>#N/A Requesting Data...2330189616</v>
        <stp/>
        <stp>BDP|14534507482414865574</stp>
        <tr r="AF34" s="1"/>
        <tr r="AF17" s="338"/>
        <tr r="AF18" s="338"/>
      </tp>
      <tp t="s">
        <v>#N/A N/A</v>
        <stp/>
        <stp>BDP|16974302742040789949</stp>
        <tr r="Q44" s="338"/>
      </tp>
      <tp t="s">
        <v>#N/A Requesting Data...4265852452</v>
        <stp/>
        <stp>BDP|18104805924642791891</stp>
        <tr r="AK9" s="338"/>
      </tp>
      <tp t="s">
        <v>#N/A Requesting Data...2495360206</v>
        <stp/>
        <stp>BDP|11488799325524705843</stp>
        <tr r="D23" s="2"/>
      </tp>
      <tp t="s">
        <v>#N/A Requesting Data...3016377006</v>
        <stp/>
        <stp>BDP|18319033186521864931</stp>
        <tr r="T224" s="89"/>
      </tp>
      <tp t="s">
        <v>#N/A Requesting Data...2104968639</v>
        <stp/>
        <stp>BDP|11421352885480139296</stp>
        <tr r="AK18" s="338"/>
      </tp>
      <tp t="s">
        <v>#N/A Requesting Data...3779526777</v>
        <stp/>
        <stp>BDP|14385972258221788175</stp>
        <tr r="K35" s="1"/>
      </tp>
      <tp t="s">
        <v>#N/A N/A</v>
        <stp/>
        <stp>BDP|14528833236766884166</stp>
        <tr r="T33" s="89"/>
      </tp>
      <tp t="s">
        <v>#N/A Requesting Data...2271357149</v>
        <stp/>
        <stp>BDP|14368247967240567849</stp>
        <tr r="AK48" s="338"/>
        <tr r="AK49" s="338"/>
      </tp>
      <tp t="s">
        <v>#N/A Requesting Data...3217880724</v>
        <stp/>
        <stp>BDP|18355353104331140221</stp>
        <tr r="E6" s="1"/>
      </tp>
      <tp t="s">
        <v>#N/A Requesting Data...2415779158</v>
        <stp/>
        <stp>BDP|14339764599746958441</stp>
        <tr r="L14" s="252"/>
        <tr r="L14" s="252"/>
      </tp>
      <tp t="s">
        <v>#N/A Requesting Data...2595802578</v>
        <stp/>
        <stp>BDP|13273727322169541747</stp>
        <tr r="S31" s="338"/>
      </tp>
      <tp t="s">
        <v>#N/A N/A</v>
        <stp/>
        <stp>BDP|11594902352491463409</stp>
        <tr r="T234" s="89"/>
      </tp>
      <tp t="s">
        <v>#N/A Requesting Data...3347958061</v>
        <stp/>
        <stp>BDP|18059086409648276807</stp>
        <tr r="X13" s="338"/>
      </tp>
      <tp t="s">
        <v>#N/A Requesting Data...2429403824</v>
        <stp/>
        <stp>BDP|14077436120512876887</stp>
        <tr r="AH14" s="338"/>
        <tr r="AH35" s="338"/>
      </tp>
      <tp t="s">
        <v>#N/A Requesting Data...3196907508</v>
        <stp/>
        <stp>BDP|15744958059654008590</stp>
        <tr r="M11" s="252"/>
      </tp>
      <tp t="s">
        <v>#N/A Requesting Data...4203498222</v>
        <stp/>
        <stp>BDP|13690707356499397067</stp>
        <tr r="AG42" s="338"/>
      </tp>
      <tp t="s">
        <v>#N/A Requesting Data...2619620641</v>
        <stp/>
        <stp>BDP|12538321051928445466</stp>
        <tr r="AR20" s="2"/>
      </tp>
      <tp t="s">
        <v>#N/A Requesting Data...2309411675</v>
        <stp/>
        <stp>BDP|13052160308013823928</stp>
        <tr r="L16" s="252"/>
        <tr r="L16" s="252"/>
      </tp>
      <tp t="s">
        <v>#N/A Requesting Data...2532303179</v>
        <stp/>
        <stp>BDP|10630112845779481422</stp>
        <tr r="T8" s="338"/>
      </tp>
      <tp t="s">
        <v>#N/A Requesting Data...2710038144</v>
        <stp/>
        <stp>BDP|15174714974255030800</stp>
        <tr r="O39" s="89"/>
      </tp>
      <tp t="s">
        <v>#N/A Requesting Data...3884554050</v>
        <stp/>
        <stp>BDP|11209184266078842639</stp>
        <tr r="AC18" s="1"/>
      </tp>
      <tp t="s">
        <v>#N/A N/A</v>
        <stp/>
        <stp>BDP|11792150875749844688</stp>
        <tr r="AB101" s="89"/>
        <tr r="AB95" s="89"/>
        <tr r="AB96" s="89"/>
        <tr r="AB102" s="89"/>
      </tp>
      <tp t="s">
        <v>#N/A N/A</v>
        <stp/>
        <stp>BDP|11227016681012231375</stp>
        <tr r="Q46" s="338"/>
      </tp>
      <tp t="s">
        <v>#N/A Requesting Data...3013727504</v>
        <stp/>
        <stp>BDP|18091505366056640561</stp>
        <tr r="D69" s="89"/>
      </tp>
      <tp t="s">
        <v>#N/A N/A</v>
        <stp/>
        <stp>BDH|12368297663529858748</stp>
        <tr r="AU45" s="338"/>
      </tp>
      <tp t="s">
        <v>#N/A N/A</v>
        <stp/>
        <stp>BDH|18287698017426042194</stp>
        <tr r="AU42" s="338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Real Time</v>
        <stp/>
        <stp>BDP|3928061582338749570|22</stp>
        <stp>MRYWZ4C4 2390 Index</stp>
        <stp>bid</stp>
        <tr r="K129" s="89"/>
      </tp>
      <tp>
        <v>26.2</v>
        <stp/>
        <stp>BDP|1262865218775301973|22</stp>
        <stp>GOOG US 07/17/26 C350 Equity</stp>
        <stp>ask</stp>
        <tr r="L236" s="89"/>
      </tp>
      <tp>
        <v>0.48523852229118347</v>
        <stp/>
        <stp>BDP|11692362111124219231|22</stp>
        <stp>MSFT US 07/17/26 C465 Equity</stp>
        <stp>DELTA_MID_RT</stp>
        <tr r="W235" s="89"/>
      </tp>
      <tp t="s">
        <v>#N/A Requesting Data...3370849189</v>
        <stp/>
        <stp>BDP|14228839741476914704</stp>
        <tr r="AF35" s="1"/>
      </tp>
      <tp t="s">
        <v>#N/A Requesting Data...3661195860</v>
        <stp/>
        <stp>BDP|13108014284305863746</stp>
        <tr r="AH29" s="338"/>
        <tr r="AH30" s="338"/>
        <tr r="AJ29" s="338"/>
        <tr r="AJ30" s="338"/>
      </tp>
      <tp t="s">
        <v>#N/A Requesting Data...2487642864</v>
        <stp/>
        <stp>BDP|16161490436721422919</stp>
        <tr r="D19" s="89"/>
      </tp>
      <tp t="s">
        <v>#N/A Requesting Data...2678638183</v>
        <stp/>
        <stp>BDP|18084144309549296940</stp>
        <tr r="X46" s="338"/>
      </tp>
      <tp t="s">
        <v>#N/A N/A</v>
        <stp/>
        <stp>BDP|11645940326313791089</stp>
        <tr r="AQ23" s="2"/>
        <tr r="AQ24" s="2"/>
      </tp>
      <tp t="s">
        <v>#N/A Requesting Data...3442432788</v>
        <stp/>
        <stp>BDP|14080496093764135415</stp>
        <tr r="P8" s="252"/>
      </tp>
      <tp t="s">
        <v>#N/A Requesting Data...4133196620</v>
        <stp/>
        <stp>BDP|10379287684220430311</stp>
        <tr r="F8" s="2"/>
      </tp>
      <tp t="s">
        <v>#N/A Requesting Data...2331708465</v>
        <stp/>
        <stp>BDP|12113970899503508804</stp>
        <tr r="F6" s="2"/>
      </tp>
      <tp t="s">
        <v>#N/A Requesting Data...4220545863</v>
        <stp/>
        <stp>BDP|13667922398723991985</stp>
        <tr r="O8" s="252"/>
      </tp>
      <tp t="s">
        <v>#N/A Requesting Data...3739625461</v>
        <stp/>
        <stp>BDP|16276991072151645027</stp>
        <tr r="AC25" s="1"/>
      </tp>
      <tp t="s">
        <v>#N/A Requesting Data...2226772158</v>
        <stp/>
        <stp>BDP|11569233714862664985</stp>
        <tr r="E18" s="2"/>
      </tp>
      <tp t="s">
        <v>#N/A Requesting Data...3143159808</v>
        <stp/>
        <stp>BDP|14084731383605893774</stp>
        <tr r="T30" s="338"/>
      </tp>
      <tp t="s">
        <v>#N/A Requesting Data...2062487972</v>
        <stp/>
        <stp>BDP|17920955902274781369</stp>
        <tr r="AK13" s="338"/>
      </tp>
      <tp t="s">
        <v>#N/A Requesting Data...3257395308</v>
        <stp/>
        <stp>BDP|15814817125237185133</stp>
        <tr r="AK11" s="338"/>
      </tp>
      <tp t="s">
        <v>#N/A Requesting Data...3168169288</v>
        <stp/>
        <stp>BDP|10683822754613362720</stp>
        <tr r="C89" s="89"/>
      </tp>
      <tp t="s">
        <v>#N/A Requesting Data...2118527636</v>
        <stp/>
        <stp>BDP|14905890171093180111</stp>
        <tr r="U18" s="338"/>
      </tp>
      <tp t="s">
        <v>#N/A N/A</v>
        <stp/>
        <stp>BDP|15676788515242812821</stp>
        <tr r="AV4" s="2"/>
        <tr r="R153" s="89"/>
        <tr r="R154" s="89"/>
        <tr r="AV5" s="2"/>
      </tp>
      <tp t="s">
        <v>#N/A Requesting Data...2710126456</v>
        <stp/>
        <stp>BDP|12314311989030851024</stp>
        <tr r="T180" s="89"/>
        <tr r="AA16" s="2"/>
      </tp>
      <tp t="s">
        <v>#N/A Requesting Data...3339173996</v>
        <stp/>
        <stp>BDP|17719503394081403362</stp>
        <tr r="AH37" s="338"/>
        <tr r="AJ37" s="338"/>
      </tp>
      <tp t="s">
        <v>#N/A Requesting Data...4175777982</v>
        <stp/>
        <stp>BDP|18279909896309755834</stp>
        <tr r="AG14" s="1"/>
      </tp>
      <tp t="s">
        <v>#N/A Requesting Data...2604456472</v>
        <stp/>
        <stp>BDP|12571041380342291138</stp>
        <tr r="F34" s="446"/>
      </tp>
      <tp t="s">
        <v>#N/A Requesting Data...4122909407</v>
        <stp/>
        <stp>BDP|17654964972910872093</stp>
        <tr r="V204" s="89"/>
      </tp>
      <tp t="s">
        <v>#N/A Requesting Data...3767811826</v>
        <stp/>
        <stp>BDP|13659806942011456735</stp>
        <tr r="P7" s="252"/>
      </tp>
      <tp t="s">
        <v>#N/A Requesting Data...3661481757</v>
        <stp/>
        <stp>BDP|18096821285957052647</stp>
        <tr r="F18" s="446"/>
      </tp>
      <tp t="s">
        <v>#N/A N/A</v>
        <stp/>
        <stp>BDP|17634806951105742636</stp>
        <tr r="Q17" s="338"/>
      </tp>
      <tp t="s">
        <v>#N/A N/A</v>
        <stp/>
        <stp>BDP|10570370408323999914</stp>
        <tr r="AA8" s="89"/>
        <tr r="Z8" s="89"/>
      </tp>
      <tp t="s">
        <v>#N/A Requesting Data...2570370006</v>
        <stp/>
        <stp>BDP|12951171716612986933</stp>
        <tr r="V195" s="89"/>
      </tp>
      <tp t="s">
        <v>#N/A Requesting Data...2158259908</v>
        <stp/>
        <stp>BDP|17046967805152979583</stp>
        <tr r="V89" s="89"/>
      </tp>
      <tp t="s">
        <v>#N/A Requesting Data...2728532204</v>
        <stp/>
        <stp>BDP|12912684483811638411</stp>
        <tr r="L24" s="1"/>
      </tp>
      <tp t="s">
        <v>#N/A Requesting Data...2739365990</v>
        <stp/>
        <stp>BDP|17800905748963418018</stp>
        <tr r="V52" s="338"/>
      </tp>
      <tp t="s">
        <v>#N/A Requesting Data...2406456351</v>
        <stp/>
        <stp>BDP|16080473360335288805</stp>
        <tr r="AF21" s="1"/>
        <tr r="AF22" s="1"/>
        <tr r="AF10" s="338"/>
        <tr r="AF11" s="338"/>
        <tr r="AF33" s="338"/>
      </tp>
      <tp t="s">
        <v>#N/A Requesting Data...3084006310</v>
        <stp/>
        <stp>BDP|18082660766744672526</stp>
        <tr r="X34" s="338"/>
      </tp>
      <tp t="s">
        <v>#N/A Requesting Data...3358323800</v>
        <stp/>
        <stp>BDP|17620015100226350806</stp>
        <tr r="AG23" s="1"/>
      </tp>
      <tp t="s">
        <v>#N/A Requesting Data...2069876391</v>
        <stp/>
        <stp>BDP|18094164205149537914</stp>
        <tr r="V49" s="89"/>
      </tp>
      <tp t="s">
        <v>#N/A Requesting Data...3356634612</v>
        <stp/>
        <stp>BDP|17113464131298207134</stp>
        <tr r="O6" s="252"/>
      </tp>
      <tp t="s">
        <v>#N/A Requesting Data...4198548890</v>
        <stp/>
        <stp>BDP|16852781535332351915</stp>
        <tr r="E50" s="89"/>
      </tp>
      <tp t="s">
        <v>#N/A Requesting Data...2145791222</v>
        <stp/>
        <stp>BDP|15960037050958482197</stp>
        <tr r="F17" s="2"/>
      </tp>
      <tp t="s">
        <v>#N/A Requesting Data...4067989521</v>
        <stp/>
        <stp>BDP|16284628867238126714</stp>
        <tr r="AD18" s="2"/>
      </tp>
      <tp t="s">
        <v>#N/A Requesting Data...4150637028</v>
        <stp/>
        <stp>BDP|13465906218584984636</stp>
        <tr r="U48" s="338"/>
      </tp>
      <tp t="s">
        <v>#N/A N/A</v>
        <stp/>
        <stp>BDH|11849201317833312897</stp>
        <tr r="AP33" s="338"/>
        <tr r="AP10" s="338"/>
        <tr r="AP11" s="338"/>
      </tp>
      <tp t="s">
        <v>USD</v>
        <stp/>
        <stp>BDP|6513932945318794459|22</stp>
        <stp>ASML US 01/23/26 P1200 Equity</stp>
        <stp>QUOTED_CURRENCY_REALTIME</stp>
        <tr r="F49" s="89"/>
      </tp>
      <tp>
        <v>19.350000000000001</v>
        <stp/>
        <stp>BDP|5023371189536845968|22</stp>
        <stp>AMZN US 07/17/26 C245 Equity</stp>
        <stp>ask</stp>
        <tr r="L234" s="89"/>
      </tp>
      <tp t="s">
        <v>#N/A Requesting Data...3882729150</v>
        <stp/>
        <stp>BDP|13370676866274995925</stp>
        <tr r="V29" s="338"/>
      </tp>
      <tp t="s">
        <v>#N/A Requesting Data...2640114210</v>
        <stp/>
        <stp>BDP|16549461050648260185</stp>
        <tr r="V48" s="338"/>
      </tp>
      <tp t="s">
        <v>#N/A Requesting Data...3529385920</v>
        <stp/>
        <stp>BDP|12600721729889000049</stp>
        <tr r="F12" s="2"/>
      </tp>
      <tp t="s">
        <v>#N/A Requesting Data...2456801492</v>
        <stp/>
        <stp>BDP|11883811462826271727</stp>
        <tr r="AI13" s="338"/>
        <tr r="AK13" s="338"/>
      </tp>
      <tp t="s">
        <v>#N/A Requesting Data...3283554387</v>
        <stp/>
        <stp>BDP|15816931278674113197</stp>
        <tr r="C8" s="2"/>
      </tp>
      <tp t="s">
        <v>#N/A Requesting Data...3672000147</v>
        <stp/>
        <stp>BDP|16651632599577766000</stp>
        <tr r="T20" s="89"/>
      </tp>
      <tp t="s">
        <v>#N/A Requesting Data...2571137020</v>
        <stp/>
        <stp>BDP|15466705637537159880</stp>
        <tr r="AF12" s="1"/>
      </tp>
      <tp t="s">
        <v>#N/A Requesting Data...3368913920</v>
        <stp/>
        <stp>BDP|13773404769917079849</stp>
        <tr r="X41" s="338"/>
      </tp>
      <tp t="s">
        <v>#N/A N/A</v>
        <stp/>
        <stp>BDP|12392087040808254037</stp>
        <tr r="Q8" s="338"/>
      </tp>
      <tp t="s">
        <v>#N/A Requesting Data...4123981932</v>
        <stp/>
        <stp>BDP|17094237872549842544</stp>
        <tr r="P11" s="338"/>
      </tp>
      <tp t="s">
        <v>#N/A Requesting Data...2829824334</v>
        <stp/>
        <stp>BDP|17894084826469233293</stp>
        <tr r="D18" s="2"/>
      </tp>
      <tp t="s">
        <v>#N/A Requesting Data...3211713666</v>
        <stp/>
        <stp>BDP|10903940119976188082</stp>
        <tr r="T22" s="2"/>
      </tp>
      <tp t="s">
        <v>#N/A Requesting Data...2223619077</v>
        <stp/>
        <stp>BDP|16326348528261420875</stp>
        <tr r="AH37" s="338"/>
      </tp>
      <tp t="s">
        <v>#N/A Requesting Data...3766785744</v>
        <stp/>
        <stp>BDP|17705908535480976375</stp>
        <tr r="Z205" s="89"/>
        <tr r="AA205" s="89"/>
      </tp>
      <tp t="s">
        <v>#N/A Requesting Data...3280173904</v>
        <stp/>
        <stp>BDP|14902852357240652727</stp>
        <tr r="K25" s="1"/>
      </tp>
      <tp t="s">
        <v>#N/A Requesting Data...2700019876</v>
        <stp/>
        <stp>BDP|17404395287666660429</stp>
        <tr r="T204" s="89"/>
      </tp>
      <tp t="s">
        <v>#N/A Requesting Data...2798856416</v>
        <stp/>
        <stp>BDP|12942600097452969197</stp>
        <tr r="AI30" s="338"/>
      </tp>
      <tp t="s">
        <v>#N/A Requesting Data...2379189387</v>
        <stp/>
        <stp>BDP|11004855748816491574</stp>
        <tr r="Z145" s="89"/>
        <tr r="AA145" s="89"/>
      </tp>
      <tp t="s">
        <v>#N/A Requesting Data...2638165443</v>
        <stp/>
        <stp>BDP|13321932753372613352</stp>
        <tr r="S50" s="338"/>
      </tp>
      <tp t="s">
        <v>#N/A Requesting Data...3375261152</v>
        <stp/>
        <stp>BDP|14026845325197194708</stp>
        <tr r="AB26" s="1"/>
      </tp>
      <tp t="s">
        <v>#N/A Requesting Data...2296987945</v>
        <stp/>
        <stp>BDP|18139099943730098283</stp>
        <tr r="X42" s="338"/>
      </tp>
      <tp t="s">
        <v>#N/A N/A</v>
        <stp/>
        <stp>BDP|17111103482365605579</stp>
        <tr r="Q49" s="338"/>
      </tp>
      <tp t="s">
        <v>#N/A Requesting Data...4112985956</v>
        <stp/>
        <stp>BDP|14818954946994919376</stp>
        <tr r="T55" s="338"/>
      </tp>
      <tp t="s">
        <v>#N/A Requesting Data...3425312673</v>
        <stp/>
        <stp>BDP|16547593626468626792</stp>
        <tr r="V90" s="89"/>
      </tp>
      <tp t="s">
        <v>#N/A Requesting Data...2864815340</v>
        <stp/>
        <stp>BDP|12254931781748441511</stp>
        <tr r="AA8" s="2"/>
      </tp>
      <tp t="s">
        <v>#N/A Requesting Data...2412068731</v>
        <stp/>
        <stp>BDP|16747972762296741126</stp>
        <tr r="AF26" s="1"/>
      </tp>
      <tp t="s">
        <v>#N/A N/A</v>
        <stp/>
        <stp>BDP|16825767499796337034</stp>
        <tr r="T235" s="89"/>
      </tp>
      <tp t="s">
        <v>#N/A Requesting Data...2149919437</v>
        <stp/>
        <stp>BDP|10277773846639500409</stp>
        <tr r="E225" s="89"/>
      </tp>
      <tp t="s">
        <v>#N/A Requesting Data...3141400581</v>
        <stp/>
        <stp>BDP|15391597190645842246</stp>
        <tr r="U41" s="338"/>
      </tp>
      <tp t="s">
        <v>#N/A Requesting Data...2858771483</v>
        <stp/>
        <stp>BDP|11743873404217661042</stp>
        <tr r="D14" s="89"/>
      </tp>
      <tp t="s">
        <v>#N/A N/A</v>
        <stp/>
        <stp>BDH|15489274387325623406</stp>
        <tr r="AU29" s="338"/>
      </tp>
      <tp t="s">
        <v>#N/A N/A</v>
        <stp/>
        <stp>BDH|18423083635013438658</stp>
        <tr r="AU9" s="338"/>
      </tp>
      <tp>
        <v>-0.46050897240638733</v>
        <stp/>
        <stp>BDP|12363987419731278955|22</stp>
        <stp>MRVL US 03/20/26 P85 Equity</stp>
        <stp>DELTA_MID_RT</stp>
        <tr r="AF18" s="2"/>
      </tp>
      <tp>
        <v>0.50757294893264771</v>
        <stp/>
        <stp>BDP|18110796337974702583|22</stp>
        <stp>AVGO US 06/18/26 C350 Equity</stp>
        <stp>DELTA_MID_RT</stp>
        <tr r="AF10" s="2"/>
        <tr r="W223" s="89"/>
      </tp>
      <tp t="s">
        <v>#N/A Requesting Data...2153933417</v>
        <stp/>
        <stp>BDP|14736502366221001988</stp>
        <tr r="AG19" s="1"/>
        <tr r="AG20" s="1"/>
      </tp>
      <tp t="s">
        <v>#N/A Requesting Data...3705537963</v>
        <stp/>
        <stp>BDP|14590387959435843851</stp>
        <tr r="P18" s="252"/>
      </tp>
      <tp t="s">
        <v>#N/A Requesting Data...3450961684</v>
        <stp/>
        <stp>BDP|13791594013149475126</stp>
        <tr r="M13" s="252"/>
      </tp>
      <tp t="s">
        <v>#N/A Requesting Data...3630457897</v>
        <stp/>
        <stp>BDP|17874986578052725446</stp>
        <tr r="P50" s="338"/>
      </tp>
      <tp t="s">
        <v>#N/A N/A</v>
        <stp/>
        <stp>BDP|15706360756855267982</stp>
        <tr r="E213" s="89"/>
      </tp>
      <tp t="s">
        <v>#N/A Requesting Data...2183979911</v>
        <stp/>
        <stp>BDP|12067346968488625077</stp>
        <tr r="K9" s="1"/>
        <tr r="K17" s="1"/>
      </tp>
      <tp t="s">
        <v>#N/A Requesting Data...3858081793</v>
        <stp/>
        <stp>BDP|12930748263249803590</stp>
        <tr r="V47" s="338"/>
      </tp>
      <tp t="s">
        <v>#N/A Requesting Data...2893003775</v>
        <stp/>
        <stp>BDP|10458872348380612322</stp>
        <tr r="D32" s="446"/>
      </tp>
      <tp t="s">
        <v>#N/A Requesting Data...3735680941</v>
        <stp/>
        <stp>BDP|12114087887616661368</stp>
        <tr r="O205" s="89"/>
      </tp>
      <tp t="s">
        <v>#N/A Requesting Data...3126199701</v>
        <stp/>
        <stp>BDP|17242536611318950476</stp>
        <tr r="E82" s="89"/>
      </tp>
      <tp t="s">
        <v>#N/A Requesting Data...3265059940</v>
        <stp/>
        <stp>BDP|12446616610012704839</stp>
        <tr r="AF14" s="1"/>
      </tp>
      <tp t="s">
        <v>#N/A Requesting Data...2736417112</v>
        <stp/>
        <stp>BDP|16111091406080680995</stp>
        <tr r="S20" s="252"/>
      </tp>
      <tp t="s">
        <v>#N/A Requesting Data...3554337328</v>
        <stp/>
        <stp>BDP|12917284443828342304</stp>
        <tr r="AC34" s="1"/>
      </tp>
      <tp t="s">
        <v>#N/A Requesting Data...2360981771</v>
        <stp/>
        <stp>BDP|12565777765454100870</stp>
        <tr r="AK45" s="338"/>
      </tp>
      <tp t="s">
        <v>#N/A Requesting Data...3035227482</v>
        <stp/>
        <stp>BDP|14757904724106470662</stp>
        <tr r="C115" s="89"/>
      </tp>
      <tp t="s">
        <v>#N/A N/A</v>
        <stp/>
        <stp>BDP|13662761942259263609</stp>
        <tr r="Q30" s="338"/>
      </tp>
      <tp t="s">
        <v>#N/A Requesting Data...2233164082</v>
        <stp/>
        <stp>BDP|15520885965692162698</stp>
        <tr r="P35" s="338"/>
      </tp>
      <tp t="s">
        <v>#N/A Requesting Data...4181950183</v>
        <stp/>
        <stp>BDP|15477739397991893583</stp>
        <tr r="F22" s="2"/>
      </tp>
      <tp t="s">
        <v>#N/A Requesting Data...2422889728</v>
        <stp/>
        <stp>BDP|18411820983824502305</stp>
        <tr r="E9" s="1"/>
        <tr r="K21" s="1"/>
      </tp>
      <tp t="s">
        <v>#N/A Requesting Data...4034004543</v>
        <stp/>
        <stp>BDP|18187575182553363942</stp>
        <tr r="S29" s="338"/>
      </tp>
      <tp t="s">
        <v>#N/A Requesting Data...3812038400</v>
        <stp/>
        <stp>BDP|15088949515073653147</stp>
        <tr r="AI26" s="1"/>
      </tp>
      <tp t="s">
        <v>#N/A Requesting Data...3553523491</v>
        <stp/>
        <stp>BDP|12559765690110808384</stp>
        <tr r="L6" s="252"/>
        <tr r="L6" s="252"/>
      </tp>
      <tp t="s">
        <v>#N/A Requesting Data...3920126111</v>
        <stp/>
        <stp>BDP|10141273456439406166</stp>
        <tr r="U40" s="338"/>
      </tp>
      <tp t="s">
        <v>#N/A Requesting Data...2129214031</v>
        <stp/>
        <stp>BDP|15650822721567670765</stp>
        <tr r="AF15" s="338"/>
        <tr r="AF39" s="338"/>
        <tr r="AG40" s="338"/>
      </tp>
      <tp t="s">
        <v>#N/A Requesting Data...4192821590</v>
        <stp/>
        <stp>BDP|10661203894173514722</stp>
        <tr r="P40" s="338"/>
      </tp>
      <tp t="s">
        <v>#N/A N/A</v>
        <stp/>
        <stp>BDP|13400157600295352875</stp>
        <tr r="AQ8" s="2"/>
      </tp>
      <tp t="s">
        <v>#N/A Requesting Data...3884668806</v>
        <stp/>
        <stp>BDP|16644071595826516655</stp>
        <tr r="M17" s="252"/>
      </tp>
      <tp t="s">
        <v>#N/A Requesting Data...2975426205</v>
        <stp/>
        <stp>BDP|10282731194108712961</stp>
        <tr r="X32" s="338"/>
      </tp>
      <tp t="s">
        <v>#N/A Requesting Data...3940730026</v>
        <stp/>
        <stp>BDP|11825565969849644458</stp>
        <tr r="G26" s="446"/>
      </tp>
      <tp t="s">
        <v>#N/A Requesting Data...2882803257</v>
        <stp/>
        <stp>BDP|11254841161091158123</stp>
        <tr r="T27" s="2"/>
      </tp>
      <tp t="s">
        <v>#N/A Requesting Data...3907889588</v>
        <stp/>
        <stp>BDP|10108308591442278756</stp>
        <tr r="V154" s="89"/>
        <tr r="AD4" s="2"/>
        <tr r="AD5" s="2"/>
      </tp>
      <tp t="s">
        <v>#N/A N/A</v>
        <stp/>
        <stp>BDP|13477200596854183354</stp>
        <tr r="R236" s="89"/>
      </tp>
      <tp t="s">
        <v>#N/A N/A</v>
        <stp/>
        <stp>BDP|10754652992714129477</stp>
        <tr r="E233" s="89"/>
      </tp>
      <tp t="s">
        <v>#N/A Requesting Data...2417072257</v>
        <stp/>
        <stp>BDP|13743925468151835237</stp>
        <tr r="AF52" s="338"/>
        <tr r="AF53" s="338"/>
        <tr r="AF54" s="338"/>
      </tp>
      <tp t="s">
        <v>#N/A N/A</v>
        <stp/>
        <stp>BDH|15569016846088410633</stp>
        <tr r="AR54" s="338"/>
      </tp>
      <tp t="e">
        <v>#N/A</v>
        <stp/>
        <stp>BDH|15301870027157436707</stp>
        <tr r="W7" s="252"/>
        <tr r="T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0.47933530807495117</v>
        <stp/>
        <stp>BDP|13140665401475506228|22</stp>
        <stp>NVDA US 07/17/26 C200 Equity</stp>
        <stp>DELTA_MID_RT</stp>
        <tr r="W237" s="89"/>
      </tp>
      <tp>
        <v>0.48375606536865234</v>
        <stp/>
        <stp>BDP|91139731021883834|22</stp>
        <stp>GOOG US 07/17/26 C350 Equity</stp>
        <stp>DELTA_MID_RT</stp>
        <tr r="W236" s="89"/>
      </tp>
      <tp t="s">
        <v>#N/A Requesting Data...3090947840</v>
        <stp/>
        <stp>BDP|10552070608995420954</stp>
        <tr r="O9" s="252"/>
      </tp>
      <tp t="s">
        <v>#N/A Requesting Data...3756184782</v>
        <stp/>
        <stp>BDP|15489180332173336860</stp>
        <tr r="O62" s="89"/>
        <tr r="T20" s="2"/>
      </tp>
      <tp t="s">
        <v>#N/A N/A</v>
        <stp/>
        <stp>BDP|17186599672479508041</stp>
        <tr r="AA24" s="2"/>
      </tp>
      <tp t="s">
        <v>#N/A Requesting Data...2967227742</v>
        <stp/>
        <stp>BDP|16415819239102308353</stp>
        <tr r="P13" s="338"/>
      </tp>
      <tp t="s">
        <v>#N/A N/A</v>
        <stp/>
        <stp>BDP|11721037088260019563</stp>
        <tr r="AB27" s="89"/>
        <tr r="AB26" s="89"/>
        <tr r="AB33" s="89"/>
        <tr r="AB34" s="89"/>
      </tp>
      <tp t="s">
        <v>#N/A Requesting Data...2446338820</v>
        <stp/>
        <stp>BDP|14151613796081423680</stp>
        <tr r="AI14" s="1"/>
      </tp>
      <tp t="s">
        <v>#N/A Requesting Data...4214591821</v>
        <stp/>
        <stp>BDP|16048814305041128389</stp>
        <tr r="AH12" s="338"/>
        <tr r="AJ12" s="338"/>
      </tp>
      <tp t="s">
        <v>#N/A Requesting Data...3887432008</v>
        <stp/>
        <stp>BDP|17315018787765860602</stp>
        <tr r="U29" s="338"/>
      </tp>
      <tp t="s">
        <v>#N/A Requesting Data...2337858793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Data...2825018380</v>
        <stp/>
        <stp>BDP|15549933334837718499</stp>
        <tr r="AJ36" s="338"/>
      </tp>
      <tp t="s">
        <v>#N/A Requesting Data...2256996550</v>
        <stp/>
        <stp>BDP|13138132963221825966</stp>
        <tr r="AA154" s="89"/>
        <tr r="Z154" s="89"/>
      </tp>
      <tp t="s">
        <v>#N/A N/A</v>
        <stp/>
        <stp>BDP|13803427191303479105</stp>
        <tr r="O26" s="89"/>
      </tp>
      <tp t="s">
        <v>#N/A Requesting Data...3621984262</v>
        <stp/>
        <stp>BDP|13021422978704305879</stp>
        <tr r="F33" s="446"/>
      </tp>
      <tp t="s">
        <v>#N/A N/A</v>
        <stp/>
        <stp>BDP|16521478898015424206</stp>
        <tr r="AV14" s="2"/>
        <tr r="AV16" s="2"/>
        <tr r="AV17" s="2"/>
        <tr r="R169" s="89"/>
        <tr r="R170" s="89"/>
        <tr r="R171" s="89"/>
        <tr r="R179" s="89"/>
        <tr r="R233" s="89"/>
        <tr r="R180" s="89"/>
        <tr r="AV15" s="2"/>
      </tp>
      <tp t="s">
        <v>#N/A Requesting Data...3674579508</v>
        <stp/>
        <stp>BDP|16877024025140252836</stp>
        <tr r="F37" s="446"/>
      </tp>
      <tp t="s">
        <v>#N/A Requesting Data...4193821357</v>
        <stp/>
        <stp>BDP|11873488141545455841</stp>
        <tr r="AK12" s="338"/>
      </tp>
      <tp t="s">
        <v>#N/A Requesting Data...3986477940</v>
        <stp/>
        <stp>BDP|10918059229437544914</stp>
        <tr r="S14" s="252"/>
      </tp>
      <tp t="s">
        <v>#N/A Requesting Data...3691768620</v>
        <stp/>
        <stp>BDP|17459985945086122091</stp>
        <tr r="F19" s="252"/>
      </tp>
      <tp t="s">
        <v>#N/A Requesting Data...3570008991</v>
        <stp/>
        <stp>BDP|16146881818116826586</stp>
        <tr r="P41" s="338"/>
      </tp>
      <tp t="s">
        <v>#N/A Requesting Data...3605915504</v>
        <stp/>
        <stp>BDP|15485843473026578068</stp>
        <tr r="U54" s="338"/>
      </tp>
      <tp t="s">
        <v>#N/A Requesting Data...2327764044</v>
        <stp/>
        <stp>BDP|14702322456147385934</stp>
        <tr r="U47" s="338"/>
      </tp>
      <tp t="s">
        <v>#N/A Requesting Data...2876026888</v>
        <stp/>
        <stp>BDP|13405037176711243908</stp>
        <tr r="E137" s="89"/>
      </tp>
      <tp t="s">
        <v>#N/A Requesting Data...2505096779</v>
        <stp/>
        <stp>BDP|12945955828165458035</stp>
        <tr r="Z96" s="89"/>
        <tr r="AA96" s="89"/>
      </tp>
      <tp t="s">
        <v>#N/A Requesting Data...3649605785</v>
        <stp/>
        <stp>BDP|14217961267851904682</stp>
        <tr r="V62" s="89"/>
        <tr r="AD20" s="2"/>
      </tp>
      <tp t="s">
        <v>#N/A Requesting Data...2317675528</v>
        <stp/>
        <stp>BDP|16199643097561563420</stp>
        <tr r="C129" s="89"/>
      </tp>
      <tp t="s">
        <v>#N/A Requesting Data...3692007773</v>
        <stp/>
        <stp>BDP|10529046944871483947</stp>
        <tr r="AR13" s="2"/>
      </tp>
      <tp t="s">
        <v>#N/A Requesting Data...2565759258</v>
        <stp/>
        <stp>BDP|12025675637399291269</stp>
        <tr r="O15" s="252"/>
      </tp>
      <tp t="s">
        <v>#N/A Requesting Data...3120503048</v>
        <stp/>
        <stp>BDP|11664873615115482148</stp>
        <tr r="V69" s="89"/>
      </tp>
      <tp t="s">
        <v>#N/A Requesting Data...3478354491</v>
        <stp/>
        <stp>BDP|16474676671129789231</stp>
        <tr r="AF44" s="338"/>
        <tr r="AF47" s="338"/>
        <tr r="AF48" s="338"/>
        <tr r="AG10" s="338"/>
        <tr r="AG53" s="338"/>
      </tp>
      <tp t="s">
        <v>#N/A N/A</v>
        <stp/>
        <stp>BDP|17024231109840476984</stp>
        <tr r="E26" s="89"/>
      </tp>
      <tp t="s">
        <v>#N/A Requesting Data...3016862053</v>
        <stp/>
        <stp>BDP|12603143287034451379</stp>
        <tr r="D27" s="446"/>
      </tp>
      <tp t="s">
        <v>#N/A Requesting Data...3434727813</v>
        <stp/>
        <stp>BDP|10004210412887167840</stp>
        <tr r="D40" s="446"/>
      </tp>
      <tp t="e">
        <v>#N/A</v>
        <stp/>
        <stp>BDH|13392831222951112430</stp>
        <tr r="J11" s="252"/>
      </tp>
      <tp t="s">
        <v>#N/A N/A</v>
        <stp/>
        <stp>BDH|16235428442388012201</stp>
        <tr r="AS52" s="338"/>
        <tr r="AS44" s="338"/>
        <tr r="AS15" s="338"/>
        <tr r="AS38" s="338"/>
        <tr r="AS39" s="338"/>
        <tr r="AS17" s="338"/>
        <tr r="AS16" s="338"/>
      </tp>
      <tp t="s">
        <v>#N/A Invalid Security</v>
        <stp/>
        <stp>BDP|11076688730849429560|22</stp>
        <stp xml:space="preserve"> Equity</stp>
        <stp>bid</stp>
        <tr r="P2" s="2"/>
      </tp>
      <tp t="s">
        <v>#N/A N/A</v>
        <stp/>
        <stp>BDH|12916348772399553353</stp>
        <tr r="AR8" s="338"/>
        <tr r="AR46" s="338"/>
        <tr r="AR32" s="338"/>
        <tr r="AR50" s="338"/>
      </tp>
      <tp>
        <v>-0.30877244472503662</v>
        <stp/>
        <stp>BDP|15300860136715577647|22</stp>
        <stp>AVGO US 06/18/26 P300 Equity</stp>
        <stp>DELTA_MID_RT</stp>
        <tr r="W224" s="89"/>
      </tp>
      <tp>
        <v>360.76499999999999</v>
        <stp/>
        <stp>BDP|336164456245703188|22</stp>
        <stp>LITE US Equity</stp>
        <stp>LAST_PRICE</stp>
        <tr r="S7" s="89"/>
        <tr r="S8" s="89"/>
        <tr r="Z13" s="2"/>
      </tp>
      <tp t="s">
        <v>#N/A Real Time</v>
        <stp/>
        <stp>BDP|4430211455615003459|22</stp>
        <stp>4OX4C    20500 Index</stp>
        <stp>bid</stp>
        <tr r="K108" s="89"/>
      </tp>
      <tp>
        <v>31.7</v>
        <stp/>
        <stp>BDP|4716754069265805089|22</stp>
        <stp>LITE US 02/20/26 C400 Equity</stp>
        <stp>bid</stp>
        <tr r="P13" s="2"/>
        <tr r="K7" s="89"/>
      </tp>
      <tp>
        <v>68.415800000000004</v>
        <stp/>
        <stp>BDP|7364987876284921219|22</stp>
        <stp>EWT US Equity</stp>
        <stp>LAST_PRICE</stp>
        <tr r="S178" s="89"/>
      </tp>
      <tp t="s">
        <v>#N/A Requesting Data...3264278929</v>
        <stp/>
        <stp>BDP|10830436782351213025</stp>
        <tr r="AG13" s="338"/>
      </tp>
      <tp t="s">
        <v>#N/A Requesting Data...4027951709</v>
        <stp/>
        <stp>BDP|16101110071044873900</stp>
        <tr r="S19" s="252"/>
      </tp>
      <tp t="s">
        <v>#N/A Requesting Data...4012693023</v>
        <stp/>
        <stp>BDP|17375751787424053193</stp>
        <tr r="T90" s="89"/>
      </tp>
      <tp t="s">
        <v>#N/A Requesting Data...3276248326</v>
        <stp/>
        <stp>BDP|15805166451638287462</stp>
        <tr r="S18" s="338"/>
      </tp>
      <tp t="s">
        <v>#N/A Requesting Data...2269614036</v>
        <stp/>
        <stp>BDP|18288576254733893628</stp>
        <tr r="C50" s="89"/>
      </tp>
      <tp t="s">
        <v>#N/A N/A</v>
        <stp/>
        <stp>BDP|11433444491248891924</stp>
        <tr r="E211" s="89"/>
      </tp>
      <tp t="s">
        <v>#N/A Requesting Data...4114082915</v>
        <stp/>
        <stp>BDP|18446461901708890906</stp>
        <tr r="S45" s="338"/>
      </tp>
      <tp t="s">
        <v>#N/A Requesting Data...4281569849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Data...2560792865</v>
        <stp/>
        <stp>BDP|18053748462790891444</stp>
        <tr r="V169" s="89"/>
      </tp>
      <tp t="s">
        <v>#N/A Requesting Data...2333523731</v>
        <stp/>
        <stp>BDP|10028687100653384862</stp>
        <tr r="O223" s="89"/>
        <tr r="T10" s="2"/>
      </tp>
      <tp t="s">
        <v>#N/A Requesting Data...3066775808</v>
        <stp/>
        <stp>BDP|15843140282036113720</stp>
        <tr r="G22" s="446"/>
      </tp>
      <tp t="s">
        <v>#N/A Requesting Data...3113540909</v>
        <stp/>
        <stp>BDP|11847564369457057888</stp>
        <tr r="F13" s="252"/>
      </tp>
      <tp t="s">
        <v>#N/A Requesting Data...4021939964</v>
        <stp/>
        <stp>BDP|11809842670084461778</stp>
        <tr r="E154" s="89"/>
        <tr r="F4" s="2"/>
        <tr r="F5" s="2"/>
      </tp>
      <tp t="s">
        <v>#N/A Requesting Data...2890436809</v>
        <stp/>
        <stp>BDP|13571664718169245067</stp>
        <tr r="U14" s="338"/>
      </tp>
      <tp t="s">
        <v>#N/A Requesting Data...3119328607</v>
        <stp/>
        <stp>BDP|17319342610009091197</stp>
        <tr r="G27" s="446"/>
      </tp>
      <tp t="s">
        <v>#N/A Requesting Data...2994210883</v>
        <stp/>
        <stp>BDP|18197169773181317293</stp>
        <tr r="AA169" s="89"/>
        <tr r="Z169" s="89"/>
      </tp>
      <tp t="s">
        <v>#N/A N/A</v>
        <stp/>
        <stp>BDP|17756698812965502873</stp>
        <tr r="AA213" s="89"/>
        <tr r="Z213" s="89"/>
      </tp>
      <tp t="s">
        <v>#N/A Requesting Data...3610204633</v>
        <stp/>
        <stp>BDP|14882210397437387533</stp>
        <tr r="T42" s="338"/>
      </tp>
      <tp t="s">
        <v>#N/A Requesting Data...3876490679</v>
        <stp/>
        <stp>BDP|16174661133786135858</stp>
        <tr r="L12" s="338"/>
        <tr r="H12" s="338"/>
      </tp>
      <tp t="s">
        <v>#N/A Requesting Data...4221601270</v>
        <stp/>
        <stp>BDP|17115834681353057933</stp>
        <tr r="U31" s="338"/>
      </tp>
      <tp t="s">
        <v>#N/A Requesting Data...2594964447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1" s="89"/>
        <tr r="R203" s="89"/>
        <tr r="R204" s="89"/>
        <tr r="R205" s="89"/>
        <tr r="R211" s="89"/>
        <tr r="R212" s="89"/>
        <tr r="R213" s="89"/>
        <tr r="R82" s="89"/>
      </tp>
      <tp t="s">
        <v>#N/A Requesting Data...4194661938</v>
        <stp/>
        <stp>BDP|16200988588058493248</stp>
        <tr r="AA224" s="89"/>
        <tr r="Z224" s="89"/>
      </tp>
      <tp t="s">
        <v>#N/A Requesting Data...3844303619</v>
        <stp/>
        <stp>BDP|17051618884910746406</stp>
        <tr r="T44" s="338"/>
      </tp>
      <tp t="s">
        <v>#N/A Requesting Data...3826229290</v>
        <stp/>
        <stp>BDP|14959318848357778920</stp>
        <tr r="T41" s="338"/>
      </tp>
      <tp t="s">
        <v>#N/A N/A</v>
        <stp/>
        <stp>BDP|16473713446171303953</stp>
        <tr r="Q40" s="338"/>
      </tp>
      <tp t="s">
        <v>#N/A Requesting Data...2949285191</v>
        <stp/>
        <stp>BDP|15219096160618738682</stp>
        <tr r="X17" s="338"/>
      </tp>
      <tp t="s">
        <v>#N/A Requesting Data...3271417039</v>
        <stp/>
        <stp>BDP|14574759861540790819</stp>
        <tr r="S34" s="338"/>
      </tp>
      <tp t="s">
        <v>#N/A Requesting Data...3436918763</v>
        <stp/>
        <stp>BDP|11424392119509475776</stp>
        <tr r="C13" s="2"/>
      </tp>
      <tp t="s">
        <v>#N/A Requesting Data...3144512255</v>
        <stp/>
        <stp>BDP|12063939312664514322</stp>
        <tr r="N17" s="252"/>
        <tr r="N17" s="252"/>
      </tp>
      <tp t="s">
        <v>#N/A Requesting Data...2987218033</v>
        <stp/>
        <stp>BDP|16239364000238452060</stp>
        <tr r="E40" s="89"/>
      </tp>
      <tp t="s">
        <v>#N/A N/A</v>
        <stp/>
        <stp>BDH|12176730332172271925</stp>
        <tr r="AR42" s="338"/>
      </tp>
      <tp t="e">
        <v>#N/A</v>
        <stp/>
        <stp>BDH|13885285882450008494</stp>
        <tr r="J17" s="252"/>
      </tp>
      <tp t="s">
        <v>#N/A N/A</v>
        <stp/>
        <stp>BDH|13833318795080062467</stp>
        <tr r="AS46" s="338"/>
        <tr r="AS50" s="338"/>
        <tr r="AS8" s="338"/>
        <tr r="AS32" s="338"/>
      </tp>
      <tp>
        <v>619.92999999999995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82.474999999999994</v>
        <stp/>
        <stp>BDP|3617422536658376331|22</stp>
        <stp>XLP Equity</stp>
        <stp>LAST PRICE</stp>
        <tr r="I9" s="338"/>
      </tp>
      <tp>
        <v>33.1</v>
        <stp/>
        <stp>BDP|8644428270203613467|22</stp>
        <stp>LITE US 02/20/26 C400 Equity</stp>
        <stp>ask</stp>
        <tr r="Q13" s="2"/>
        <tr r="L7" s="89"/>
      </tp>
      <tp>
        <v>0.40012642741203308</v>
        <stp/>
        <stp>BDP|10790294490778670556|22</stp>
        <stp>RKT US 05/15/26 C25 Equity</stp>
        <stp>DELTA_MID_RT</stp>
        <tr r="W39" s="89"/>
      </tp>
      <tp>
        <v>53.83</v>
        <stp/>
        <stp>BDP|4473817456220841094|22</stp>
        <stp>META US 07/17/26 C670 Equity</stp>
        <stp>mid</stp>
        <tr r="L15" s="2"/>
      </tp>
      <tp t="s">
        <v>#N/A Requesting Data...3049469750</v>
        <stp/>
        <stp>BDP|12339741374220877028</stp>
        <tr r="F21" s="446"/>
      </tp>
      <tp t="s">
        <v>#N/A Requesting Data...3822144533</v>
        <stp/>
        <stp>BDP|10313697833123536458</stp>
        <tr r="E19" s="2"/>
      </tp>
      <tp t="s">
        <v>#N/A N/A</v>
        <stp/>
        <stp>BDP|16044672586352901816</stp>
        <tr r="D26" s="89"/>
      </tp>
      <tp t="s">
        <v>#N/A N/A</v>
        <stp/>
        <stp>BDP|15108137503044913212</stp>
        <tr r="T233" s="89"/>
        <tr r="AA15" s="2"/>
      </tp>
      <tp t="s">
        <v>#N/A Requesting Data...3223480225</v>
        <stp/>
        <stp>BDP|12562291822957166773</stp>
        <tr r="X15" s="338"/>
        <tr r="X39" s="338"/>
      </tp>
      <tp t="s">
        <v>#N/A N/A</v>
        <stp/>
        <stp>BDP|14893940589746803156</stp>
        <tr r="Q55" s="338"/>
      </tp>
      <tp t="s">
        <v>#N/A Requesting Data...4186230779</v>
        <stp/>
        <stp>BDP|17646594623933242160</stp>
        <tr r="AJ8" s="338"/>
        <tr r="AJ9" s="338"/>
      </tp>
      <tp t="s">
        <v>#N/A Requesting Data...3218216195</v>
        <stp/>
        <stp>BDP|10920319565786030158</stp>
        <tr r="E116" s="89"/>
      </tp>
      <tp t="s">
        <v>#N/A Requesting Data...2732594249</v>
        <stp/>
        <stp>BDP|11988979111049200256</stp>
        <tr r="AK29" s="338"/>
      </tp>
      <tp t="s">
        <v>#N/A Requesting Data...3901933556</v>
        <stp/>
        <stp>BDP|14191291997784108945</stp>
        <tr r="D197" s="89"/>
      </tp>
      <tp t="s">
        <v>#N/A N/A</v>
        <stp/>
        <stp>BDP|10430788467275400653</stp>
        <tr r="AA236" s="89"/>
        <tr r="Z236" s="89"/>
      </tp>
      <tp t="s">
        <v>#N/A Requesting Data...2287862049</v>
        <stp/>
        <stp>BDP|15347429979155774156</stp>
        <tr r="AG25" s="1"/>
      </tp>
      <tp t="s">
        <v>#N/A Requesting Data...4057918778</v>
        <stp/>
        <stp>BDP|17671295855377364531</stp>
        <tr r="V205" s="89"/>
      </tp>
      <tp t="s">
        <v>#N/A Requesting Data...3919028393</v>
        <stp/>
        <stp>BDP|17216633965664243193</stp>
        <tr r="L36" s="338"/>
        <tr r="L37" s="338"/>
        <tr r="L51" s="338"/>
        <tr r="L34" s="338"/>
        <tr r="L35" s="338"/>
        <tr r="J34" s="338"/>
        <tr r="J35" s="338"/>
        <tr r="J36" s="338"/>
        <tr r="J37" s="338"/>
        <tr r="L50" s="338"/>
        <tr r="H50" s="338"/>
        <tr r="H51" s="338"/>
      </tp>
      <tp t="s">
        <v>#N/A Requesting Data...3738314176</v>
        <stp/>
        <stp>BDP|14776745928063005042</stp>
        <tr r="T136" s="89"/>
      </tp>
      <tp t="s">
        <v>#N/A Requesting Data...2392413413</v>
        <stp/>
        <stp>BDP|16719292853193179031</stp>
        <tr r="O13" s="89"/>
        <tr r="T25" s="2"/>
      </tp>
      <tp t="s">
        <v>#N/A Requesting Data...3774713484</v>
        <stp/>
        <stp>BDP|13796779298948123776</stp>
        <tr r="C136" s="89"/>
      </tp>
      <tp t="s">
        <v>#N/A Requesting Data...2992861326</v>
        <stp/>
        <stp>BDP|16819116934213136521</stp>
        <tr r="F18" s="2"/>
      </tp>
      <tp t="s">
        <v>#N/A N/A</v>
        <stp/>
        <stp>BDP|15827021270859860931</stp>
        <tr r="C211" s="89"/>
      </tp>
      <tp t="s">
        <v>#N/A Requesting Data...2928031218</v>
        <stp/>
        <stp>BDP|16047448851216675329</stp>
        <tr r="V68" s="89"/>
      </tp>
      <tp t="s">
        <v>#N/A Requesting Data...4291005834</v>
        <stp/>
        <stp>BDP|11875259860180843752</stp>
        <tr r="L9" s="252"/>
        <tr r="L9" s="252"/>
      </tp>
      <tp t="s">
        <v>#N/A Requesting Data...2603635785</v>
        <stp/>
        <stp>BDP|17950909593432390797</stp>
        <tr r="G29" s="446"/>
      </tp>
      <tp t="s">
        <v>#N/A N/A</v>
        <stp/>
        <stp>BDP|16464673670092529762</stp>
        <tr r="AB138" s="89"/>
        <tr r="AB136" s="89"/>
        <tr r="AB137" s="89"/>
      </tp>
      <tp t="s">
        <v>#N/A N/A</v>
        <stp/>
        <stp>BDP|15024773487379018132</stp>
        <tr r="C34" s="89"/>
      </tp>
      <tp t="s">
        <v>#N/A Requesting Data...3694885692</v>
        <stp/>
        <stp>BDP|18387530052069086311</stp>
        <tr r="E13" s="2"/>
      </tp>
      <tp t="s">
        <v>#N/A N/A</v>
        <stp/>
        <stp>BDP|16665812118984554998</stp>
        <tr r="AC20" s="2"/>
        <tr r="AC21" s="2"/>
        <tr r="AC19" s="2"/>
        <tr r="AC18" s="2"/>
      </tp>
      <tp t="s">
        <v>#N/A Requesting Data...3934382870</v>
        <stp/>
        <stp>BDP|10392302271721368734</stp>
        <tr r="AJ15" s="338"/>
        <tr r="AJ39" s="338"/>
        <tr r="AK40" s="338"/>
      </tp>
      <tp t="s">
        <v>#N/A Requesting Data...3080639333</v>
        <stp/>
        <stp>BDP|13077127063164089235</stp>
        <tr r="L29" s="338"/>
        <tr r="H29" s="338"/>
        <tr r="L30" s="338"/>
        <tr r="H30" s="338"/>
      </tp>
      <tp t="s">
        <v>#N/A Requesting Data...2535968292</v>
        <stp/>
        <stp>BDP|15616266803836462358</stp>
        <tr r="P18" s="338"/>
      </tp>
      <tp t="s">
        <v>#N/A Requesting Data...3127294954</v>
        <stp/>
        <stp>BDP|12909617883408150686</stp>
        <tr r="F17" s="446"/>
      </tp>
      <tp t="s">
        <v>#N/A Requesting Data...2888364332</v>
        <stp/>
        <stp>BDP|12668630201684454223</stp>
        <tr r="T40" s="338"/>
      </tp>
      <tp t="s">
        <v>#N/A Requesting Data...2266340581</v>
        <stp/>
        <stp>BDP|14907590063523957686</stp>
        <tr r="D39" s="446"/>
      </tp>
      <tp t="s">
        <v>#N/A Requesting Data...2710222078</v>
        <stp/>
        <stp>BDP|15427086549125422631</stp>
        <tr r="F29" s="446"/>
      </tp>
      <tp t="s">
        <v>#N/A Requesting Data...2421748731</v>
        <stp/>
        <stp>BDP|12603611155092450139</stp>
        <tr r="P44" s="338"/>
      </tp>
      <tp t="s">
        <v>#N/A Requesting Data...3349085675</v>
        <stp/>
        <stp>BDP|16481240279105588490</stp>
        <tr r="V197" s="89"/>
      </tp>
      <tp t="s">
        <v>#N/A Requesting Data...3538410570</v>
        <stp/>
        <stp>BDP|15070758468347809116</stp>
        <tr r="AA75" s="89"/>
        <tr r="Z75" s="89"/>
      </tp>
      <tp t="s">
        <v>#N/A Requesting Data...4116991018</v>
        <stp/>
        <stp>BDP|14733502401484175730</stp>
        <tr r="AD11" s="2"/>
      </tp>
      <tp t="s">
        <v>#N/A Requesting Data...3645153907</v>
        <stp/>
        <stp>BDP|12650903035052242853</stp>
        <tr r="T50" s="338"/>
      </tp>
      <tp t="s">
        <v>#N/A Requesting Data...3036495696</v>
        <stp/>
        <stp>BDP|15097578277281717435</stp>
        <tr r="AK13" s="338"/>
      </tp>
      <tp t="s">
        <v>#N/A N/A</v>
        <stp/>
        <stp>BDP|17445646416605654744</stp>
        <tr r="AV6" s="2"/>
        <tr r="AV7" s="2"/>
        <tr r="R55" s="89"/>
        <tr r="R56" s="89"/>
      </tp>
      <tp t="s">
        <v>#N/A Requesting Data...4149440410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25" s="2"/>
        <tr r="AC26" s="2"/>
        <tr r="AC27" s="2"/>
      </tp>
      <tp t="s">
        <v>#N/A Requesting Data...3735246711</v>
        <stp/>
        <stp>BDP|10540491936722929740</stp>
        <tr r="F13" s="446"/>
      </tp>
      <tp t="s">
        <v>#N/A Requesting Data...3016820544</v>
        <stp/>
        <stp>BDP|12465228967747275351</stp>
        <tr r="F10" s="2"/>
      </tp>
      <tp t="s">
        <v>#N/A N/A</v>
        <stp/>
        <stp>BDP|10374405008290534684</stp>
        <tr r="R49" s="89"/>
        <tr r="R50" s="89"/>
      </tp>
      <tp t="s">
        <v>#N/A N/A</v>
        <stp/>
        <stp>BDP|11774657841727499618</stp>
        <tr r="T8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 t="s">
        <v>#N/A N/A</v>
        <stp/>
        <stp>BDH|14204712981121170806</stp>
        <tr r="AU13" s="338"/>
      </tp>
      <tp>
        <v>115.97</v>
        <stp/>
        <stp>BDP|1868269163989593436|22</stp>
        <stp>EWY Equity</stp>
        <stp>LAST_PRICE</stp>
        <tr r="I26" s="1"/>
      </tp>
      <tp t="s">
        <v>#N/A N/A</v>
        <stp/>
        <stp>BDH|11457047533809230932</stp>
        <tr r="AN34" s="338"/>
        <tr r="AN13" s="338"/>
      </tp>
      <tp t="s">
        <v>#N/A N/A</v>
        <stp/>
        <stp>BDH|12222827400758653019</stp>
        <tr r="AU54" s="338"/>
      </tp>
      <tp t="e">
        <v>#N/A</v>
        <stp/>
        <stp>BDH|13433517978227188448</stp>
        <tr r="J12" s="252"/>
      </tp>
      <tp>
        <v>0.34</v>
        <stp/>
        <stp>BDP|7779660573183859665|22</stp>
        <stp>NFLX US 03/20/26 C105 Equity</stp>
        <stp>ask</stp>
        <tr r="L186" s="89"/>
      </tp>
      <tp t="s">
        <v>#N/A N/A</v>
        <stp/>
        <stp>BDP|11404762201795898026</stp>
        <tr r="Q31" s="338"/>
      </tp>
      <tp t="s">
        <v>#N/A Requesting Data...3959717757</v>
        <stp/>
        <stp>BDP|15895214585768543406</stp>
        <tr r="AB19" s="1"/>
        <tr r="AB20" s="1"/>
      </tp>
      <tp t="s">
        <v>#N/A Requesting Data...4029105400</v>
        <stp/>
        <stp>BDP|12506693576836787640</stp>
        <tr r="AC19" s="1"/>
        <tr r="AC20" s="1"/>
      </tp>
      <tp t="s">
        <v>#N/A Requesting Data...3636991673</v>
        <stp/>
        <stp>BDP|12913717425274232066</stp>
        <tr r="AG24" s="1"/>
      </tp>
      <tp>
        <v>190.5</v>
        <stp/>
        <stp>BDP|17779893766609170772|22</stp>
        <stp>1OG6P 25000 Index</stp>
        <stp>mid</stp>
        <tr r="L4" s="2"/>
        <tr r="L5" s="2"/>
      </tp>
      <tp t="s">
        <v>#N/A Requesting Data...3487520204</v>
        <stp/>
        <stp>BDP|14952713124422363077</stp>
        <tr r="AI54" s="338"/>
      </tp>
      <tp t="s">
        <v>#N/A N/A</v>
        <stp/>
        <stp>BDP|17344183941382189338</stp>
        <tr r="AB235" s="89"/>
        <tr r="AQ22" s="2"/>
      </tp>
      <tp t="s">
        <v>#N/A Requesting Data...2915039229</v>
        <stp/>
        <stp>BDP|12659323579531227475</stp>
        <tr r="C137" s="89"/>
      </tp>
      <tp t="s">
        <v>#N/A Requesting Data...3654302829</v>
        <stp/>
        <stp>BDP|13685951603788859137</stp>
        <tr r="T138" s="89"/>
      </tp>
      <tp t="s">
        <v>#N/A Requesting Data...3753796731</v>
        <stp/>
        <stp>BDP|10998952471375281858</stp>
        <tr r="C7" s="89"/>
        <tr r="D13" s="2"/>
      </tp>
      <tp t="s">
        <v>#N/A Requesting Data...3860973088</v>
        <stp/>
        <stp>BDP|11141247349161569535</stp>
        <tr r="F9" s="2"/>
      </tp>
      <tp t="s">
        <v>#N/A Requesting Data...3281319076</v>
        <stp/>
        <stp>BDP|16973005602894719115</stp>
        <tr r="P19" s="252"/>
      </tp>
      <tp t="s">
        <v>#N/A Requesting Data...3430851288</v>
        <stp/>
        <stp>BDP|12197625641431851271</stp>
        <tr r="C63" s="89"/>
        <tr r="D21" s="2"/>
      </tp>
      <tp t="s">
        <v>#N/A Requesting Data...2562537634</v>
        <stp/>
        <stp>BDP|14061654258613093712</stp>
        <tr r="Z116" s="89"/>
        <tr r="AA116" s="89"/>
      </tp>
      <tp t="s">
        <v>#N/A Requesting Data...3640875516</v>
        <stp/>
        <stp>BDP|11585397164616268161</stp>
        <tr r="D116" s="89"/>
      </tp>
      <tp t="s">
        <v>#N/A N/A</v>
        <stp/>
        <stp>BDP|18214340488518015823</stp>
        <tr r="V236" s="89"/>
      </tp>
      <tp t="s">
        <v>#N/A Requesting Data...3068904254</v>
        <stp/>
        <stp>BDP|12861943665177076956</stp>
        <tr r="AF12" s="338"/>
      </tp>
      <tp t="s">
        <v>#N/A N/A</v>
        <stp/>
        <stp>BDP|10647799601996151235</stp>
        <tr r="D24" s="2"/>
      </tp>
      <tp t="s">
        <v>#N/A Requesting Data...3503865273</v>
        <stp/>
        <stp>BDP|15919437567850131436</stp>
        <tr r="G28" s="446"/>
      </tp>
      <tp t="s">
        <v>#N/A N/A</v>
        <stp/>
        <stp>BDP|17633355238640148458</stp>
        <tr r="Q54" s="338"/>
      </tp>
      <tp t="s">
        <v>#N/A Requesting Data...3268737662</v>
        <stp/>
        <stp>BDP|17345659231843132294</stp>
        <tr r="X31" s="338"/>
      </tp>
      <tp t="s">
        <v>#N/A N/A</v>
        <stp/>
        <stp>BDP|12988555714434708108</stp>
        <tr r="R187" s="89"/>
        <tr r="R188" s="89"/>
        <tr r="R186" s="89"/>
      </tp>
      <tp t="s">
        <v>#N/A Requesting Data...3591437003</v>
        <stp/>
        <stp>BDP|13934642593416417954</stp>
        <tr r="AI36" s="1"/>
      </tp>
      <tp t="s">
        <v>#N/A Requesting Data...2727332897</v>
        <stp/>
        <stp>BDP|11060492626660625465</stp>
        <tr r="E49" s="89"/>
      </tp>
      <tp t="s">
        <v>#N/A N/A</v>
        <stp/>
        <stp>BDP|15708606918020014119</stp>
        <tr r="AA7" s="89"/>
        <tr r="Z7" s="89"/>
      </tp>
      <tp t="s">
        <v>#N/A Requesting Data...3536309577</v>
        <stp/>
        <stp>BDP|11636396119835192597</stp>
        <tr r="T69" s="89"/>
      </tp>
      <tp t="s">
        <v>#N/A Requesting Data...3834628505</v>
        <stp/>
        <stp>BDP|17039732835313216359</stp>
        <tr r="G13" s="446"/>
      </tp>
      <tp t="s">
        <v>#N/A Requesting Data...4187256310</v>
        <stp/>
        <stp>BDP|10212284669224289309</stp>
        <tr r="G15" s="446"/>
      </tp>
      <tp t="s">
        <v>#N/A Requesting Data...4084221875</v>
        <stp/>
        <stp>BDP|16462724592283769820</stp>
        <tr r="Z69" s="89"/>
        <tr r="AA69" s="89"/>
      </tp>
      <tp t="s">
        <v>#N/A Requesting Data...3773414242</v>
        <stp/>
        <stp>BDP|14477773684938548023</stp>
        <tr r="AI23" s="1"/>
      </tp>
      <tp t="s">
        <v>#N/A N/A</v>
        <stp/>
        <stp>BDP|10384122675610396572</stp>
        <tr r="Q32" s="338"/>
      </tp>
      <tp t="s">
        <v>#N/A Requesting Data...2456510072</v>
        <stp/>
        <stp>BDP|16582836999550942450</stp>
        <tr r="O56" s="89"/>
        <tr r="T7" s="2"/>
      </tp>
      <tp t="s">
        <v>#N/A Requesting Data...3712750027</v>
        <stp/>
        <stp>BDP|10628744726607068175</stp>
        <tr r="C225" s="89"/>
      </tp>
      <tp t="s">
        <v>#N/A Requesting Data...3198467473</v>
        <stp/>
        <stp>BDP|16931852689404443127</stp>
        <tr r="F23" s="446"/>
      </tp>
      <tp t="s">
        <v>#N/A Requesting Data...3477249567</v>
        <stp/>
        <stp>BDP|14461057417982680435</stp>
        <tr r="T63" s="89"/>
        <tr r="AA21" s="2"/>
      </tp>
      <tp t="s">
        <v>#N/A Requesting Data...2393600457</v>
        <stp/>
        <stp>BDP|10113138217821262251</stp>
        <tr r="V153" s="89"/>
      </tp>
      <tp t="s">
        <v>#N/A Requesting Data...2979411913</v>
        <stp/>
        <stp>BDP|17214529260663576400</stp>
        <tr r="AC24" s="1"/>
      </tp>
      <tp t="s">
        <v>#N/A Requesting Data...2958258725</v>
        <stp/>
        <stp>BDP|11246696260120787292</stp>
        <tr r="F10" s="252"/>
      </tp>
      <tp t="s">
        <v>#N/A Requesting Data...3781413548</v>
        <stp/>
        <stp>BDP|15227373250511500153</stp>
        <tr r="X14" s="338"/>
      </tp>
      <tp t="s">
        <v>#N/A Requesting Data...2582271115</v>
        <stp/>
        <stp>BDP|13044527620903591424</stp>
        <tr r="U15" s="338"/>
        <tr r="U39" s="338"/>
      </tp>
      <tp t="s">
        <v>#N/A Requesting Data...3233916275</v>
        <stp/>
        <stp>BDP|13604647470276165765</stp>
        <tr r="C16" s="2"/>
      </tp>
      <tp t="s">
        <v>#N/A N/A</v>
        <stp/>
        <stp>BDP|16782854840351631806</stp>
        <tr r="Q36" s="338"/>
      </tp>
      <tp t="s">
        <v>#N/A N/A</v>
        <stp/>
        <stp>BDP|16066178257148215968</stp>
        <tr r="AV18" s="2"/>
        <tr r="R62" s="89"/>
        <tr r="R63" s="89"/>
        <tr r="AV19" s="2"/>
        <tr r="AV21" s="2"/>
        <tr r="AV20" s="2"/>
      </tp>
      <tp t="s">
        <v>#N/A Requesting Data...2306942784</v>
        <stp/>
        <stp>BDP|12718343677950174519</stp>
        <tr r="E7" s="1"/>
        <tr r="K23" s="1"/>
      </tp>
      <tp t="s">
        <v>#N/A N/A</v>
        <stp/>
        <stp>BDP|10051767211612645755</stp>
        <tr r="E24" s="2"/>
      </tp>
      <tp t="s">
        <v>#N/A Requesting Data...4122089973</v>
        <stp/>
        <stp>BDP|14592404034766531631</stp>
        <tr r="S53" s="338"/>
      </tp>
      <tp t="s">
        <v>#N/A Requesting Data...3745463519</v>
        <stp/>
        <stp>BDP|11486261538490579386</stp>
        <tr r="AH55" s="338"/>
        <tr r="AI14" s="338"/>
        <tr r="AI55" s="338"/>
      </tp>
      <tp t="s">
        <v>#N/A N/A</v>
        <stp/>
        <stp>BDP|14563056355411273301</stp>
        <tr r="D34" s="89"/>
      </tp>
      <tp t="s">
        <v>#N/A Requesting Data...4051551543</v>
        <stp/>
        <stp>BDP|10407776681355403913</stp>
        <tr r="AI9" s="338"/>
      </tp>
      <tp t="s">
        <v>#N/A Requesting Data...2999845000</v>
        <stp/>
        <stp>BDP|14730076527710394522</stp>
        <tr r="K3" s="1"/>
      </tp>
      <tp t="s">
        <v>#N/A N/A</v>
        <stp/>
        <stp>BDH|16957906079232911996</stp>
        <tr r="AU18" s="338"/>
      </tp>
      <tp t="s">
        <v>#N/A N/A</v>
        <stp/>
        <stp>BDH|11385774291518707413</stp>
        <tr r="AN52" s="338"/>
        <tr r="AN53" s="338"/>
        <tr r="AN54" s="338"/>
      </tp>
      <tp t="s">
        <v>#N/A N/A</v>
        <stp/>
        <stp>BDH|10002055676556350234</stp>
        <tr r="AS54" s="338"/>
      </tp>
      <tp t="s">
        <v>#N/A N/A</v>
        <stp/>
        <stp>BDH|15157554443336772129</stp>
        <tr r="AM35" s="338"/>
        <tr r="AM14" s="338"/>
      </tp>
      <tp t="s">
        <v>#N/A N/A</v>
        <stp/>
        <stp>BDH|12110014246153097649</stp>
        <tr r="AS34" s="338"/>
        <tr r="AN50" s="338"/>
        <tr r="AS36" s="338"/>
        <tr r="AN51" s="338"/>
        <tr r="AS37" s="338"/>
        <tr r="AS35" s="338"/>
      </tp>
      <tp t="s">
        <v>#N/A N/A</v>
        <stp/>
        <stp>BDH|16902433743955550080</stp>
        <tr r="AU11" s="338"/>
      </tp>
      <tp t="e">
        <v>#N/A</v>
        <stp/>
        <stp>BDH|14583815225278766527</stp>
        <tr r="J8" s="252"/>
      </tp>
      <tp t="s">
        <v>#N/A N/A</v>
        <stp/>
        <stp>BDH|12846725542462122012</stp>
        <tr r="AS48" s="338"/>
        <tr r="AS49" s="338"/>
      </tp>
      <tp t="s">
        <v>USD</v>
        <stp/>
        <stp>BDP|1317667679904084219|22</stp>
        <stp>NFLX US 03/20/26 P90 Equity</stp>
        <stp>QUOTED_CURRENCY_REALTIME</stp>
        <tr r="F187" s="89"/>
      </tp>
      <tp>
        <v>-2.8720207512378693E-2</v>
        <stp/>
        <stp>BDP|2414594441666047375|22</stp>
        <stp>GDX US 09/18/26 C115 Equity</stp>
        <stp>theta_mid_rt</stp>
        <tr r="AN12" s="2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Data...3517959498</v>
        <stp/>
        <stp>BDP|17314881181040082738</stp>
        <tr r="T205" s="89"/>
      </tp>
      <tp t="s">
        <v>#N/A N/A</v>
        <stp/>
        <stp>BDP|13215475469594762530</stp>
        <tr r="AB89" s="89"/>
        <tr r="AB90" s="89"/>
      </tp>
      <tp t="s">
        <v>#N/A N/A</v>
        <stp/>
        <stp>BDP|10538723357113113195</stp>
        <tr r="C212" s="89"/>
      </tp>
      <tp t="s">
        <v>#N/A Requesting Data...2835372587</v>
        <stp/>
        <stp>BDP|10384653628097195348</stp>
        <tr r="V33" s="338"/>
      </tp>
      <tp t="s">
        <v>#N/A Requesting Data...2811466674</v>
        <stp/>
        <stp>BDP|15830810886156463309</stp>
        <tr r="Z89" s="89"/>
        <tr r="AA89" s="89"/>
      </tp>
      <tp t="s">
        <v>#N/A Requesting Data...3346614822</v>
        <stp/>
        <stp>BDP|16329127935980609498</stp>
        <tr r="M9" s="252"/>
      </tp>
      <tp t="s">
        <v>#N/A Requesting Data...3577461871</v>
        <stp/>
        <stp>BDP|10213293417720387350</stp>
        <tr r="V20" s="89"/>
      </tp>
      <tp t="s">
        <v>#N/A Requesting Data...2557227303</v>
        <stp/>
        <stp>BDP|14136785762373472653</stp>
        <tr r="P12" s="338"/>
      </tp>
      <tp t="s">
        <v>#N/A Requesting Data...2652336999</v>
        <stp/>
        <stp>BDP|10907713945543986097</stp>
        <tr r="AJ12" s="338"/>
      </tp>
      <tp t="s">
        <v>#N/A Requesting Data...2944214831</v>
        <stp/>
        <stp>BDP|18157396268365948849</stp>
        <tr r="G32" s="446"/>
      </tp>
      <tp t="s">
        <v>#N/A Requesting Data...3830722698</v>
        <stp/>
        <stp>BDP|12322490716684467354</stp>
        <tr r="V14" s="89"/>
        <tr r="AD26" s="2"/>
      </tp>
      <tp t="s">
        <v>#N/A Requesting Data...4092202926</v>
        <stp/>
        <stp>BDP|16998277646851211171</stp>
        <tr r="C40" s="89"/>
      </tp>
      <tp t="s">
        <v>#N/A N/A</v>
        <stp/>
        <stp>BDP|10224241980952801827</stp>
        <tr r="V34" s="89"/>
      </tp>
      <tp t="s">
        <v>#N/A Requesting Data...2635400122</v>
        <stp/>
        <stp>BDP|17187500422678411886</stp>
        <tr r="T62" s="89"/>
        <tr r="AA20" s="2"/>
      </tp>
      <tp t="s">
        <v>#N/A Requesting Data...2452977286</v>
        <stp/>
        <stp>BDP|11850099902500446183</stp>
        <tr r="AR26" s="2"/>
      </tp>
      <tp t="s">
        <v>#N/A Requesting Data...2472789678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213" s="89"/>
        <tr r="AB204" s="89"/>
        <tr r="AB212" s="89"/>
        <tr r="AB69" s="89"/>
        <tr r="AB76" s="89"/>
        <tr r="AB81" s="89"/>
        <tr r="AB82" s="89"/>
        <tr r="AB75" s="89"/>
        <tr r="AB211" s="89"/>
        <tr r="AB205" s="89"/>
        <tr r="AB203" s="89"/>
        <tr r="AB68" s="89"/>
      </tp>
      <tp t="s">
        <v>#N/A Requesting Data...2771583020</v>
        <stp/>
        <stp>BDP|13092497781378873713</stp>
        <tr r="E76" s="89"/>
      </tp>
      <tp t="s">
        <v>#N/A N/A</v>
        <stp/>
        <stp>BDP|14597180097325807932</stp>
        <tr r="O34" s="89"/>
      </tp>
      <tp t="s">
        <v>#N/A Requesting Data...2565429619</v>
        <stp/>
        <stp>BDP|13176433799579956737</stp>
        <tr r="C20" s="2"/>
      </tp>
      <tp t="s">
        <v>#N/A Requesting Data...3975821004</v>
        <stp/>
        <stp>BDP|11877678453870847248</stp>
        <tr r="AJ29" s="338"/>
        <tr r="AJ30" s="338"/>
      </tp>
      <tp t="s">
        <v>#N/A N/A</v>
        <stp/>
        <stp>BDP|13427548150143926091</stp>
        <tr r="E33" s="89"/>
      </tp>
      <tp t="s">
        <v>#N/A Requesting Data...3911860735</v>
        <stp/>
        <stp>BDP|17979638844017722292</stp>
        <tr r="E224" s="89"/>
      </tp>
      <tp t="s">
        <v>#N/A Requesting Data...3964705822</v>
        <stp/>
        <stp>BDP|12913131077284987044</stp>
        <tr r="T55" s="89"/>
        <tr r="AA6" s="2"/>
      </tp>
      <tp t="s">
        <v>#N/A Requesting Data...2737604948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Data...3278256439</v>
        <stp/>
        <stp>BDP|17857693024795624634</stp>
        <tr r="V19" s="89"/>
      </tp>
      <tp t="s">
        <v>#N/A Requesting Data...3171271812</v>
        <stp/>
        <stp>BDP|14736375789817362891</stp>
        <tr r="AC2" s="1"/>
        <tr r="AD2" s="1"/>
      </tp>
      <tp t="s">
        <v>#N/A N/A</v>
        <stp/>
        <stp>BDP|10445203744035528368</stp>
        <tr r="AC11" s="2"/>
        <tr r="AC12" s="2"/>
      </tp>
      <tp t="s">
        <v>#N/A N/A</v>
        <stp/>
        <stp>BDP|11760219723344715507</stp>
        <tr r="V26" s="89"/>
      </tp>
      <tp t="s">
        <v>#N/A Requesting Data...3034210129</v>
        <stp/>
        <stp>BDP|13439578072010389109</stp>
        <tr r="O225" s="89"/>
      </tp>
      <tp t="s">
        <v>#N/A Requesting Data...3551025717</v>
        <stp/>
        <stp>BDP|11184865175579332734</stp>
        <tr r="F12" s="446"/>
      </tp>
      <tp t="s">
        <v>#N/A Requesting Data...2680361486</v>
        <stp/>
        <stp>BDP|12133420967599732913</stp>
        <tr r="AG12" s="338"/>
      </tp>
      <tp t="s">
        <v>#N/A Requesting Data...2525923139</v>
        <stp/>
        <stp>BDP|15122146107040099471</stp>
        <tr r="E55" s="89"/>
      </tp>
      <tp t="s">
        <v>#N/A N/A</v>
        <stp/>
        <stp>BDP|15022453490698167011</stp>
        <tr r="V235" s="89"/>
      </tp>
      <tp t="s">
        <v>#N/A Requesting Data...3147722048</v>
        <stp/>
        <stp>BDP|11301603537853289723</stp>
        <tr r="T18" s="338"/>
      </tp>
      <tp t="s">
        <v>#N/A Requesting Data...4174495800</v>
        <stp/>
        <stp>BDP|17819773794190840945</stp>
        <tr r="P17" s="252"/>
      </tp>
      <tp t="s">
        <v>#N/A N/A</v>
        <stp/>
        <stp>BDP|14405326057281461339</stp>
        <tr r="E236" s="89"/>
      </tp>
      <tp t="s">
        <v>#N/A Requesting Data...4001862672</v>
        <stp/>
        <stp>BDP|11542574144783666360</stp>
        <tr r="F41" s="446"/>
      </tp>
      <tp t="s">
        <v>#N/A Requesting Data...2500877888</v>
        <stp/>
        <stp>BDP|10347220747614218226</stp>
        <tr r="O203" s="89"/>
      </tp>
      <tp t="s">
        <v>#N/A N/A</v>
        <stp/>
        <stp>BDH|11415371611030370379</stp>
        <tr r="AS45" s="338"/>
      </tp>
      <tp t="s">
        <v>#N/A N/A</v>
        <stp/>
        <stp>BDH|15729013662067104437</stp>
        <tr r="AR48" s="338"/>
        <tr r="AR49" s="338"/>
      </tp>
      <tp t="s">
        <v>USD</v>
        <stp/>
        <stp>BDP|2710784205974410109|22</stp>
        <stp>ASHR US 02/20/26 C35 Equity</stp>
        <stp>QUOTED_CURRENCY_REALTIME</stp>
        <tr r="G8" s="2"/>
      </tp>
      <tp t="s">
        <v>#N/A Real Time</v>
        <stp/>
        <stp>BDP|7488669990583969064|22</stp>
        <stp>SPXW US 12/31/25 C6950 Index</stp>
        <stp>ask</stp>
        <tr r="L160" s="89"/>
      </tp>
      <tp>
        <v>39.5</v>
        <stp/>
        <stp>BDP|3050834555440308322|22</stp>
        <stp>LITE US 03/20/26 C420 Equity</stp>
        <stp>bid</stp>
        <tr r="K8" s="89"/>
      </tp>
      <tp t="s">
        <v>#N/A Requesting Data...2835868345</v>
        <stp/>
        <stp>BDP|10801083268771247632</stp>
        <tr r="D90" s="89"/>
      </tp>
      <tp t="s">
        <v>#N/A Requesting Data...3396238194</v>
        <stp/>
        <stp>BDP|16715867013956947830</stp>
        <tr r="AA56" s="89"/>
        <tr r="Z56" s="89"/>
      </tp>
      <tp t="s">
        <v>#N/A Requesting Data...3179288559</v>
        <stp/>
        <stp>BDP|16930560419574755798</stp>
        <tr r="C9" s="2"/>
      </tp>
      <tp t="s">
        <v>#N/A Requesting Data...3846413620</v>
        <stp/>
        <stp>BDP|10145720918890433776</stp>
        <tr r="O180" s="89"/>
        <tr r="T16" s="2"/>
      </tp>
      <tp t="s">
        <v>#N/A Requesting Data...3508109353</v>
        <stp/>
        <stp>BDP|12055500611067822013</stp>
        <tr r="AJ31" s="338"/>
        <tr r="AJ32" s="338"/>
        <tr r="AH31" s="338"/>
        <tr r="AH32" s="338"/>
      </tp>
      <tp t="s">
        <v>#N/A Requesting Data...3345166903</v>
        <stp/>
        <stp>BDP|10712352949092709470</stp>
        <tr r="AA19" s="89"/>
        <tr r="Z19" s="89"/>
      </tp>
      <tp t="s">
        <v>#N/A N/A</v>
        <stp/>
        <stp>BDP|14941693499099222304</stp>
        <tr r="E235" s="89"/>
      </tp>
      <tp t="s">
        <v>#N/A Requesting Data...2790374490</v>
        <stp/>
        <stp>BDP|14336270361883873268</stp>
        <tr r="E62" s="89"/>
      </tp>
      <tp t="s">
        <v>#N/A Requesting Data...3439661508</v>
        <stp/>
        <stp>BDP|15783676161145872136</stp>
        <tr r="O12" s="252"/>
      </tp>
      <tp t="s">
        <v>#N/A Requesting Data...4126929145</v>
        <stp/>
        <stp>BDP|10827554593684445907</stp>
        <tr r="AG31" s="1"/>
        <tr r="AG30" s="1"/>
      </tp>
      <tp t="s">
        <v>#N/A Requesting Data...4027200311</v>
        <stp/>
        <stp>BDP|10651894387614235500</stp>
        <tr r="V138" s="89"/>
      </tp>
      <tp t="s">
        <v>#N/A Requesting Data...3543802972</v>
        <stp/>
        <stp>BDP|10435868994421818135</stp>
        <tr r="C26" s="2"/>
      </tp>
      <tp t="s">
        <v>#N/A Requesting Data...2795910572</v>
        <stp/>
        <stp>BDP|18017376398746707540</stp>
        <tr r="G37" s="446"/>
      </tp>
      <tp t="s">
        <v>#N/A Requesting Data...3695645513</v>
        <stp/>
        <stp>BDP|17365785494690778868</stp>
        <tr r="E5" s="1"/>
        <tr r="K19" s="1"/>
      </tp>
      <tp t="s">
        <v>#N/A Requesting Data...4198522036</v>
        <stp/>
        <stp>BDP|11154785569869703897</stp>
        <tr r="V101" s="89"/>
      </tp>
      <tp t="s">
        <v>#N/A N/A</v>
        <stp/>
        <stp>BDP|15611895190386842392</stp>
        <tr r="O212" s="89"/>
      </tp>
      <tp t="s">
        <v>#N/A Requesting Data...3331383749</v>
        <stp/>
        <stp>BDP|15429373874678916801</stp>
        <tr r="C55" s="89"/>
        <tr r="D6" s="2"/>
      </tp>
      <tp t="s">
        <v>#N/A Requesting Data...3386213178</v>
        <stp/>
        <stp>BDP|13462113802766482523</stp>
        <tr r="P51" s="338"/>
      </tp>
      <tp t="s">
        <v>#N/A N/A</v>
        <stp/>
        <stp>BDP|13132633310336676357</stp>
        <tr r="Q42" s="338"/>
      </tp>
      <tp t="s">
        <v>#N/A N/A</v>
        <stp/>
        <stp>BDP|16316216903460593558</stp>
        <tr r="C27" s="89"/>
      </tp>
      <tp t="s">
        <v>#N/A Requesting Data...3192810581</v>
        <stp/>
        <stp>BDP|13507309990980542809</stp>
        <tr r="P54" s="338"/>
      </tp>
      <tp t="s">
        <v>#N/A Requesting Data...3192465734</v>
        <stp/>
        <stp>BDP|13251961527568785177</stp>
        <tr r="L41" s="338"/>
        <tr r="H41" s="338"/>
        <tr r="L42" s="338"/>
        <tr r="H42" s="338"/>
      </tp>
      <tp t="s">
        <v>#N/A Requesting Data...4172343926</v>
        <stp/>
        <stp>BDP|10532025680450781936</stp>
        <tr r="T53" s="338"/>
      </tp>
      <tp t="s">
        <v>#N/A Requesting Data...3564203291</v>
        <stp/>
        <stp>BDP|15584846954420486925</stp>
        <tr r="V30" s="338"/>
      </tp>
      <tp t="s">
        <v>#N/A Requesting Data...3306867005</v>
        <stp/>
        <stp>BDP|12417922592843377049</stp>
        <tr r="V50" s="338"/>
      </tp>
      <tp t="s">
        <v>#N/A Requesting Data...3551790731</v>
        <stp/>
        <stp>BDP|15633972697785552118</stp>
        <tr r="V115" s="89"/>
      </tp>
      <tp t="s">
        <v>#N/A Requesting Data...3249903104</v>
        <stp/>
        <stp>BDP|15698160403534380128</stp>
        <tr r="AB18" s="1"/>
      </tp>
      <tp t="s">
        <v>#N/A Requesting Data...2797145335</v>
        <stp/>
        <stp>BDP|10829342338896620706</stp>
        <tr r="D204" s="89"/>
      </tp>
      <tp t="s">
        <v>#N/A Requesting Data...2622565302</v>
        <stp/>
        <stp>BDP|11998355979195097173</stp>
        <tr r="T160" s="89"/>
      </tp>
      <tp t="s">
        <v>#N/A Requesting Data...3751367074</v>
        <stp/>
        <stp>BDP|16353514989043023996</stp>
        <tr r="AH14" s="338"/>
        <tr r="AH35" s="338"/>
        <tr r="AJ14" s="338"/>
        <tr r="AJ35" s="338"/>
      </tp>
      <tp t="s">
        <v>#N/A Requesting Data...3705491802</v>
        <stp/>
        <stp>BDP|12456380201726902619</stp>
        <tr r="Z50" s="89"/>
        <tr r="AA50" s="89"/>
      </tp>
      <tp t="s">
        <v>#N/A Requesting Data...2984353844</v>
        <stp/>
        <stp>BDP|11157579934717202151</stp>
        <tr r="V136" s="89"/>
      </tp>
      <tp t="s">
        <v>#N/A Requesting Data...2553240166</v>
        <stp/>
        <stp>BDP|16176003730321499511</stp>
        <tr r="L9" s="338"/>
        <tr r="J9" s="338"/>
      </tp>
      <tp t="s">
        <v>#N/A Requesting Data...3078165129</v>
        <stp/>
        <stp>BDP|16488629082059415041</stp>
        <tr r="M15" s="252"/>
      </tp>
      <tp t="s">
        <v>#N/A Requesting Data...2390224818</v>
        <stp/>
        <stp>BDP|13170702077463225105</stp>
        <tr r="V102" s="89"/>
      </tp>
      <tp t="s">
        <v>#N/A Requesting Data...2938950585</v>
        <stp/>
        <stp>BDP|18267029483522135357</stp>
        <tr r="C19" s="89"/>
      </tp>
      <tp t="s">
        <v>#N/A N/A</v>
        <stp/>
        <stp>BDP|14508663189958598381</stp>
        <tr r="C237" s="89"/>
      </tp>
      <tp t="s">
        <v>#N/A Requesting Data...3137505267</v>
        <stp/>
        <stp>BDP|15665722340580183729</stp>
        <tr r="AH17" s="338"/>
        <tr r="AH18" s="338"/>
      </tp>
      <tp t="s">
        <v>#N/A N/A</v>
        <stp/>
        <stp>BDP|15153756229823388297</stp>
        <tr r="C234" s="89"/>
      </tp>
      <tp t="s">
        <v>#N/A Requesting Data...2954595701</v>
        <stp/>
        <stp>BDP|10682710845653266163</stp>
        <tr r="E96" s="89"/>
      </tp>
      <tp t="s">
        <v>#N/A Requesting Data...3719293843</v>
        <stp/>
        <stp>BDP|10764751743486083471</stp>
        <tr r="E8" s="2"/>
      </tp>
      <tp t="s">
        <v>#N/A Requesting Data...2750068712</v>
        <stp/>
        <stp>BDP|14562048524442507562</stp>
        <tr r="AA49" s="89"/>
        <tr r="Z49" s="89"/>
      </tp>
      <tp t="s">
        <v>#N/A Requesting Data...3402193359</v>
        <stp/>
        <stp>BDP|14914589903223067341</stp>
        <tr r="AH31" s="338"/>
        <tr r="AH32" s="338"/>
      </tp>
      <tp t="s">
        <v>#N/A N/A</v>
        <stp/>
        <stp>BDH|16059458693002462861</stp>
        <tr r="AP41" s="338"/>
        <tr r="AP42" s="338"/>
      </tp>
      <tp t="s">
        <v>#N/A N/A</v>
        <stp/>
        <stp>BDH|11704342704632478172</stp>
        <tr r="AN18" s="338"/>
        <tr r="AN17" s="338"/>
      </tp>
      <tp t="s">
        <v>#N/A N/A</v>
        <stp/>
        <stp>BDH|16789853434034492885</stp>
        <tr r="AS13" s="338"/>
      </tp>
      <tp t="s">
        <v>#N/A N/A</v>
        <stp/>
        <stp>BDH|11725172807250919133</stp>
        <tr r="AP14" s="338"/>
        <tr r="AP35" s="338"/>
      </tp>
      <tp t="s">
        <v>#N/A N/A</v>
        <stp/>
        <stp>BDH|13736485122475789143</stp>
        <tr r="AM12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Data...2880645292</v>
        <stp/>
        <stp>BDP|10297523734239490992</stp>
        <tr r="AB36" s="1"/>
        <tr r="F19" s="446"/>
      </tp>
      <tp t="s">
        <v>#N/A Requesting Data...4294030576</v>
        <stp/>
        <stp>BDP|12796713228197729608</stp>
        <tr r="P20" s="252"/>
      </tp>
      <tp t="s">
        <v>#N/A Requesting Data...2724467931</v>
        <stp/>
        <stp>BDP|14277784462456832595</stp>
        <tr r="L17" s="338"/>
        <tr r="H17" s="338"/>
        <tr r="L18" s="338"/>
        <tr r="H18" s="338"/>
      </tp>
      <tp t="s">
        <v>#N/A N/A</v>
        <stp/>
        <stp>BDP|15345577350865826658</stp>
        <tr r="V211" s="89"/>
      </tp>
      <tp t="s">
        <v>#N/A Requesting Data...2935086064</v>
        <stp/>
        <stp>BDP|17424699323975103062</stp>
        <tr r="K27" s="1"/>
      </tp>
      <tp t="s">
        <v>#N/A Requesting Data...3080185218</v>
        <stp/>
        <stp>BDP|13066894584424507113</stp>
        <tr r="AA186" s="89"/>
        <tr r="Z186" s="89"/>
      </tp>
      <tp t="s">
        <v>#N/A Requesting Data...2935215208</v>
        <stp/>
        <stp>BDP|13534980394766736373</stp>
        <tr r="AG34" s="1"/>
      </tp>
      <tp t="s">
        <v>#N/A Requesting Data...4102946791</v>
        <stp/>
        <stp>BDP|17797289754802274410</stp>
        <tr r="AH16" s="338"/>
        <tr r="AH38" s="338"/>
        <tr r="AH40" s="338"/>
      </tp>
      <tp t="s">
        <v>#N/A Requesting Data...3902931094</v>
        <stp/>
        <stp>BDP|13950429544874140162</stp>
        <tr r="AA82" s="89"/>
        <tr r="Z82" s="89"/>
      </tp>
      <tp t="s">
        <v>#N/A Requesting Data...2908485967</v>
        <stp/>
        <stp>BDP|16115925375469725792</stp>
        <tr r="F11" s="2"/>
      </tp>
      <tp t="s">
        <v>#N/A Requesting Data...3187386738</v>
        <stp/>
        <stp>BDP|10811773521330276340</stp>
        <tr r="F42" s="446"/>
      </tp>
      <tp t="s">
        <v>#N/A Requesting Data...2789112853</v>
        <stp/>
        <stp>BDP|10555016852265553684</stp>
        <tr r="V222" s="89"/>
        <tr r="AD9" s="2"/>
      </tp>
      <tp t="s">
        <v>#N/A Requesting Data...3181248011</v>
        <stp/>
        <stp>BDP|11364787337662503131</stp>
        <tr r="L48" s="338"/>
        <tr r="J48" s="338"/>
        <tr r="L49" s="338"/>
        <tr r="J49" s="338"/>
      </tp>
      <tp t="s">
        <v>#N/A Requesting Data...3423963385</v>
        <stp/>
        <stp>BDP|11872742860665595345</stp>
        <tr r="C203" s="89"/>
      </tp>
      <tp t="s">
        <v>#N/A Requesting Data...2963204064</v>
        <stp/>
        <stp>BDP|10592355801820537596</stp>
        <tr r="V225" s="89"/>
      </tp>
      <tp t="s">
        <v>#N/A Requesting Data...4293161465</v>
        <stp/>
        <stp>BDP|12754284242295866781</stp>
        <tr r="Y6" s="252"/>
      </tp>
      <tp t="s">
        <v>#N/A Requesting Data...2940039843</v>
        <stp/>
        <stp>BDP|18269203655158880133</stp>
        <tr r="F39" s="446"/>
      </tp>
      <tp t="s">
        <v>#N/A Requesting Data...3093060551</v>
        <stp/>
        <stp>BDP|12227291512562192542</stp>
        <tr r="AJ37" s="338"/>
      </tp>
      <tp t="s">
        <v>#N/A Requesting Data...3768370080</v>
        <stp/>
        <stp>BDP|16951549404092060765</stp>
        <tr r="V109" s="89"/>
      </tp>
      <tp t="s">
        <v>#N/A Requesting Data...3955178334</v>
        <stp/>
        <stp>BDP|14465682678745316685</stp>
        <tr r="V171" s="89"/>
      </tp>
      <tp t="s">
        <v>#N/A Requesting Data...3826900233</v>
        <stp/>
        <stp>BDP|11386689669882555588</stp>
        <tr r="E122" s="89"/>
      </tp>
      <tp t="s">
        <v>#N/A Requesting Data...3931905371</v>
        <stp/>
        <stp>BDP|16786358086579802228</stp>
        <tr r="E7" s="2"/>
      </tp>
      <tp t="s">
        <v>#N/A N/A</v>
        <stp/>
        <stp>BDP|10542094131572738745</stp>
        <tr r="Q45" s="338"/>
      </tp>
      <tp t="s">
        <v>#N/A Requesting Data...3155619739</v>
        <stp/>
        <stp>BDP|16385386864915757060</stp>
        <tr r="T54" s="338"/>
      </tp>
      <tp t="s">
        <v>#N/A N/A</v>
        <stp/>
        <stp>BDP|11017596722413275374</stp>
        <tr r="Q16" s="338"/>
        <tr r="Q38" s="338"/>
      </tp>
      <tp t="s">
        <v>#N/A Requesting Data...3306544995</v>
        <stp/>
        <stp>BDP|13639162762852624052</stp>
        <tr r="AF27" s="1"/>
      </tp>
      <tp t="s">
        <v>#N/A Requesting Data...3308485192</v>
        <stp/>
        <stp>BDP|16302213673966019302</stp>
        <tr r="V224" s="89"/>
      </tp>
      <tp t="s">
        <v>#N/A Requesting Data...2653541798</v>
        <stp/>
        <stp>BDP|14172029208847257580</stp>
        <tr r="V42" s="338"/>
      </tp>
      <tp t="s">
        <v>#N/A Requesting Data...3076252582</v>
        <stp/>
        <stp>BDP|13817818016325631992</stp>
        <tr r="AA27" s="2"/>
      </tp>
      <tp t="s">
        <v>#N/A N/A</v>
        <stp/>
        <stp>BDP|17101265217926745477</stp>
        <tr r="D7" s="89"/>
      </tp>
      <tp t="s">
        <v>#N/A Requesting Data...4161589324</v>
        <stp/>
        <stp>BDP|10374609618263940213</stp>
        <tr r="S30" s="338"/>
      </tp>
      <tp t="s">
        <v>#N/A Requesting Data...3156639544</v>
        <stp/>
        <stp>BDP|11156706822837900596</stp>
        <tr r="V51" s="338"/>
      </tp>
      <tp t="s">
        <v>#N/A N/A</v>
        <stp/>
        <stp>BDP|10137680139817712447</stp>
        <tr r="AC22" s="2"/>
      </tp>
      <tp t="s">
        <v>#N/A Requesting Data...3948554953</v>
        <stp/>
        <stp>BDP|18365939499897354990</stp>
        <tr r="D160" s="89"/>
      </tp>
      <tp t="s">
        <v>#N/A Requesting Data...3856345112</v>
        <stp/>
        <stp>BDP|15452088774745294193</stp>
        <tr r="AA14" s="89"/>
        <tr r="Z14" s="89"/>
      </tp>
      <tp t="s">
        <v>#N/A Requesting Data...2812260515</v>
        <stp/>
        <stp>BDP|11064610705050727104</stp>
        <tr r="V137" s="89"/>
      </tp>
      <tp t="s">
        <v>#N/A Requesting Data...3568019144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Data...3573520665</v>
        <stp/>
        <stp>BDP|16272552922964616315</stp>
        <tr r="T129" s="89"/>
      </tp>
      <tp t="s">
        <v>#N/A Requesting Data...3223341819</v>
        <stp/>
        <stp>BDP|10078809003498061665</stp>
        <tr r="AH12" s="338"/>
      </tp>
      <tp t="s">
        <v>#N/A Requesting Data...2966197304</v>
        <stp/>
        <stp>BDP|11277689408467201656</stp>
        <tr r="T13" s="338"/>
      </tp>
      <tp t="s">
        <v>#N/A Requesting Data...3562470204</v>
        <stp/>
        <stp>BDP|13974956684510873453</stp>
        <tr r="D123" s="89"/>
      </tp>
      <tp t="s">
        <v>#N/A N/A</v>
        <stp/>
        <stp>BDP|14592246375887317031</stp>
        <tr r="AA235" s="89"/>
        <tr r="Z235" s="89"/>
      </tp>
      <tp t="s">
        <v>#N/A Requesting Data...4241214123</v>
        <stp/>
        <stp>BDP|10427861548958967244</stp>
        <tr r="AJ55" s="338"/>
        <tr r="AK14" s="338"/>
        <tr r="AK55" s="338"/>
      </tp>
      <tp t="s">
        <v>#N/A Requesting Data...3400925272</v>
        <stp/>
        <stp>BDP|12964383061440508121</stp>
        <tr r="S49" s="338"/>
      </tp>
      <tp t="s">
        <v>#N/A Requesting Data...3939773637</v>
        <stp/>
        <stp>BDP|17935753969917403773</stp>
        <tr r="F11" s="252"/>
      </tp>
      <tp t="s">
        <v>#N/A Requesting Data...2927199957</v>
        <stp/>
        <stp>BDP|16562085350705983025</stp>
        <tr r="D223" s="89"/>
      </tp>
      <tp t="s">
        <v>#N/A Requesting Data...3601787429</v>
        <stp/>
        <stp>BDP|10542746004898665953</stp>
        <tr r="AR6" s="2"/>
      </tp>
      <tp t="s">
        <v>#N/A Requesting Data...2477679680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BDH|13312550360474152299</stp>
        <tr r="AM8" s="338"/>
        <tr r="AM9" s="338"/>
      </tp>
      <tp>
        <v>24.45</v>
        <stp/>
        <stp>BDP|5005092167591802286|22</stp>
        <stp>META US 04/17/26 C690 Equity</stp>
        <stp>bid</stp>
        <tr r="P14" s="2"/>
        <tr r="K170" s="89"/>
        <tr r="K179" s="89"/>
      </tp>
      <tp t="s">
        <v>#N/A Requesting Data...3708013845</v>
        <stp/>
        <stp>BDP|14882631572614102616</stp>
        <tr r="S10" s="252"/>
      </tp>
      <tp t="s">
        <v>#N/A Requesting Data...2597791207</v>
        <stp/>
        <stp>BDP|14222470646161364298</stp>
        <tr r="C18" s="2"/>
      </tp>
      <tp t="s">
        <v>#N/A Requesting Data...3719130330</v>
        <stp/>
        <stp>BDP|13396250829954504031</stp>
        <tr r="O222" s="89"/>
        <tr r="T9" s="2"/>
      </tp>
      <tp t="s">
        <v>#N/A Requesting Data...4260722771</v>
        <stp/>
        <stp>BDP|18254298125537508829</stp>
        <tr r="E204" s="89"/>
      </tp>
      <tp t="s">
        <v>#N/A Requesting Data...3539885152</v>
        <stp/>
        <stp>BDP|11796231449483478311</stp>
        <tr r="V82" s="89"/>
      </tp>
      <tp t="s">
        <v>#N/A N/A</v>
        <stp/>
        <stp>BDP|17370707244810639397</stp>
        <tr r="AC9" s="2"/>
        <tr r="AC10" s="2"/>
      </tp>
      <tp t="s">
        <v>#N/A Requesting Data...3764287537</v>
        <stp/>
        <stp>BDP|14546342925643453186</stp>
        <tr r="L32" s="338"/>
        <tr r="L46" s="338"/>
        <tr r="L8" s="338"/>
        <tr r="J8" s="338"/>
        <tr r="J32" s="338"/>
        <tr r="J46" s="338"/>
        <tr r="L50" s="338"/>
        <tr r="J50" s="338"/>
      </tp>
      <tp t="s">
        <v>#N/A N/A</v>
        <stp/>
        <stp>BDP|13378877709438359466</stp>
        <tr r="Q9" s="338"/>
      </tp>
      <tp t="s">
        <v>#N/A Requesting Data...2897928854</v>
        <stp/>
        <stp>BDP|15404493773766767722</stp>
        <tr r="G36" s="446"/>
      </tp>
      <tp t="s">
        <v>#N/A Requesting Data...2705146517</v>
        <stp/>
        <stp>BDP|10498485443064599312</stp>
        <tr r="X50" s="338"/>
      </tp>
      <tp t="s">
        <v>#N/A Requesting Data...2836678452</v>
        <stp/>
        <stp>BDP|15078283603585761571</stp>
        <tr r="O171" s="89"/>
      </tp>
      <tp t="s">
        <v>#N/A Requesting Data...2793427023</v>
        <stp/>
        <stp>BDP|18114698683463557242</stp>
        <tr r="AF36" s="1"/>
        <tr r="AG9" s="338"/>
      </tp>
      <tp t="s">
        <v>#N/A Requesting Data...4222349585</v>
        <stp/>
        <stp>BDP|14185986357608085749</stp>
        <tr r="V44" s="338"/>
      </tp>
      <tp t="s">
        <v>#N/A Requesting Data...2915790085</v>
        <stp/>
        <stp>BDP|13775077133931138686</stp>
        <tr r="AH41" s="338"/>
        <tr r="AH42" s="338"/>
        <tr r="AJ41" s="338"/>
        <tr r="AJ42" s="338"/>
      </tp>
      <tp t="s">
        <v>#N/A Requesting Data...3528172019</v>
        <stp/>
        <stp>BDP|15710273126027498587</stp>
        <tr r="E68" s="89"/>
      </tp>
      <tp t="s">
        <v>#N/A Requesting Data...4099957346</v>
        <stp/>
        <stp>BDP|14590579742297818521</stp>
        <tr r="K24" s="1"/>
      </tp>
      <tp t="s">
        <v>#N/A Requesting Data...3653063859</v>
        <stp/>
        <stp>BDP|14232577743505528792</stp>
        <tr r="F7" s="252"/>
      </tp>
      <tp t="s">
        <v>#N/A Requesting Data...2990627409</v>
        <stp/>
        <stp>BDP|14556104661927858316</stp>
        <tr r="K6" s="1"/>
      </tp>
      <tp t="s">
        <v>#N/A Requesting Data...3159082999</v>
        <stp/>
        <stp>BDP|12341108167772818008</stp>
        <tr r="T35" s="338"/>
      </tp>
      <tp t="s">
        <v>#N/A Requesting Data...4143275934</v>
        <stp/>
        <stp>BDP|13243003914125922034</stp>
        <tr r="AI17" s="1"/>
      </tp>
      <tp t="s">
        <v>#N/A Requesting Data...3164434762</v>
        <stp/>
        <stp>BDP|15607530839212696655</stp>
        <tr r="AG16" s="1"/>
      </tp>
      <tp t="s">
        <v>#N/A Requesting Data...3224938642</v>
        <stp/>
        <stp>BDP|10253727379283384458</stp>
        <tr r="C56" s="89"/>
        <tr r="D7" s="2"/>
      </tp>
      <tp t="s">
        <v>#N/A Requesting Data...4261297892</v>
        <stp/>
        <stp>BDP|11763676684369362182</stp>
        <tr r="E39" s="89"/>
      </tp>
      <tp t="s">
        <v>#N/A Requesting Data...4161387206</v>
        <stp/>
        <stp>BDP|13772195236723550526</stp>
        <tr r="X55" s="338"/>
      </tp>
      <tp t="s">
        <v>#N/A Requesting Data...2948196472</v>
        <stp/>
        <stp>BDP|17465284925626707608</stp>
        <tr r="C180" s="89"/>
        <tr r="D16" s="2"/>
      </tp>
      <tp t="s">
        <v>#N/A Requesting Data...3440017294</v>
        <stp/>
        <stp>BDP|17524118567766475161</stp>
        <tr r="F20" s="252"/>
      </tp>
      <tp t="s">
        <v>#N/A Requesting Data...2880812474</v>
        <stp/>
        <stp>BDP|13483096816386354391</stp>
        <tr r="S54" s="338"/>
      </tp>
      <tp t="s">
        <v>#N/A Requesting Data...3892222072</v>
        <stp/>
        <stp>BDP|16190103000157320731</stp>
        <tr r="V144" s="89"/>
      </tp>
      <tp t="s">
        <v>#N/A Requesting Data...4155262400</v>
        <stp/>
        <stp>BDP|12052868717818962496</stp>
        <tr r="AI32" s="338"/>
        <tr r="AI46" s="338"/>
        <tr r="AI50" s="338"/>
        <tr r="AI8" s="338"/>
      </tp>
      <tp t="s">
        <v>#N/A Requesting Data...3409721641</v>
        <stp/>
        <stp>BDP|12678050625094398357</stp>
        <tr r="AC29" s="1"/>
        <tr r="D35" s="446"/>
      </tp>
      <tp t="s">
        <v>#N/A Requesting Data...3132280864</v>
        <stp/>
        <stp>BDP|10174429034410523025</stp>
        <tr r="E10" s="2"/>
      </tp>
      <tp t="s">
        <v>#N/A Requesting Data...3057646249</v>
        <stp/>
        <stp>BDP|14466338705836267600</stp>
        <tr r="C186" s="89"/>
      </tp>
      <tp t="s">
        <v>#N/A Requesting Data...2513747270</v>
        <stp/>
        <stp>BDP|12696369723990354409</stp>
        <tr r="C7" s="2"/>
      </tp>
      <tp t="s">
        <v>#N/A Requesting Data...2644477503</v>
        <stp/>
        <stp>BDP|13691107662271159260</stp>
        <tr r="AR25" s="2"/>
      </tp>
      <tp t="s">
        <v>#N/A Requesting Data...4102469557</v>
        <stp/>
        <stp>BDP|15357058437984658543</stp>
        <tr r="E108" s="89"/>
      </tp>
      <tp t="s">
        <v>#N/A Requesting Data...3047158140</v>
        <stp/>
        <stp>BDP|13166159022836545104</stp>
        <tr r="AC17" s="1"/>
      </tp>
      <tp t="s">
        <v>#N/A Requesting Data...3004326505</v>
        <stp/>
        <stp>BDP|10809595656630258773</stp>
        <tr r="N8" s="252"/>
        <tr r="N8" s="252"/>
      </tp>
      <tp t="s">
        <v>#N/A Requesting Data...4132487815</v>
        <stp/>
        <stp>BDP|11136935115988096638</stp>
        <tr r="AJ17" s="338"/>
        <tr r="AJ18" s="338"/>
      </tp>
      <tp t="s">
        <v>#N/A Requesting Data...3506454331</v>
        <stp/>
        <stp>BDP|17117535562106038540</stp>
        <tr r="X35" s="338"/>
      </tp>
      <tp t="s">
        <v>#N/A Requesting Data...3335520150</v>
        <stp/>
        <stp>BDP|11947265064485960753</stp>
        <tr r="U32" s="338"/>
      </tp>
      <tp t="s">
        <v>#N/A Requesting Data...4149463911</v>
        <stp/>
        <stp>BDP|16499524695588160545</stp>
        <tr r="C178" s="89"/>
      </tp>
      <tp t="s">
        <v>#N/A Requesting Data...4126466490</v>
        <stp/>
        <stp>BDP|13561760801782380171</stp>
        <tr r="AA17" s="2"/>
      </tp>
      <tp t="s">
        <v>#N/A Requesting Data...4027127184</v>
        <stp/>
        <stp>BDP|13856641820218803820</stp>
        <tr r="AB13" s="1"/>
      </tp>
      <tp>
        <v>82.474999999999994</v>
        <stp/>
        <stp>BDP|2057497571936690391|22</stp>
        <stp>XLP Equity</stp>
        <stp>LAST_PRICE</stp>
        <tr r="I36" s="1"/>
      </tp>
      <tp t="s">
        <v>#N/A N/A</v>
        <stp/>
        <stp>BDH|16165484098708891415</stp>
        <tr r="AR13" s="338"/>
      </tp>
      <tp t="s">
        <v>#N/A N/A</v>
        <stp/>
        <stp>BDH|13907727972663598779</stp>
        <tr r="AN35" s="338"/>
        <tr r="AN14" s="338"/>
      </tp>
      <tp t="e">
        <v>#N/A</v>
        <stp/>
        <stp>BDH|14841814459759862757</stp>
        <tr r="W19" s="252"/>
        <tr r="T19" s="252"/>
      </tp>
      <tp t="s">
        <v>#N/A N/A</v>
        <stp/>
        <stp>BDH|16116197246917024326</stp>
        <tr r="AS30" s="338"/>
      </tp>
      <tp t="e">
        <v>#N/A</v>
        <stp/>
        <stp>BDH|17663640529772248671</stp>
        <tr r="J15" s="252"/>
      </tp>
      <tp>
        <v>86.08</v>
        <stp/>
        <stp>BDP|9722167412074972561|22</stp>
        <stp>MXCN Index</stp>
        <stp>LAST_PRICE</stp>
        <tr r="H17" s="252"/>
        <tr r="H17" s="252"/>
      </tp>
      <tp>
        <v>-0.2616807222366333</v>
        <stp/>
        <stp>BDP|18418713240494206607|22</stp>
        <stp>MRVL US 03/20/26 P75 Equity</stp>
        <stp>DELTA_MID_RT</stp>
        <tr r="AF19" s="2"/>
      </tp>
      <tp>
        <v>0.32</v>
        <stp/>
        <stp>BDP|9219352217858311461|22</stp>
        <stp>NFLX US 03/20/26 C105 Equity</stp>
        <stp>bid</stp>
        <tr r="K186" s="89"/>
      </tp>
      <tp>
        <v>11.45</v>
        <stp/>
        <stp>BDP|8554484547271150911|22</stp>
        <stp>META US 04/17/26 C750 Equity</stp>
        <stp>ask</stp>
        <tr r="L169" s="89"/>
      </tp>
      <tp t="s">
        <v>#N/A Requesting Data...4205431588</v>
        <stp/>
        <stp>BDP|16351185019962298098</stp>
        <tr r="T7" s="89"/>
        <tr r="AA13" s="2"/>
      </tp>
      <tp t="s">
        <v>#N/A Requesting Data...3936906735</v>
        <stp/>
        <stp>BDP|17506313141244542095</stp>
        <tr r="O55" s="89"/>
        <tr r="T6" s="2"/>
      </tp>
      <tp t="s">
        <v>#N/A Requesting Data...3442726626</v>
        <stp/>
        <stp>BDP|12194689278231069699</stp>
        <tr r="AI12" s="1"/>
      </tp>
      <tp t="s">
        <v>#N/A N/A</v>
        <stp/>
        <stp>BDP|15839339977736656325</stp>
        <tr r="AB7" s="89"/>
        <tr r="AB8" s="89"/>
        <tr r="AQ13" s="2"/>
      </tp>
      <tp t="s">
        <v>#N/A Requesting Data...4036579248</v>
        <stp/>
        <stp>BDP|10441895032989795603</stp>
        <tr r="AI11" s="338"/>
      </tp>
      <tp t="s">
        <v>#N/A Requesting Data...4109299011</v>
        <stp/>
        <stp>BDP|14441106816594061499</stp>
        <tr r="C123" s="89"/>
      </tp>
      <tp t="s">
        <v>#N/A Requesting Data...2952297989</v>
        <stp/>
        <stp>BDP|12860442788122732887</stp>
        <tr r="E6" s="2"/>
      </tp>
      <tp t="s">
        <v>#N/A Requesting Data...2903448356</v>
        <stp/>
        <stp>BDP|16150678046234374495</stp>
        <tr r="T37" s="338"/>
      </tp>
      <tp t="s">
        <v>#N/A Requesting Data...3661676446</v>
        <stp/>
        <stp>BDP|11019717141062892428</stp>
        <tr r="D222" s="89"/>
      </tp>
      <tp t="s">
        <v>#N/A Requesting Data...3303817108</v>
        <stp/>
        <stp>BDP|15887487297509862523</stp>
        <tr r="T196" s="89"/>
      </tp>
      <tp t="s">
        <v>#N/A Requesting Data...4120283136</v>
        <stp/>
        <stp>BDP|11174255088816885991</stp>
        <tr r="AA13" s="89"/>
        <tr r="Z13" s="89"/>
      </tp>
      <tp t="s">
        <v>#N/A Requesting Data...3655637645</v>
        <stp/>
        <stp>BDP|13677881495424052263</stp>
        <tr r="V46" s="338"/>
      </tp>
      <tp t="s">
        <v>#N/A Requesting Data...3089542119</v>
        <stp/>
        <stp>BDP|17810208191751672937</stp>
        <tr r="U53" s="338"/>
      </tp>
      <tp t="s">
        <v>#N/A Requesting Data...2511508366</v>
        <stp/>
        <stp>BDP|13362587002474685639</stp>
        <tr r="G33" s="446"/>
      </tp>
      <tp t="s">
        <v>#N/A Requesting Data...3764592147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N/A</v>
        <stp/>
        <stp>BDP|14272693252150638305</stp>
        <tr r="Q29" s="338"/>
      </tp>
      <tp t="s">
        <v>#N/A Requesting Data...3969791640</v>
        <stp/>
        <stp>BDP|10953387444814317799</stp>
        <tr r="S18" s="252"/>
      </tp>
      <tp t="s">
        <v>#N/A Requesting Data...3563967810</v>
        <stp/>
        <stp>BDP|16095389787508071105</stp>
        <tr r="V11" s="338"/>
      </tp>
      <tp t="s">
        <v>#N/A Requesting Data...3197009394</v>
        <stp/>
        <stp>BDP|11580587764812660407</stp>
        <tr r="P48" s="338"/>
      </tp>
      <tp t="s">
        <v>#N/A Requesting Data...3224635078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Data...3020729265</v>
        <stp/>
        <stp>BDP|15878521351180442107</stp>
        <tr r="D109" s="89"/>
      </tp>
      <tp>
        <v>25627.25</v>
        <stp/>
        <stp>BDP|5100640861095501669|22</stp>
        <stp>1OH6 Index</stp>
        <stp>LAST_PRICE</stp>
        <tr r="I15" s="1"/>
        <tr r="Z4" s="2"/>
        <tr r="S153" s="89"/>
        <tr r="S154" s="89"/>
        <tr r="Z5" s="2"/>
      </tp>
      <tp t="s">
        <v>#N/A Requesting Data...2666960906</v>
        <stp/>
        <stp>BDP|13970059459100158254</stp>
        <tr r="T222" s="89"/>
        <tr r="AA9" s="2"/>
      </tp>
      <tp t="s">
        <v>#N/A Requesting Data...3079150513</v>
        <stp/>
        <stp>BDP|10930560316549062982</stp>
        <tr r="C160" s="89"/>
      </tp>
      <tp t="s">
        <v>#N/A Requesting Data...2896591170</v>
        <stp/>
        <stp>BDP|17624673723155105222</stp>
        <tr r="AB35" s="1"/>
      </tp>
      <tp t="s">
        <v>#N/A N/A</v>
        <stp/>
        <stp>BDP|15878042315295832504</stp>
        <tr r="E15" s="2"/>
      </tp>
      <tp t="s">
        <v>#N/A N/A</v>
        <stp/>
        <stp>BDP|11601187203975998150</stp>
        <tr r="Q50" s="338"/>
      </tp>
      <tp t="s">
        <v>#N/A N/A</v>
        <stp/>
        <stp>BDP|12562415073000019571</stp>
        <tr r="O234" s="89"/>
      </tp>
      <tp t="s">
        <v>#N/A Requesting Data...3029281468</v>
        <stp/>
        <stp>BDP|16023917640776957980</stp>
        <tr r="AI11" s="338"/>
        <tr r="AK11" s="338"/>
      </tp>
      <tp t="s">
        <v>#N/A Requesting Data...3356029279</v>
        <stp/>
        <stp>BDP|14437871301241284935</stp>
        <tr r="AJ36" s="338"/>
      </tp>
      <tp t="s">
        <v>#N/A Requesting Data...2872317205</v>
        <stp/>
        <stp>BDP|11214745035248274920</stp>
        <tr r="V32" s="338"/>
      </tp>
      <tp t="s">
        <v>#N/A Requesting Data...3624889636</v>
        <stp/>
        <stp>BDP|12168490429210433067</stp>
        <tr r="T170" s="89"/>
        <tr r="T179" s="89"/>
        <tr r="AA14" s="2"/>
      </tp>
      <tp t="s">
        <v>#N/A Requesting Data...3905025477</v>
        <stp/>
        <stp>BDP|11625676250200786659</stp>
        <tr r="T32" s="338"/>
      </tp>
      <tp t="s">
        <v>#N/A Requesting Data...3784235122</v>
        <stp/>
        <stp>BDP|13296159244091423359</stp>
        <tr r="P29" s="338"/>
      </tp>
      <tp t="s">
        <v>#N/A N/A</v>
        <stp/>
        <stp>BDP|18042899846108511886</stp>
        <tr r="AB237" s="89"/>
      </tp>
      <tp t="s">
        <v>#N/A Requesting Data...2848525911</v>
        <stp/>
        <stp>BDP|10190934152880793852</stp>
        <tr r="X52" s="338"/>
      </tp>
      <tp t="s">
        <v>#N/A Requesting Data...3872726523</v>
        <stp/>
        <stp>BDP|14059396921424230587</stp>
        <tr r="AF31" s="1"/>
        <tr r="AF30" s="1"/>
        <tr r="AF14" s="338"/>
        <tr r="AF35" s="338"/>
      </tp>
      <tp t="s">
        <v>#N/A Requesting Data...4188338907</v>
        <stp/>
        <stp>BDP|12679894611876997952</stp>
        <tr r="S44" s="338"/>
      </tp>
      <tp t="s">
        <v>#N/A Requesting Data...3620312529</v>
        <stp/>
        <stp>BDP|12362248812136683317</stp>
        <tr r="AR7" s="2"/>
      </tp>
      <tp t="s">
        <v>#N/A Requesting Data...4051204531</v>
        <stp/>
        <stp>BDP|15308638561242100355</stp>
        <tr r="V203" s="89"/>
      </tp>
      <tp t="s">
        <v>#N/A Requesting Data...4060418364</v>
        <stp/>
        <stp>BDP|17956776735294864366</stp>
        <tr r="E145" s="89"/>
      </tp>
      <tp t="s">
        <v>#N/A Requesting Data...2634078792</v>
        <stp/>
        <stp>BDP|13164210523337526031</stp>
        <tr r="E89" s="89"/>
      </tp>
      <tp t="s">
        <v>#N/A Requesting Data...3945909993</v>
        <stp/>
        <stp>BDP|10130888374289856216</stp>
        <tr r="U13" s="338"/>
      </tp>
      <tp t="s">
        <v>#N/A Requesting Data...2614322291</v>
        <stp/>
        <stp>BDP|11025769754705706214</stp>
        <tr r="V40" s="89"/>
      </tp>
      <tp t="s">
        <v>#N/A Requesting Data...2817346848</v>
        <stp/>
        <stp>BDP|12072061123567199335</stp>
        <tr r="X16" s="338"/>
        <tr r="X38" s="338"/>
      </tp>
      <tp t="s">
        <v>#N/A Requesting Data...2589975638</v>
        <stp/>
        <stp>BDP|10337841861653211939</stp>
        <tr r="AB34" s="1"/>
        <tr r="F14" s="446"/>
      </tp>
      <tp t="s">
        <v>#N/A N/A</v>
        <stp/>
        <stp>BDP|16670108832104686450</stp>
        <tr r="E237" s="89"/>
      </tp>
      <tp t="s">
        <v>#N/A Requesting Data...2708901167</v>
        <stp/>
        <stp>BDP|13510264833692721404</stp>
        <tr r="U49" s="338"/>
      </tp>
      <tp t="s">
        <v>#N/A Requesting Data...3246383018</v>
        <stp/>
        <stp>BDP|10643918097663219742</stp>
        <tr r="T17" s="2"/>
      </tp>
      <tp t="s">
        <v>#N/A Requesting Data...2837613629</v>
        <stp/>
        <stp>BDP|11243430201469561835</stp>
        <tr r="AI28" s="1"/>
      </tp>
      <tp t="s">
        <v>#N/A N/A</v>
        <stp/>
        <stp>BDH|12236138810445246363</stp>
        <tr r="AP36" s="338"/>
      </tp>
      <tp t="s">
        <v>#N/A N/A</v>
        <stp/>
        <stp>BDH|15710137241225901193</stp>
        <tr r="AR18" s="338"/>
      </tp>
      <tp t="e">
        <v>#N/A</v>
        <stp/>
        <stp>BDH|14787871165809047737</stp>
        <tr r="J10" s="252"/>
      </tp>
      <tp t="s">
        <v>#N/A N/A</v>
        <stp/>
        <stp>BDH|16083874320651230939</stp>
        <tr r="AU38" s="338"/>
        <tr r="AU52" s="338"/>
        <tr r="AU16" s="338"/>
        <tr r="AU39" s="338"/>
        <tr r="AU44" s="338"/>
        <tr r="AU17" s="338"/>
        <tr r="AU15" s="338"/>
      </tp>
      <tp>
        <v>0.50853288173675537</v>
        <stp/>
        <stp>BDP|15535820108478663496|22</stp>
        <stp>COPX US 04/17/26 C85 Equity</stp>
        <stp>DELTA_MID_RT</stp>
        <tr r="W33" s="89"/>
      </tp>
      <tp>
        <v>29.15</v>
        <stp/>
        <stp>BDP|7023975285926683061|22</stp>
        <stp>MSFT US 03/20/26 P465 Equity</stp>
        <stp>bid</stp>
        <tr r="P22" s="2"/>
      </tp>
      <tp t="s">
        <v>#N/A Requesting Data...3017997240</v>
        <stp/>
        <stp>BDP|10508197528283416594</stp>
        <tr r="X48" s="338"/>
      </tp>
      <tp t="s">
        <v>#N/A N/A</v>
        <stp/>
        <stp>BDP|10976567873595722239</stp>
        <tr r="AV25" s="2"/>
        <tr r="AV26" s="2"/>
        <tr r="AV27" s="2"/>
        <tr r="R13" s="89"/>
        <tr r="R19" s="89"/>
        <tr r="R20" s="89"/>
        <tr r="R195" s="89"/>
        <tr r="R196" s="89"/>
        <tr r="R197" s="89"/>
        <tr r="R14" s="89"/>
      </tp>
      <tp t="s">
        <v>#N/A Requesting Data...3144242177</v>
        <stp/>
        <stp>BDP|15688066863846340087</stp>
        <tr r="D28" s="446"/>
      </tp>
      <tp t="s">
        <v>#N/A Requesting Data...3620918352</v>
        <stp/>
        <stp>BDP|10174366559095309654</stp>
        <tr r="Z137" s="89"/>
        <tr r="AA137" s="89"/>
      </tp>
      <tp t="s">
        <v>#N/A Requesting Data...2808689542</v>
        <stp/>
        <stp>BDP|10361349057583872009</stp>
        <tr r="V39" s="89"/>
      </tp>
      <tp t="s">
        <v>#N/A Requesting Data...2952665516</v>
        <stp/>
        <stp>BDP|15767057305588506896</stp>
        <tr r="AH10" s="338"/>
        <tr r="AH11" s="338"/>
        <tr r="AH33" s="338"/>
      </tp>
      <tp t="s">
        <v>#N/A Requesting Data...3977194253</v>
        <stp/>
        <stp>BDP|12598914732268945550</stp>
        <tr r="E10" s="1"/>
      </tp>
      <tp t="s">
        <v>#N/A Requesting Data...3568911541</v>
        <stp/>
        <stp>BDP|15320520678352516068</stp>
        <tr r="O82" s="89"/>
      </tp>
      <tp t="s">
        <v>#N/A Requesting Data...3846801922</v>
        <stp/>
        <stp>BDP|10946231384896009942</stp>
        <tr r="N15" s="252"/>
        <tr r="N15" s="252"/>
      </tp>
      <tp t="s">
        <v>#N/A Requesting Data...2720706641</v>
        <stp/>
        <stp>BDP|11098096253680456149</stp>
        <tr r="P16" s="338"/>
        <tr r="P38" s="338"/>
      </tp>
      <tp t="s">
        <v>#N/A Requesting Data...3831381035</v>
        <stp/>
        <stp>BDP|12490577043850363694</stp>
        <tr r="C170" s="89"/>
        <tr r="C179" s="89"/>
        <tr r="D14" s="2"/>
      </tp>
      <tp t="s">
        <v>#N/A Requesting Data...4143851879</v>
        <stp/>
        <stp>BDP|10787623999933097918</stp>
        <tr r="L10" s="252"/>
        <tr r="L10" s="252"/>
      </tp>
      <tp t="s">
        <v>#N/A N/A</v>
        <stp/>
        <stp>BDP|11058104458291595108</stp>
        <tr r="AA33" s="89"/>
        <tr r="Z33" s="89"/>
      </tp>
      <tp t="s">
        <v>#N/A Requesting Data...2675293823</v>
        <stp/>
        <stp>BDP|15872646771885299421</stp>
        <tr r="F16" s="446"/>
      </tp>
      <tp t="s">
        <v>#N/A Requesting Data...2723431091</v>
        <stp/>
        <stp>BDP|17220718142881835059</stp>
        <tr r="F14" s="252"/>
      </tp>
      <tp t="s">
        <v>#N/A Requesting Data...3138533807</v>
        <stp/>
        <stp>BDP|11918335078837659785</stp>
        <tr r="Z204" s="89"/>
        <tr r="AA204" s="89"/>
      </tp>
      <tp t="s">
        <v>#N/A Requesting Data...2985955450</v>
        <stp/>
        <stp>BDP|12558430699342487846</stp>
        <tr r="E187" s="89"/>
      </tp>
      <tp t="s">
        <v>#N/A Requesting Data...3146105466</v>
        <stp/>
        <stp>BDP|15051140014688420859</stp>
        <tr r="AC12" s="1"/>
      </tp>
      <tp t="s">
        <v>#N/A Requesting Data...4223652659</v>
        <stp/>
        <stp>BDP|11160692723917345791</stp>
        <tr r="C169" s="89"/>
      </tp>
      <tp t="s">
        <v>#N/A Requesting Data...3220327668</v>
        <stp/>
        <stp>BDP|13738518813242630024</stp>
        <tr r="U55" s="338"/>
      </tp>
      <tp t="s">
        <v>#N/A Requesting Data...2776038272</v>
        <stp/>
        <stp>BDP|16068368952433220674</stp>
        <tr r="D145" s="89"/>
      </tp>
      <tp t="s">
        <v>#N/A Requesting Data...4090853017</v>
        <stp/>
        <stp>BDP|10646909745071508967</stp>
        <tr r="T39" s="89"/>
      </tp>
      <tp t="s">
        <v>#N/A Requesting Data...3053140678</v>
        <stp/>
        <stp>BDP|12804773501081882168</stp>
        <tr r="AA39" s="89"/>
        <tr r="Z39" s="89"/>
      </tp>
      <tp t="s">
        <v>#N/A Requesting Data...3605083842</v>
        <stp/>
        <stp>BDP|10830522917212474394</stp>
        <tr r="M6" s="252"/>
      </tp>
      <tp t="s">
        <v>#N/A Requesting Data...2715449832</v>
        <stp/>
        <stp>BDP|13449047331402957787</stp>
        <tr r="F19" s="2"/>
      </tp>
      <tp t="s">
        <v>#N/A Requesting Data...4122361288</v>
        <stp/>
        <stp>BDP|14342024613619901985</stp>
        <tr r="F32" s="446"/>
      </tp>
      <tp t="s">
        <v>#N/A Requesting Data...2869561337</v>
        <stp/>
        <stp>BDP|17882539857607640595</stp>
        <tr r="AG54" s="338"/>
      </tp>
      <tp t="s">
        <v>#N/A Requesting Data...2785952845</v>
        <stp/>
        <stp>BDP|13450917922399223467</stp>
        <tr r="G34" s="446"/>
      </tp>
      <tp t="s">
        <v>#N/A Requesting Data...3608666689</v>
        <stp/>
        <stp>BDP|12142735374617755031</stp>
        <tr r="AG13" s="1"/>
      </tp>
      <tp t="s">
        <v>#N/A Requesting Data...2648524446</v>
        <stp/>
        <stp>BDP|12540520710212521104</stp>
        <tr r="AC16" s="1"/>
      </tp>
      <tp t="s">
        <v>#N/A Requesting Data...4045947895</v>
        <stp/>
        <stp>BDP|10511277652532461062</stp>
        <tr r="Z90" s="89"/>
        <tr r="AA90" s="89"/>
      </tp>
      <tp t="s">
        <v>#N/A Requesting Data...4035458188</v>
        <stp/>
        <stp>BDP|14655831860859350630</stp>
        <tr r="L13" s="338"/>
        <tr r="J13" s="338"/>
      </tp>
      <tp t="s">
        <v>#N/A Requesting Data...3435734774</v>
        <stp/>
        <stp>BDP|12932290900667287274</stp>
        <tr r="AR14" s="2"/>
      </tp>
      <tp t="s">
        <v>#N/A Requesting Data...3219715771</v>
        <stp/>
        <stp>BDP|18269255641489268206</stp>
        <tr r="AC27" s="1"/>
      </tp>
      <tp t="s">
        <v>#N/A Requesting Data...3549104148</v>
        <stp/>
        <stp>BDP|15660791077340487089</stp>
        <tr r="E1" s="1"/>
        <tr r="K28" s="1"/>
      </tp>
      <tp t="s">
        <v>#N/A Requesting Data...3573120681</v>
        <stp/>
        <stp>BDP|10749732335826116771</stp>
        <tr r="D224" s="89"/>
      </tp>
      <tp t="s">
        <v>#N/A Requesting Data...2897124328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Data...3963897069</v>
        <stp/>
        <stp>BDP|11838573161432005595</stp>
        <tr r="C187" s="89"/>
      </tp>
      <tp t="s">
        <v>#N/A Requesting Data...3409888933</v>
        <stp/>
        <stp>BDP|17114611528944869260</stp>
        <tr r="AI12" s="338"/>
        <tr r="AK12" s="338"/>
      </tp>
      <tp t="s">
        <v>#N/A Requesting Data...3223858033</v>
        <stp/>
        <stp>BDP|14505061934744038618</stp>
        <tr r="AB2" s="1"/>
      </tp>
      <tp t="s">
        <v>#N/A Requesting Data...2817299328</v>
        <stp/>
        <stp>BDP|11370170641465778442</stp>
        <tr r="O170" s="89"/>
        <tr r="O179" s="89"/>
        <tr r="T14" s="2"/>
      </tp>
      <tp t="e">
        <v>#N/A</v>
        <stp/>
        <stp>BDH|14131773964710507045</stp>
        <tr r="J9" s="252"/>
      </tp>
      <tp t="s">
        <v>#N/A N/A</v>
        <stp/>
        <stp>BDH|10901401178410647624</stp>
        <tr r="AN37" s="338"/>
      </tp>
      <tp t="s">
        <v>#N/A N/A</v>
        <stp/>
        <stp>BDH|13770647542471104574</stp>
        <tr r="AS9" s="338"/>
      </tp>
      <tp t="s">
        <v>#N/A N/A</v>
        <stp/>
        <stp>BDH|12024050851456581481</stp>
        <tr r="AU36" s="338"/>
        <tr r="AU34" s="338"/>
        <tr r="AP51" s="338"/>
        <tr r="AU37" s="338"/>
        <tr r="AU35" s="338"/>
        <tr r="AP50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15001.29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271.47000000000003</v>
        <stp/>
        <stp>BDP|7062867511992634566|22</stp>
        <stp>IWM EQUITY</stp>
        <stp>LAST_PRICE</stp>
        <tr r="I8" s="1"/>
      </tp>
      <tp>
        <v>-0.23291397094726563</v>
        <stp/>
        <stp>BDP|16965813729943912763|22</stp>
        <stp>META US 04/17/26 C690 Equity</stp>
        <stp>theta_mid_rt</stp>
        <tr r="AN14" s="2"/>
      </tp>
      <tp>
        <v>33.715000000000003</v>
        <stp/>
        <stp>BDP|16778716474861008512|22</stp>
        <stp>ASHR US Equity</stp>
        <stp>LAST_PRICE</stp>
        <tr r="Z8" s="2"/>
      </tp>
      <tp>
        <v>-0.22907163202762604</v>
        <stp/>
        <stp>BDP|14334277381563954133|22</stp>
        <stp>META US 04/17/26 P600 Equity</stp>
        <stp>theta_mid_rt</stp>
        <tr r="AN16" s="2"/>
      </tp>
      <tp>
        <v>0.90913897752761841</v>
        <stp/>
        <stp>BDP|7693333295143193813|22</stp>
        <stp>TSM US 01/16/26 C335 Equity</stp>
        <stp>DELTA_MID_RT</stp>
        <tr r="W195" s="89"/>
      </tp>
      <tp>
        <v>755000</v>
        <stp/>
        <stp>BDP|5584348829070198606|22</stp>
        <stp>000660 KP Equity</stp>
        <stp>LAST_PRICE</stp>
        <tr r="I24" s="1"/>
      </tp>
      <tp>
        <v>218.33</v>
        <stp/>
        <stp>BDP|14695328540844976221|22</stp>
        <stp>GSENEPOW Equity</stp>
        <stp>LAST PRICE</stp>
        <tr r="G41" s="338"/>
        <tr r="G42" s="338"/>
      </tp>
      <tp>
        <v>-0.31959220767021179</v>
        <stp/>
        <stp>BDP|881815071269395294|22</stp>
        <stp>META US 04/17/26 P600 Equity</stp>
        <stp>DELTA_MID_RT</stp>
        <tr r="AF16" s="2"/>
        <tr r="W180" s="89"/>
      </tp>
      <tp t="s">
        <v>USD</v>
        <stp/>
        <stp>BDP|6421761568142439777|22</stp>
        <stp>NVDA US 07/17/26 C200 Equity</stp>
        <stp>QUOTED_CURRENCY_REALTIME</stp>
        <tr r="F237" s="89"/>
      </tp>
      <tp t="s">
        <v>#N/A Real Time</v>
        <stp/>
        <stp>BDP|4480144096505489759|22</stp>
        <stp>MRYWZ4C4 2390 Index</stp>
        <stp>DELTA_MID_RT</stp>
        <tr r="W129" s="89"/>
      </tp>
      <tp>
        <v>1379.35</v>
        <stp/>
        <stp>BDP|15490560954416168559|22</stp>
        <stp>ASML US Equity</stp>
        <stp>LAST_PRICE</stp>
        <tr r="S49" s="89"/>
        <tr r="S50" s="89"/>
      </tp>
      <tp t="s">
        <v>#N/A Real Time</v>
        <stp/>
        <stp>BDP|8671606719947634072|22</stp>
        <stp>4EM5P    6025 Index</stp>
        <stp>DELTA_MID_RT</stp>
        <tr r="W137" s="89"/>
      </tp>
      <tp>
        <v>-2.6179999113082886E-3</v>
        <stp/>
        <stp>BDP|3861495059700349310|22</stp>
        <stp>TSM US 01/16/26 P315 Equity</stp>
        <stp>DELTA_MID_RT</stp>
        <tr r="W197" s="89"/>
      </tp>
      <tp>
        <v>-0.68529897928237915</v>
        <stp/>
        <stp>BDP|8369518914882815880|22</stp>
        <stp>QQQ US 01/15/26 P623 Equity</stp>
        <stp>DELTA_MID_RT</stp>
        <tr r="W68" s="89"/>
      </tp>
      <tp>
        <v>104.71</v>
        <stp/>
        <stp>BDP|828808174050573795|22</stp>
        <stp>GDX US Equity</stp>
        <stp>LAST_PRICE</stp>
        <tr r="Z11" s="2"/>
        <tr r="Z12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330.52</v>
        <stp/>
        <stp>BDP|17019897193923426340|22</stp>
        <stp>AVGO US Equity</stp>
        <stp>LAST_PRICE</stp>
        <tr r="Z9" s="2"/>
        <tr r="Z10" s="2"/>
        <tr r="S222" s="89"/>
        <tr r="S22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>
        <v>-1.6759784892201424E-2</v>
        <stp/>
        <stp>BDP|4936585278190549239|22</stp>
        <stp>QQQ US 01/21/26 P614 Equity</stp>
        <stp>DELTA_MID_RT</stp>
        <tr r="W82" s="89"/>
      </tp>
      <tp t="s">
        <v>#N/A Real Time</v>
        <stp/>
        <stp>BDP|16831399122066681226|22</stp>
        <stp>RTYWU5C3 2500 Index</stp>
        <stp>bid</stp>
        <tr r="K145" s="89"/>
      </tp>
      <tp>
        <v>403.23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63.12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>
        <v>0.20053425431251526</v>
        <stp/>
        <stp>BDP|3530608701148378750|22</stp>
        <stp>QQQ US 01/26/26 C627 Equity</stp>
        <stp>DELTA_MID_RT</stp>
        <tr r="W212" s="89"/>
      </tp>
      <tp t="s">
        <v>#N/A Requesting Data...3543157351</v>
        <stp/>
        <stp>BDP|3297967097008051</stp>
        <tr r="AA223" s="89"/>
        <tr r="Z223" s="89"/>
      </tp>
      <tp>
        <v>-0.19465157389640808</v>
        <stp/>
        <stp>BDP|12672802728808900930|22</stp>
        <stp>META US 04/17/26 P570 Equity</stp>
        <stp>theta_mid_rt</stp>
        <tr r="AN17" s="2"/>
      </tp>
      <tp>
        <v>325.61</v>
        <stp/>
        <stp>BDP|4205875099267338750|22</stp>
        <stp>V Equity</stp>
        <stp>LAST PRICE</stp>
        <tr r="G15" s="338"/>
        <tr r="G39" s="338"/>
        <tr r="I40" s="338"/>
      </tp>
      <tp>
        <v>332.44</v>
        <stp/>
        <stp>BDP|5454315708850008901|22</stp>
        <stp>TSM EQUITY</stp>
        <stp>LAST_PRICE</stp>
        <tr r="C3" s="1"/>
      </tp>
      <tp>
        <v>-0.7847558856010437</v>
        <stp/>
        <stp>BDP|15792950336144286205|22</stp>
        <stp>LITE US 02/20/26 C400 Equity</stp>
        <stp>theta_mid_rt</stp>
        <tr r="AN13" s="2"/>
      </tp>
      <tp t="s">
        <v>USD</v>
        <stp/>
        <stp>BDP|5718330705965420367|22</stp>
        <stp>AVGO US 06/18/26 P300 Equity</stp>
        <stp>QUOTED_CURRENCY_REALTIME</stp>
        <tr r="F224" s="89"/>
      </tp>
      <tp>
        <v>1.45</v>
        <stp/>
        <stp>BDP|14260081003556741121|22</stp>
        <stp>EWT US 01/16/26 C66.2 Equity</stp>
        <stp>ask</stp>
        <tr r="L178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489.36799999999999</v>
        <stp/>
        <stp>BDP|15828492879202900921|22</stp>
        <stp>SNDK US Equity</stp>
        <stp>LAST_PRICE</stp>
        <tr r="Z23" s="2"/>
        <tr r="Z24" s="2"/>
      </tp>
      <tp>
        <v>321.39</v>
        <stp/>
        <stp>BDP|14680776317739946594|22</stp>
        <stp>AMAT US Equity</stp>
        <stp>LAST_PRICE</stp>
        <tr r="Z6" s="2"/>
        <tr r="Z7" s="2"/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-0.23833346366882324</v>
        <stp/>
        <stp>BDP|7770981328006744750|22</stp>
        <stp>QQQ US 01/23/26 P615 Equity</stp>
        <stp>DELTA_MID_RT</stp>
        <tr r="W75" s="89"/>
      </tp>
      <tp t="s">
        <v>USD</v>
        <stp/>
        <stp>BDP|3136129985130948796|22</stp>
        <stp>MSFT US 07/17/26 C465 Equity</stp>
        <stp>QUOTED_CURRENCY_REALTIME</stp>
        <tr r="F235" s="89"/>
      </tp>
      <tp t="s">
        <v>USD</v>
        <stp/>
        <stp>BDP|8789910064232569805|22</stp>
        <stp>AMAT US 01/23/26 P290 Equity</stp>
        <stp>QUOTED_CURRENCY_REALTIME</stp>
        <tr r="F55" s="89"/>
        <tr r="G6" s="2"/>
      </tp>
      <tp>
        <v>-5.5841457098722458E-2</v>
        <stp/>
        <stp>BDP|15158621682476696755|22</stp>
        <stp>MRVL US 03/20/26 P75 Equity</stp>
        <stp>theta_mid_rt</stp>
        <tr r="AN19" s="2"/>
      </tp>
      <tp>
        <v>26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233" s="89"/>
        <tr r="G15" s="2"/>
      </tp>
      <tp t="s">
        <v>USD</v>
        <stp/>
        <stp>BDP|12646934507024855207|22</stp>
        <stp>QQQ US 01/26/26 C627 Equity</stp>
        <stp>QUOTED_CURRENCY_REALTIME</stp>
        <tr r="F212" s="89"/>
      </tp>
      <tp t="s">
        <v>USD</v>
        <stp/>
        <stp>BDP|5793744081546209980|22</stp>
        <stp>META US 04/17/26 C690 Equity</stp>
        <stp>QUOTED_CURRENCY_REALTIME</stp>
        <tr r="F170" s="89"/>
        <tr r="F179" s="89"/>
        <tr r="G14" s="2"/>
      </tp>
      <tp t="s">
        <v>#N/A Real Time</v>
        <stp/>
        <stp>BDP|4903616747917947670|22</stp>
        <stp>SCH5C   6200 Index</stp>
        <stp>DELTA_MID_RT</stp>
        <tr r="W101" s="89"/>
      </tp>
      <tp>
        <v>0.49148866534233093</v>
        <stp/>
        <stp>BDP|4155313352666840768|22</stp>
        <stp>GDX US 09/18/26 C115 Equity</stp>
        <stp>DELTA_MID_RT</stp>
        <tr r="AF12" s="2"/>
      </tp>
      <tp t="s">
        <v>#N/A Invalid Security</v>
        <stp/>
        <stp>BDP|4149584775528543730|22</stp>
        <stp xml:space="preserve"> Equity</stp>
        <stp>ask</stp>
        <tr r="Q2" s="2"/>
      </tp>
      <tp>
        <v>387.18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15.1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BDP|3970030095933477348|22</stp>
        <stp>LITE US 02/20/26 C400 Equity</stp>
        <stp>QUOTED_CURRENCY_REALTIME</stp>
        <tr r="F7" s="89"/>
        <tr r="G13" s="2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27" s="2"/>
      </tp>
      <tp t="s">
        <v>#N/A Real Time</v>
        <stp/>
        <stp>BDP|4377385755401510832|22</stp>
        <stp>RFSWZ4C3 2360 Index</stp>
        <stp>DELTA_MID_RT</stp>
        <tr r="W122" s="89"/>
      </tp>
      <tp>
        <v>-0.98821121454238892</v>
        <stp/>
        <stp>BDP|13378953386459094086|22</stp>
        <stp>SNDK US 02/20/26 C550 Equity</stp>
        <stp>theta_mid_rt</stp>
        <tr r="AN24" s="2"/>
      </tp>
      <tp t="s">
        <v>#N/A Real Time</v>
        <stp/>
        <stp>BDP|8704363037405218648|22</stp>
        <stp>3OF5C    22500 Index</stp>
        <stp>QUOTED_CURRENCY_REALTIME</stp>
        <tr r="F109" s="89"/>
      </tp>
      <tp>
        <v>-4.5524153858423233E-2</v>
        <stp/>
        <stp>BDP|16456111785153391042|22</stp>
        <stp>MRVL US 03/20/26 P70 Equity</stp>
        <stp>theta_mid_rt</stp>
        <tr r="AN21" s="2"/>
      </tp>
      <tp>
        <v>6058.4961000000003</v>
        <stp/>
        <stp>BDP|12063806539307343070|22</stp>
        <stp>H11137 Index</stp>
        <stp>LAST_PRICE</stp>
        <tr r="H13" s="252"/>
        <tr r="H13" s="252"/>
      </tp>
      <tp t="s">
        <v>USD</v>
        <stp/>
        <stp>BDP|4713116799582805446|22</stp>
        <stp>1OG6P 25000 Index</stp>
        <stp>QUOTED_CURRENCY_REALTIME</stp>
        <tr r="F154" s="89"/>
        <tr r="G4" s="2"/>
        <tr r="G5" s="2"/>
      </tp>
      <tp>
        <v>235.07</v>
        <stp/>
        <stp>BDP|11431942920512482031|22</stp>
        <stp>AMZN US Equity</stp>
        <stp>LAST_PRICE</stp>
        <tr r="S234" s="89"/>
      </tp>
      <tp>
        <v>0.5918840765953064</v>
        <stp/>
        <stp>BDP|7447356985829106309|22</stp>
        <stp>GDX US 09/18/26 C105 Equity</stp>
        <stp>DELTA_MID_RT</stp>
        <tr r="AF11" s="2"/>
      </tp>
      <tp>
        <v>619.92999999999995</v>
        <stp/>
        <stp>BDP|360499996244621952|22</stp>
        <stp>QQQ US Equity</stp>
        <stp>LAST_PRICE</stp>
        <tr r="S68" s="89"/>
        <tr r="S69" s="89"/>
        <tr r="S75" s="89"/>
        <tr r="S76" s="89"/>
        <tr r="S81" s="89"/>
        <tr r="S203" s="89"/>
        <tr r="S204" s="89"/>
        <tr r="S205" s="89"/>
        <tr r="S211" s="89"/>
        <tr r="S212" s="89"/>
        <tr r="S213" s="89"/>
        <tr r="S82" s="89"/>
      </tp>
      <tp t="s">
        <v>USD</v>
        <stp/>
        <stp>BDP|4440794906767049796|22</stp>
        <stp>META US 04/17/26 P570 Equity</stp>
        <stp>QUOTED_CURRENCY_REALTIME</stp>
        <tr r="G17" s="2"/>
      </tp>
      <tp t="s">
        <v>#N/A Real Time</v>
        <stp/>
        <stp>BDP|15463751634066228508|22</stp>
        <stp>MRYWZ4C4 2390 Index</stp>
        <stp>ask</stp>
        <tr r="L129" s="89"/>
      </tp>
      <tp>
        <v>0.1</v>
        <stp/>
        <stp>BDP|7471545347057439094|22</stp>
        <stp>ASML US 01/23/26 P1200 Equity</stp>
        <stp>ask</stp>
        <tr r="L49" s="89"/>
      </tp>
      <tp>
        <v>636.4</v>
        <stp/>
        <stp>BDP|12884552599081678750|22</stp>
        <stp>META US Equity</stp>
        <stp>LAST_PRICE</stp>
        <tr r="Z14" s="2"/>
        <tr r="Z16" s="2"/>
        <tr r="Z17" s="2"/>
        <tr r="S169" s="89"/>
        <tr r="S170" s="89"/>
        <tr r="S171" s="89"/>
        <tr r="S179" s="89"/>
        <tr r="S233" s="89"/>
        <tr r="S180" s="89"/>
        <tr r="Z15" s="2"/>
      </tp>
      <tp>
        <v>82.45</v>
        <stp/>
        <stp>BDP|18303621184368417422|22</stp>
        <stp>COPX US Equity</stp>
        <stp>LAST_PRICE</stp>
        <tr r="S27" s="89"/>
        <tr r="S26" s="89"/>
        <tr r="S33" s="89"/>
        <tr r="S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-6.6219165921211243E-2</v>
        <stp/>
        <stp>BDP|12438727553717188638|22</stp>
        <stp>MRVL US 03/20/26 P85 Equity</stp>
        <stp>theta_mid_rt</stp>
        <tr r="AN18" s="2"/>
      </tp>
      <tp t="s">
        <v>#N/A N/A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F195" s="89"/>
      </tp>
      <tp t="s">
        <v>USD</v>
        <stp/>
        <stp>BDP|6391045500104896499|22</stp>
        <stp>LITE US 03/20/26 C420 Equity</stp>
        <stp>QUOTED_CURRENCY_REALTIME</stp>
        <tr r="F8" s="89"/>
      </tp>
      <tp>
        <v>96.28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</tp>
      <tp>
        <v>-0.11194682866334915</v>
        <stp/>
        <stp>BDP|16624195928833601507|22</stp>
        <stp>AMAT US 01/23/26 P290 Equity</stp>
        <stp>theta_mid_rt</stp>
        <tr r="AN6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619.92999999999995</v>
        <stp/>
        <stp>BDP|2689810960265066336|22</stp>
        <stp>QQQ EQUITY</stp>
        <stp>LAST_PRICE</stp>
        <tr r="I6" s="1"/>
      </tp>
      <tp t="s">
        <v>#N/A N/A</v>
        <stp/>
        <stp>BDP|4214645387735879332</stp>
        <tr r="Q18" s="338"/>
      </tp>
      <tp t="s">
        <v>#N/A Requesting Data...3595828770</v>
        <stp/>
        <stp>BDP|3970119255888163378</stp>
        <tr r="L14" s="338"/>
        <tr r="H14" s="338"/>
        <tr r="L35" s="338"/>
        <tr r="H35" s="338"/>
      </tp>
      <tp t="s">
        <v>#N/A Requesting Data...3169889588</v>
        <stp/>
        <stp>BDP|6079579929065496810</stp>
        <tr r="O17" s="252"/>
      </tp>
      <tp t="s">
        <v>#N/A Requesting Data...3047026177</v>
        <stp/>
        <stp>BDP|7892942422180160079</stp>
        <tr r="AF29" s="338"/>
        <tr r="AF30" s="338"/>
      </tp>
      <tp t="s">
        <v>#N/A Requesting Data...3549011454</v>
        <stp/>
        <stp>BDP|6533259563557371995</stp>
        <tr r="T23" s="2"/>
      </tp>
      <tp t="s">
        <v>#N/A Requesting Data...3166620389</v>
        <stp/>
        <stp>BDP|6875767680954769102</stp>
        <tr r="AR10" s="2"/>
      </tp>
      <tp t="s">
        <v>#N/A Requesting Data...3942597037</v>
        <stp/>
        <stp>BDP|7500005297250850236</stp>
        <tr r="K1" s="1"/>
      </tp>
      <tp t="s">
        <v>#N/A Requesting Data...2793265839</v>
        <stp/>
        <stp>BDP|7828562231434179977</stp>
        <tr r="G30" s="446"/>
      </tp>
      <tp t="s">
        <v>#N/A N/A</v>
        <stp/>
        <stp>BDH|8922168587365437850</stp>
        <tr r="AN45" s="338"/>
        <tr r="AN46" s="338"/>
        <tr r="AS47" s="338"/>
        <tr r="AS41" s="338"/>
        <tr r="AS51" s="338"/>
        <tr r="AS33" s="338"/>
        <tr r="AS31" s="338"/>
        <tr r="AN49" s="338"/>
      </tp>
      <tp t="s">
        <v>#N/A Requesting Data...3837382720</v>
        <stp/>
        <stp>BDP|5719360958046661910</stp>
        <tr r="U16" s="338"/>
        <tr r="U38" s="338"/>
      </tp>
      <tp t="s">
        <v>#N/A Requesting Data...3796181493</v>
        <stp/>
        <stp>BDP|8367283627072476679</stp>
        <tr r="AC28" s="1"/>
      </tp>
      <tp t="s">
        <v>#N/A Requesting Data...3617889330</v>
        <stp/>
        <stp>BDP|6021078455249412694</stp>
        <tr r="AJ37" s="338"/>
      </tp>
      <tp t="s">
        <v>#N/A Requesting Data...4228255669</v>
        <stp/>
        <stp>BDP|2116301475429922329</stp>
        <tr r="E205" s="89"/>
      </tp>
      <tp t="s">
        <v>#N/A Requesting Data...3433332794</v>
        <stp/>
        <stp>BDP|1166102887343177783</stp>
        <tr r="C69" s="89"/>
      </tp>
      <tp t="s">
        <v>#N/A Requesting Data...4052583376</v>
        <stp/>
        <stp>BDP|4596394917382492801</stp>
        <tr r="AF10" s="1"/>
      </tp>
      <tp t="s">
        <v>#N/A N/A</v>
        <stp/>
        <stp>BDH|3565399507665623928</stp>
        <tr r="AM51" s="338"/>
        <tr r="AR34" s="338"/>
        <tr r="AM50" s="338"/>
        <tr r="AR36" s="338"/>
        <tr r="AR35" s="338"/>
        <tr r="AR37" s="338"/>
      </tp>
      <tp t="s">
        <v>#N/A Requesting Data...3730844034</v>
        <stp/>
        <stp>BDP|6404917817581645389</stp>
        <tr r="O14" s="252"/>
      </tp>
      <tp t="s">
        <v>#N/A N/A</v>
        <stp/>
        <stp>BDP|8267476373493896423</stp>
        <tr r="K2" s="1"/>
      </tp>
      <tp t="s">
        <v>#N/A Requesting Data...3998327785</v>
        <stp/>
        <stp>BDP|4738998939235389797</stp>
        <tr r="F8" s="446"/>
      </tp>
      <tp t="s">
        <v>#N/A N/A</v>
        <stp/>
        <stp>BDP|2282995976142786289</stp>
        <tr r="AV9" s="2"/>
        <tr r="AV10" s="2"/>
        <tr r="R222" s="89"/>
        <tr r="R224" s="89"/>
        <tr r="R225" s="89"/>
        <tr r="R223" s="89"/>
      </tp>
      <tp t="s">
        <v>#N/A Requesting Data...2982383832</v>
        <stp/>
        <stp>BDP|8370148836023021531</stp>
        <tr r="AF32" s="1"/>
        <tr r="AF37" s="338"/>
      </tp>
      <tp t="s">
        <v>#N/A Requesting Data...4233039590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Data...3281179804</v>
        <stp/>
        <stp>BDP|3305717386224673419</stp>
        <tr r="AF25" s="1"/>
      </tp>
      <tp t="s">
        <v>#N/A Requesting Data...3942190837</v>
        <stp/>
        <stp>BDP|5270872678817673187</stp>
        <tr r="O13" s="252"/>
      </tp>
      <tp t="s">
        <v>#N/A Requesting Data...4022550740</v>
        <stp/>
        <stp>BDP|2737330982055463026</stp>
        <tr r="AG32" s="1"/>
      </tp>
      <tp t="s">
        <v>#N/A Requesting Data...3663299682</v>
        <stp/>
        <stp>BDP|3098041072779459130</stp>
        <tr r="E170" s="89"/>
        <tr r="E179" s="89"/>
      </tp>
      <tp t="s">
        <v>#N/A N/A</v>
        <stp/>
        <stp>BDP|2436159416629632700</stp>
        <tr r="O237" s="89"/>
      </tp>
      <tp t="s">
        <v>#N/A N/A</v>
        <stp/>
        <stp>BDP|3331016988720805736</stp>
        <tr r="T34" s="89"/>
      </tp>
      <tp t="s">
        <v>#N/A Requesting Data...3421447014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Data...3729735438</v>
        <stp/>
        <stp>BDP|5489377534060375922</stp>
        <tr r="T145" s="89"/>
      </tp>
      <tp t="s">
        <v>#N/A Requesting Data...3012753941</v>
        <stp/>
        <stp>BDP|7547135630721272822</stp>
        <tr r="T29" s="338"/>
      </tp>
      <tp t="s">
        <v>#N/A Requesting Data...2850923394</v>
        <stp/>
        <stp>BDP|9515949913399601436</stp>
        <tr r="G25" s="446"/>
      </tp>
      <tp t="s">
        <v>#N/A Requesting Data...3902053135</v>
        <stp/>
        <stp>BDP|4846675545659434390</stp>
        <tr r="E17" s="2"/>
      </tp>
      <tp t="s">
        <v>#N/A N/A</v>
        <stp/>
        <stp>BDH|9423184848671482178</stp>
        <tr r="AR52" s="338"/>
        <tr r="AR15" s="338"/>
        <tr r="AR44" s="338"/>
        <tr r="AR38" s="338"/>
        <tr r="AR39" s="338"/>
        <tr r="AR17" s="338"/>
        <tr r="AR16" s="338"/>
      </tp>
      <tp t="s">
        <v>#N/A Requesting Data...3875509805</v>
        <stp/>
        <stp>BDP|9712190854671951078</stp>
        <tr r="M16" s="252"/>
      </tp>
      <tp t="s">
        <v>#N/A Requesting Data...4024539025</v>
        <stp/>
        <stp>BDP|5511275398847971578</stp>
        <tr r="T45" s="338"/>
      </tp>
      <tp t="s">
        <v>#N/A N/A</v>
        <stp/>
        <stp>BDH|9074113275357059405</stp>
        <tr r="AN42" s="338"/>
        <tr r="AN41" s="338"/>
      </tp>
      <tp t="s">
        <v>#N/A N/A</v>
        <stp/>
        <stp>BDP|8968269476066878746</stp>
        <tr r="E234" s="89"/>
      </tp>
      <tp t="s">
        <v>#N/A Requesting Data...2980429627</v>
        <stp/>
        <stp>BDP|4040720881186658103</stp>
        <tr r="O178" s="89"/>
      </tp>
      <tp t="s">
        <v>#N/A N/A</v>
        <stp/>
        <stp>BDP|2458861742576609433</stp>
        <tr r="AC23" s="2"/>
        <tr r="AC24" s="2"/>
      </tp>
      <tp>
        <v>87.094999999999999</v>
        <stp/>
        <stp>BDP|7394371982457470369|22</stp>
        <stp>KBWB Equity</stp>
        <stp>LAST PRICE</stp>
        <tr r="G52" s="338"/>
        <tr r="G53" s="338"/>
        <tr r="G54" s="338"/>
      </tp>
      <tp>
        <v>0.42173320055007935</v>
        <stp/>
        <stp>BDP|3618230694791584226|22</stp>
        <stp>COPX US 07/17/26 C95 Equity</stp>
        <stp>DELTA_MID_RT</stp>
        <tr r="W27" s="89"/>
      </tp>
      <tp>
        <v>489.36799999999999</v>
        <stp/>
        <stp>BDP|3981944549231547641|22</stp>
        <stp>SNDK Equity</stp>
        <stp>LAST_PRICE</stp>
        <tr r="I25" s="1"/>
      </tp>
      <tp t="s">
        <v>#N/A Requesting Data...3114979361</v>
        <stp/>
        <stp>BDP|5415224161148491497</stp>
        <tr r="O187" s="89"/>
      </tp>
      <tp t="s">
        <v>#N/A N/A</v>
        <stp/>
        <stp>BDP|8978057739724642299</stp>
        <tr r="K4" s="2"/>
      </tp>
      <tp t="s">
        <v>#N/A Requesting Data...3996843520</v>
        <stp/>
        <stp>BDP|9641015641826985650</stp>
        <tr r="U52" s="338"/>
      </tp>
      <tp t="s">
        <v>#N/A N/A</v>
        <stp/>
        <stp>BDH|8871479874422041408</stp>
        <tr r="AU47" s="338"/>
        <tr r="AU41" s="338"/>
        <tr r="AU33" s="338"/>
        <tr r="AU31" s="338"/>
        <tr r="AP49" s="338"/>
        <tr r="AP45" s="338"/>
        <tr r="AU51" s="338"/>
        <tr r="AP46" s="338"/>
      </tp>
      <tp t="s">
        <v>#N/A Requesting Data...4073348406</v>
        <stp/>
        <stp>BDP|6731818678664058062</stp>
        <tr r="C116" s="89"/>
      </tp>
      <tp t="s">
        <v>#N/A Requesting Data...3695227718</v>
        <stp/>
        <stp>BDP|3337761684491833019</stp>
        <tr r="F44" s="446"/>
      </tp>
      <tp t="s">
        <v>#N/A Requesting Data...3100692682</v>
        <stp/>
        <stp>BDP|4245700180187394193</stp>
        <tr r="E144" s="89"/>
      </tp>
      <tp t="s">
        <v>#N/A Requesting Data...2891534028</v>
        <stp/>
        <stp>BDP|2599954552966387584</stp>
        <tr r="V15" s="338"/>
        <tr r="V39" s="338"/>
      </tp>
      <tp t="s">
        <v>#N/A Requesting Data...3817743299</v>
        <stp/>
        <stp>BDP|6927294984968537987</stp>
        <tr r="C224" s="89"/>
      </tp>
      <tp t="s">
        <v>#N/A Requesting Data...3755081364</v>
        <stp/>
        <stp>BDP|9699474378527567053</stp>
        <tr r="AC26" s="1"/>
      </tp>
      <tp t="s">
        <v>#N/A Requesting Data...3459345637</v>
        <stp/>
        <stp>BDP|4059296425981795825</stp>
        <tr r="T89" s="89"/>
      </tp>
      <tp t="s">
        <v>#N/A N/A</v>
        <stp/>
        <stp>BDP|9987750837224410406</stp>
        <tr r="F15" s="2"/>
      </tp>
      <tp t="s">
        <v>#N/A Requesting Data...4214680843</v>
        <stp/>
        <stp>BDP|6822986114586808509</stp>
        <tr r="AA19" s="2"/>
      </tp>
      <tp t="s">
        <v>#N/A Requesting Data...4186389877</v>
        <stp/>
        <stp>BDP|9592498748502103695</stp>
        <tr r="L7" s="252"/>
        <tr r="L7" s="252"/>
      </tp>
      <tp t="s">
        <v>#N/A Requesting Data...3753630659</v>
        <stp/>
        <stp>BDP|6754010884411976277</stp>
        <tr r="X44" s="338"/>
      </tp>
      <tp t="s">
        <v>#N/A Requesting Data...3434780285</v>
        <stp/>
        <stp>BDP|4958570254160242959</stp>
        <tr r="T33" s="338"/>
      </tp>
      <tp t="s">
        <v>#N/A Requesting Data...4292665384</v>
        <stp/>
        <stp>BDP|4678905769292619449</stp>
        <tr r="AK29" s="338"/>
      </tp>
      <tp t="s">
        <v>#N/A N/A</v>
        <stp/>
        <stp>BDP|2505036983384375349</stp>
        <tr r="Q14" s="338"/>
      </tp>
      <tp t="s">
        <v>#N/A Requesting Data...3728483967</v>
        <stp/>
        <stp>BDP|7223883239641187000</stp>
        <tr r="G16" s="446"/>
      </tp>
      <tp t="s">
        <v>#N/A Requesting Data...2966463091</v>
        <stp/>
        <stp>BDP|5114854945934215018</stp>
        <tr r="V170" s="89"/>
        <tr r="V179" s="89"/>
        <tr r="AD14" s="2"/>
      </tp>
      <tp t="e">
        <v>#N/A</v>
        <stp/>
        <stp>BDH|6510200972726120845</stp>
        <tr r="T14" s="252"/>
        <tr r="W14" s="252"/>
      </tp>
      <tp t="s">
        <v>#N/A N/A</v>
        <stp/>
        <stp>BDH|3491807865162534263</stp>
        <tr r="AM42" s="338"/>
        <tr r="AM41" s="338"/>
      </tp>
      <tp t="s">
        <v>#N/A Requesting Data...3744247128</v>
        <stp/>
        <stp>BDP|8227558946176666242</stp>
        <tr r="C204" s="89"/>
      </tp>
      <tp t="s">
        <v>#N/A Requesting Data...3580723822</v>
        <stp/>
        <stp>BDP|8023230975554206472</stp>
        <tr r="U33" s="338"/>
      </tp>
      <tp t="s">
        <v>#N/A Requesting Data...3100354231</v>
        <stp/>
        <stp>BDP|2832828567039648888</stp>
        <tr r="D8" s="2"/>
      </tp>
      <tp t="s">
        <v>#N/A N/A</v>
        <stp/>
        <stp>BDH|2061584599105307617</stp>
        <tr r="AM36" s="338"/>
      </tp>
      <tp t="s">
        <v>#N/A Requesting Data...3229981897</v>
        <stp/>
        <stp>BDP|1449141764908407306</stp>
        <tr r="F11" s="446"/>
      </tp>
      <tp t="s">
        <v>#N/A Requesting Data...3011895903</v>
        <stp/>
        <stp>BDP|6113923539666992720</stp>
        <tr r="N14" s="252"/>
        <tr r="N14" s="252"/>
      </tp>
      <tp t="s">
        <v>#N/A Requesting Data...4112538821</v>
        <stp/>
        <stp>BDP|8840098927283470439</stp>
        <tr r="AF15" s="1"/>
        <tr r="AB153" s="89"/>
        <tr r="AB154" s="89"/>
        <tr r="AQ4" s="2"/>
        <tr r="AQ5" s="2"/>
      </tp>
      <tp t="s">
        <v>#N/A Requesting Data...3339805191</v>
        <stp/>
        <stp>BDP|7951947862590616582</stp>
        <tr r="AF29" s="1"/>
        <tr r="AF13" s="338"/>
        <tr r="AF34" s="338"/>
      </tp>
      <tp t="s">
        <v>#N/A Requesting Data...3721911003</v>
        <stp/>
        <stp>BDP|9891481019803044282</stp>
        <tr r="G23" s="446"/>
      </tp>
      <tp t="s">
        <v>#N/A Requesting Data...4021522562</v>
        <stp/>
        <stp>BDP|8890689995642342808</stp>
        <tr r="V53" s="338"/>
      </tp>
      <tp t="s">
        <v>#N/A N/A</v>
        <stp/>
        <stp>BDP|4140538680732569611</stp>
        <tr r="V233" s="89"/>
        <tr r="AD15" s="2"/>
      </tp>
      <tp t="s">
        <v>#N/A Requesting Data...3660425039</v>
        <stp/>
        <stp>BDP|2455215735317653905</stp>
        <tr r="E223" s="89"/>
      </tp>
      <tp t="s">
        <v>#N/A N/A</v>
        <stp/>
        <stp>BDH|7439947639557750787</stp>
        <tr r="AN31" s="338"/>
        <tr r="AN32" s="338"/>
      </tp>
      <tp t="s">
        <v>#N/A Requesting Data...3888253612</v>
        <stp/>
        <stp>BDP|8233206945521469249</stp>
        <tr r="AB25" s="1"/>
      </tp>
      <tp t="s">
        <v>#N/A Requesting Data...2891702727</v>
        <stp/>
        <stp>BDP|2447569196515159629</stp>
        <tr r="T12" s="2"/>
      </tp>
      <tp t="s">
        <v>#N/A Requesting Data...4272990638</v>
        <stp/>
        <stp>BDP|7612533417436704812</stp>
        <tr r="AJ13" s="338"/>
        <tr r="AJ34" s="338"/>
      </tp>
      <tp t="s">
        <v>#N/A Requesting Data...3679667955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Data...3010382043</v>
        <stp/>
        <stp>BDP|3007975292676340821</stp>
        <tr r="G24" s="446"/>
      </tp>
      <tp t="s">
        <v>#N/A Requesting Data...4028829378</v>
        <stp/>
        <stp>BDP|5665815221263095138</stp>
        <tr r="E95" s="89"/>
      </tp>
      <tp t="e">
        <v>#N/A</v>
        <stp/>
        <stp>BDH|2114060395467773106</stp>
        <tr r="J16" s="252"/>
      </tp>
      <tp>
        <v>14.8</v>
        <stp/>
        <stp>BDP|18096733178424916458|22</stp>
        <stp>AVGO US 06/18/26 P270 Equity</stp>
        <stp>bid</stp>
        <tr r="K225" s="89"/>
      </tp>
      <tp>
        <v>31.4</v>
        <stp/>
        <stp>BDP|10089550128122679017|22</stp>
        <stp>TSM US 06/18/26 C340 Equity</stp>
        <stp>ask</stp>
        <tr r="Q25" s="2"/>
        <tr r="L13" s="89"/>
      </tp>
      <tp>
        <v>-0.17956097424030304</v>
        <stp/>
        <stp>BDP|3431413272118379814|22</stp>
        <stp>MRVL US 03/20/26 P70 Equity</stp>
        <stp>DELTA_MID_RT</stp>
        <tr r="W63" s="89"/>
        <tr r="AF21" s="2"/>
      </tp>
      <tp t="s">
        <v>#N/A Requesting Data...3097197685</v>
        <stp/>
        <stp>BDP|5266989866390412427</stp>
        <tr r="D38" s="446"/>
      </tp>
      <tp t="s">
        <v>#N/A N/A</v>
        <stp/>
        <stp>BDP|8338110186819693688</stp>
        <tr r="E212" s="89"/>
      </tp>
      <tp t="s">
        <v>#N/A N/A</v>
        <stp/>
        <stp>BDP|8927228557595141478</stp>
        <tr r="R115" s="89"/>
        <tr r="R116" s="89"/>
      </tp>
      <tp t="s">
        <v>#N/A Requesting Data...3046121023</v>
        <stp/>
        <stp>BDP|5527710723047808956</stp>
        <tr r="T50" s="89"/>
      </tp>
      <tp t="s">
        <v>#N/A Requesting Data...3138898809</v>
        <stp/>
        <stp>BDP|5586265622589882234</stp>
        <tr r="T187" s="89"/>
      </tp>
      <tp t="s">
        <v>#N/A N/A</v>
        <stp/>
        <stp>BDH|1902309291697729256</stp>
        <tr r="AU50" s="338"/>
        <tr r="AU46" s="338"/>
        <tr r="AU8" s="338"/>
        <tr r="AU32" s="338"/>
      </tp>
      <tp t="s">
        <v>#N/A Requesting Data...3312883652</v>
        <stp/>
        <stp>BDP|3507742477994476993</stp>
        <tr r="D40" s="89"/>
      </tp>
      <tp t="s">
        <v>#N/A N/A</v>
        <stp/>
        <stp>BDP|5723710858989198046</stp>
        <tr r="Q35" s="338"/>
      </tp>
      <tp t="s">
        <v>#N/A Requesting Data...3362677089</v>
        <stp/>
        <stp>BDP|8518419899713251871</stp>
        <tr r="X8" s="338"/>
      </tp>
      <tp t="s">
        <v>#N/A Requesting Data...3616806134</v>
        <stp/>
        <stp>BDP|6375542897924166091</stp>
        <tr r="C109" s="89"/>
      </tp>
      <tp t="s">
        <v>#N/A Requesting Data...2847336587</v>
        <stp/>
        <stp>BDP|6865956502756622717</stp>
        <tr r="AH36" s="338"/>
        <tr r="AJ36" s="338"/>
      </tp>
      <tp t="s">
        <v>#N/A Requesting Data...4001400634</v>
        <stp/>
        <stp>BDP|2379295593121097618</stp>
        <tr r="D44" s="446"/>
      </tp>
      <tp t="s">
        <v>#N/A Requesting Data...4060930348</v>
        <stp/>
        <stp>BDP|9349867885552045593</stp>
        <tr r="S48" s="338"/>
      </tp>
      <tp t="s">
        <v>#N/A Requesting Data...3600892937</v>
        <stp/>
        <stp>BDP|9727589470544887194</stp>
        <tr r="T154" s="89"/>
        <tr r="AA4" s="2"/>
        <tr r="AA5" s="2"/>
      </tp>
      <tp t="s">
        <v>#N/A Requesting Data...3154811568</v>
        <stp/>
        <stp>BDP|1210812459016425419</stp>
        <tr r="T169" s="89"/>
      </tp>
      <tp t="s">
        <v>#N/A Requesting Data...3813848297</v>
        <stp/>
        <stp>BDP|3116185742219750133</stp>
        <tr r="T109" s="89"/>
      </tp>
      <tp t="s">
        <v>#N/A Requesting Data...3142698414</v>
        <stp/>
        <stp>BDP|8974216276565695646</stp>
        <tr r="C12" s="2"/>
      </tp>
      <tp t="s">
        <v>#N/A Requesting Data...3671135473</v>
        <stp/>
        <stp>BDP|8883658922450224216</stp>
        <tr r="C76" s="89"/>
        <tr r="C81" s="89"/>
      </tp>
      <tp t="s">
        <v>#N/A N/A</v>
        <stp/>
        <stp>BDP|8927803377951233812</stp>
        <tr r="AB160" s="89"/>
      </tp>
      <tp t="s">
        <v>#N/A Requesting Data...3715881309</v>
        <stp/>
        <stp>BDP|9104922632105284817</stp>
        <tr r="D20" s="89"/>
      </tp>
      <tp t="s">
        <v>#N/A Requesting Data...4156385614</v>
        <stp/>
        <stp>BDP|5796504129065876948</stp>
        <tr r="U8" s="338"/>
      </tp>
      <tp t="s">
        <v>#N/A Requesting Data...3161810228</v>
        <stp/>
        <stp>BDP|5334711267318453225</stp>
        <tr r="N10" s="252"/>
        <tr r="N10" s="252"/>
      </tp>
      <tp t="s">
        <v>#N/A N/A</v>
        <stp/>
        <stp>BDP|8778194253835698784</stp>
        <tr r="AB50" s="89"/>
        <tr r="AB49" s="89"/>
      </tp>
      <tp t="s">
        <v>#N/A Requesting Data...3477335970</v>
        <stp/>
        <stp>BDP|9233199299816659948</stp>
        <tr r="P11" s="252"/>
      </tp>
      <tp t="s">
        <v>#N/A Requesting Data...3153724826</v>
        <stp/>
        <stp>BDP|2292616657717420814</stp>
        <tr r="AF31" s="338"/>
        <tr r="AF32" s="338"/>
      </tp>
      <tp t="s">
        <v>#N/A Requesting Data...3386769652</v>
        <stp/>
        <stp>BDP|1704402293557704529</stp>
        <tr r="K7" s="1"/>
      </tp>
      <tp t="s">
        <v>#N/A Requesting Data...3761414727</v>
        <stp/>
        <stp>BDP|4042472092244568314</stp>
        <tr r="V108" s="89"/>
      </tp>
      <tp t="s">
        <v>#N/A N/A</v>
        <stp/>
        <stp>BDH|3990684144648218765</stp>
        <tr r="AS42" s="338"/>
      </tp>
      <tp t="s">
        <v>#N/A Requesting Data...3759568803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Data...3485059134</v>
        <stp/>
        <stp>BDP|5068380246295060987</stp>
        <tr r="P49" s="338"/>
      </tp>
      <tp t="e">
        <v>#N/A</v>
        <stp/>
        <stp>BDH|5674194540649995708</stp>
        <tr r="W17" s="252"/>
        <tr r="T17" s="252"/>
      </tp>
      <tp t="s">
        <v>#N/A Requesting Data...3376462118</v>
        <stp/>
        <stp>BDP|6562923680930375939</stp>
        <tr r="T11" s="338"/>
      </tp>
      <tp t="s">
        <v>#N/A Requesting Data...3641612093</v>
        <stp/>
        <stp>BDP|4719256686637012732</stp>
        <tr r="M19" s="252"/>
      </tp>
      <tp t="s">
        <v>#N/A Requesting Data...3375148148</v>
        <stp/>
        <stp>BDP|2644203280360986688</stp>
        <tr r="AB29" s="1"/>
        <tr r="F35" s="446"/>
      </tp>
      <tp t="s">
        <v>#N/A Requesting Data...4097125635</v>
        <stp/>
        <stp>BDP|3687895063137929413</stp>
        <tr r="U51" s="338"/>
      </tp>
      <tp t="s">
        <v>#N/A Requesting Data...3598662530</v>
        <stp/>
        <stp>BDP|2866283045919885388</stp>
        <tr r="L18" s="338"/>
        <tr r="J18" s="338"/>
      </tp>
      <tp t="s">
        <v>#N/A Requesting Data...4215987784</v>
        <stp/>
        <stp>BDP|8754151420072627717</stp>
        <tr r="AR12" s="2"/>
      </tp>
      <tp t="s">
        <v>#N/A Requesting Data...4188287297</v>
        <stp/>
        <stp>BDP|8565804017506463936</stp>
        <tr r="L17" s="252"/>
        <tr r="L17" s="252"/>
      </tp>
      <tp>
        <v>20.265000000000001</v>
        <stp/>
        <stp>BDP|1056906607050736285|22</stp>
        <stp>CPNG Equity</stp>
        <stp>LAST PRICE</stp>
        <tr r="L7" s="446"/>
      </tp>
      <tp>
        <v>35.380000000000003</v>
        <stp/>
        <stp>BDP|8479129259841183337|22</stp>
        <stp>BP Equity</stp>
        <stp>LAST PRICE</stp>
        <tr r="G29" s="338"/>
        <tr r="G30" s="338"/>
      </tp>
      <tp>
        <v>-0.16555552184581757</v>
        <stp/>
        <stp>BDP|5526706154841928378|22</stp>
        <stp>MSFT US 03/20/26 P465 Equity</stp>
        <stp>theta_mid_rt</stp>
        <tr r="AN22" s="2"/>
      </tp>
      <tp t="s">
        <v>USD</v>
        <stp/>
        <stp>BDP|14291221851174083025|22</stp>
        <stp>AMZN US 07/17/26 C245 Equity</stp>
        <stp>QUOTED_CURRENCY_REALTIME</stp>
        <tr r="F234" s="89"/>
      </tp>
      <tp>
        <v>332.44</v>
        <stp/>
        <stp>BDP|10734773146792366841|22</stp>
        <stp>TSM US Equity</stp>
        <stp>LAST_PRICE</stp>
        <tr r="Z25" s="2"/>
        <tr r="Z26" s="2"/>
        <tr r="Z27" s="2"/>
        <tr r="S13" s="89"/>
        <tr r="S19" s="89"/>
        <tr r="S20" s="89"/>
        <tr r="S195" s="89"/>
        <tr r="S196" s="89"/>
        <tr r="S197" s="89"/>
        <tr r="S14" s="89"/>
      </tp>
      <tp t="s">
        <v>#N/A Requesting Data...4169084433</v>
        <stp/>
        <stp>BDP|3786323124408946521</stp>
        <tr r="D45" s="446"/>
      </tp>
      <tp t="s">
        <v>#N/A Requesting Data...3960923796</v>
        <stp/>
        <stp>BDP|7859159525229324216</stp>
        <tr r="C49" s="89"/>
      </tp>
      <tp t="s">
        <v>#N/A Requesting Data...4166721497</v>
        <stp/>
        <stp>BDP|8896143753810578305</stp>
        <tr r="F20" s="2"/>
      </tp>
      <tp t="s">
        <v>#N/A Requesting Data...3851637991</v>
        <stp/>
        <stp>BDP|9677592347374790342</stp>
        <tr r="F7" s="2"/>
      </tp>
      <tp t="s">
        <v>#N/A Requesting Data...3628796723</v>
        <stp/>
        <stp>BDP|2806504826139638334</stp>
        <tr r="AG29" s="1"/>
      </tp>
      <tp t="s">
        <v>#N/A Requesting Data...3326226835</v>
        <stp/>
        <stp>BDP|4784976331940308190</stp>
        <tr r="Z144" s="89"/>
        <tr r="AA144" s="89"/>
      </tp>
      <tp t="s">
        <v>#N/A Requesting Data...3657790763</v>
        <stp/>
        <stp>BDP|2131718523418809031</stp>
        <tr r="X9" s="338"/>
      </tp>
      <tp t="s">
        <v>#N/A N/A</v>
        <stp/>
        <stp>BDH|7944290296805671688</stp>
        <tr r="AU40" s="338"/>
        <tr r="AP39" s="338"/>
        <tr r="AP15" s="338"/>
      </tp>
      <tp t="s">
        <v>#N/A Requesting Data...3182987516</v>
        <stp/>
        <stp>BDP|8119275495638947437</stp>
        <tr r="AI33" s="1"/>
      </tp>
      <tp t="s">
        <v>#N/A Requesting Data...3291457494</v>
        <stp/>
        <stp>BDP|4060140891760852341</stp>
        <tr r="T95" s="89"/>
      </tp>
      <tp t="s">
        <v>#N/A N/A</v>
        <stp/>
        <stp>BDP|1110263465193964954</stp>
        <tr r="AB123" s="89"/>
        <tr r="AB122" s="89"/>
      </tp>
      <tp t="s">
        <v>#N/A Requesting Data...3178130995</v>
        <stp/>
        <stp>BDP|2842170687233636700</stp>
        <tr r="AH13" s="338"/>
        <tr r="AH34" s="338"/>
      </tp>
      <tp t="s">
        <v>#N/A Requesting Data...3243256115</v>
        <stp/>
        <stp>BDP|1457483532620769970</stp>
        <tr r="L18" s="252"/>
        <tr r="L18" s="252"/>
      </tp>
      <tp t="s">
        <v>#N/A Requesting Data...3893242024</v>
        <stp/>
        <stp>BDP|7952717157178061208</stp>
        <tr r="AI16" s="1"/>
      </tp>
      <tp t="s">
        <v>#N/A Requesting Data...4293275540</v>
        <stp/>
        <stp>BDP|6268649388386345129</stp>
        <tr r="D144" s="89"/>
      </tp>
      <tp t="s">
        <v>#N/A Requesting Data...3656824924</v>
        <stp/>
        <stp>BDP|8154630115763023381</stp>
        <tr r="T52" s="338"/>
      </tp>
      <tp t="s">
        <v>#N/A Requesting Data...3104604168</v>
        <stp/>
        <stp>BDP|7576730522755872830</stp>
        <tr r="F38" s="446"/>
      </tp>
      <tp t="s">
        <v>#N/A Requesting Data...2960091065</v>
        <stp/>
        <stp>BDP|9507005719251486644</stp>
        <tr r="M10" s="252"/>
      </tp>
      <tp t="s">
        <v>#N/A N/A</v>
        <stp/>
        <stp>BDP|7273408672439991253</stp>
        <tr r="E34" s="89"/>
      </tp>
      <tp t="s">
        <v>#N/A N/A</v>
        <stp/>
        <stp>BDP|8864177178196306783</stp>
        <tr r="C213" s="89"/>
      </tp>
      <tp t="s">
        <v>#N/A Requesting Data...3046890916</v>
        <stp/>
        <stp>BDP|3243919885914808926</stp>
        <tr r="AB14" s="1"/>
      </tp>
      <tp t="s">
        <v>#N/A Requesting Data...3995916889</v>
        <stp/>
        <stp>BDP|9539667201337640785</stp>
        <tr r="U36" s="338"/>
      </tp>
      <tp t="s">
        <v>#N/A Requesting Data...3858595769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BDP|3017449980125941505</stp>
        <tr r="V212" s="89"/>
      </tp>
      <tp t="s">
        <v>#N/A N/A</v>
        <stp/>
        <stp>BDP|6430708143608850224</stp>
        <tr r="R27" s="89"/>
        <tr r="R26" s="89"/>
        <tr r="R33" s="89"/>
        <tr r="R34" s="89"/>
      </tp>
      <tp t="s">
        <v>#N/A Requesting Data...3206519351</v>
        <stp/>
        <stp>BDP|8782158116286979106</stp>
        <tr r="AG36" s="1"/>
      </tp>
      <tp t="s">
        <v>#N/A N/A</v>
        <stp/>
        <stp>BDP|5557469895721801638</stp>
        <tr r="Q10" s="338"/>
      </tp>
      <tp t="s">
        <v>#N/A Requesting Data...3118774940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Data...4233993332</v>
        <stp/>
        <stp>BDP|4065099833740136891</stp>
        <tr r="P42" s="338"/>
      </tp>
      <tp t="s">
        <v>#N/A Requesting Data...3340268216</v>
        <stp/>
        <stp>BDP|8496510345395763350</stp>
        <tr r="D49" s="89"/>
      </tp>
      <tp t="s">
        <v>#N/A Requesting Data...3206722031</v>
        <stp/>
        <stp>BDP|5267619434148669720</stp>
        <tr r="AJ52" s="338"/>
        <tr r="AJ53" s="338"/>
        <tr r="AJ54" s="338"/>
      </tp>
      <tp t="s">
        <v>#N/A Requesting Data...3477235842</v>
        <stp/>
        <stp>BDP|7148106705448380141</stp>
        <tr r="V41" s="338"/>
      </tp>
      <tp t="s">
        <v>#N/A Requesting Data...3838599296</v>
        <stp/>
        <stp>BDP|1566983548630295344</stp>
        <tr r="AA18" s="2"/>
      </tp>
      <tp t="s">
        <v>#N/A Requesting Data...3375790906</v>
        <stp/>
        <stp>BDP|7511636250779138240</stp>
        <tr r="V40" s="338"/>
      </tp>
      <tp t="s">
        <v>#N/A Requesting Data...2918589249</v>
        <stp/>
        <stp>BDP|5576438787561382724</stp>
        <tr r="AJ10" s="338"/>
        <tr r="AJ11" s="338"/>
        <tr r="AJ33" s="338"/>
      </tp>
      <tp t="s">
        <v>#N/A Requesting Data...3340224079</v>
        <stp/>
        <stp>BDP|1371944730256623208</stp>
        <tr r="T137" s="89"/>
      </tp>
      <tp t="s">
        <v>#N/A Requesting Data...4191060609</v>
        <stp/>
        <stp>BDP|8553085138774321079</stp>
        <tr r="T123" s="89"/>
      </tp>
      <tp t="s">
        <v>#N/A Requesting Data...3552731370</v>
        <stp/>
        <stp>BDP|9274343827420648768</stp>
        <tr r="G10" s="446"/>
      </tp>
      <tp t="s">
        <v>#N/A Requesting Data...2902996682</v>
        <stp/>
        <stp>BDP|7885394395273302161</stp>
        <tr r="K15" s="1"/>
      </tp>
      <tp t="s">
        <v>#N/A Requesting Data...3207815950</v>
        <stp/>
        <stp>BDP|1937197186723171466</stp>
        <tr r="F25" s="2"/>
      </tp>
      <tp t="s">
        <v>#N/A Requesting Data...3501175068</v>
        <stp/>
        <stp>BDP|1136567666448935591</stp>
        <tr r="V37" s="338"/>
      </tp>
      <tp t="s">
        <v>#N/A Requesting Data...4166928708</v>
        <stp/>
        <stp>BDP|7385638697900780713</stp>
        <tr r="AB27" s="1"/>
      </tp>
      <tp t="s">
        <v>#N/A Requesting Data...3992225114</v>
        <stp/>
        <stp>BDP|9728149439951510598</stp>
        <tr r="F21" s="2"/>
      </tp>
      <tp t="s">
        <v>#N/A Requesting Data...2941882449</v>
        <stp/>
        <stp>BDP|2036830374436602479</stp>
        <tr r="U50" s="338"/>
      </tp>
      <tp t="s">
        <v>#N/A Requesting Data...2954164852</v>
        <stp/>
        <stp>BDP|6317578591636076338</stp>
        <tr r="D138" s="89"/>
      </tp>
      <tp t="s">
        <v>#N/A N/A</v>
        <stp/>
        <stp>BDP|3916828528720515608</stp>
        <tr r="AQ11" s="2"/>
        <tr r="AQ12" s="2"/>
      </tp>
      <tp t="s">
        <v>#N/A Requesting Data...3677770820</v>
        <stp/>
        <stp>BDP|1370952567270052174</stp>
        <tr r="AJ8" s="338"/>
        <tr r="AJ9" s="338"/>
        <tr r="AH8" s="338"/>
        <tr r="AH9" s="338"/>
      </tp>
      <tp t="s">
        <v>#N/A Requesting Data...3511520880</v>
        <stp/>
        <stp>BDP|9908493190928009374</stp>
        <tr r="S17" s="338"/>
      </tp>
      <tp t="s">
        <v>#N/A Requesting Data...3800768504</v>
        <stp/>
        <stp>BDP|3091771380746895580</stp>
        <tr r="F23" s="2"/>
      </tp>
      <tp t="s">
        <v>#N/A N/A</v>
        <stp/>
        <stp>BDP|5278263338822851904</stp>
        <tr r="AB108" s="89"/>
      </tp>
      <tp t="s">
        <v>#N/A Requesting Data...3881210094</v>
        <stp/>
        <stp>BDP|9461243956507277607</stp>
        <tr r="K34" s="1"/>
      </tp>
      <tp t="s">
        <v>#N/A Requesting Data...3178799289</v>
        <stp/>
        <stp>BDP|6160662584120657700</stp>
        <tr r="G12" s="446"/>
      </tp>
      <tp t="s">
        <v>#N/A Requesting Data...3818619903</v>
        <stp/>
        <stp>BDP|2050769895694328758</stp>
        <tr r="S7" s="252"/>
      </tp>
      <tp t="s">
        <v>#N/A Requesting Data...3516901765</v>
        <stp/>
        <stp>BDP|9400166973232144257</stp>
        <tr r="V180" s="89"/>
        <tr r="AD16" s="2"/>
      </tp>
      <tp t="s">
        <v>#N/A Requesting Data...4164754152</v>
        <stp/>
        <stp>BDP|8759533260432150600</stp>
        <tr r="E56" s="89"/>
      </tp>
      <tp t="s">
        <v>#N/A N/A</v>
        <stp/>
        <stp>BDH|3762639738200011993</stp>
        <tr r="AP29" s="338"/>
        <tr r="AP30" s="338"/>
      </tp>
      <tp>
        <v>39.1</v>
        <stp/>
        <stp>BDP|15024174385583937942|22</stp>
        <stp>SNDK US 02/20/26 C550 Equity</stp>
        <stp>ask</stp>
        <tr r="Q24" s="2"/>
      </tp>
      <tp>
        <v>330.52</v>
        <stp/>
        <stp>BDP|6093066913446547993|22</stp>
        <stp>AVGO Equity</stp>
        <stp>LAST_PRICE</stp>
        <tr r="I28" s="1"/>
      </tp>
      <tp>
        <v>30.8</v>
        <stp/>
        <stp>BDP|14476957307763141828|22</stp>
        <stp>TSM US 06/18/26 C340 Equity</stp>
        <stp>bid</stp>
        <tr r="P25" s="2"/>
        <tr r="K13" s="89"/>
      </tp>
      <tp>
        <v>689.13499999999999</v>
        <stp/>
        <stp>BDP|11764468863197025710|22</stp>
        <stp>SPY EQUITY</stp>
        <stp>LAST_PRICE</stp>
        <tr r="I4" s="1"/>
      </tp>
      <tp>
        <v>-2.673233300447464E-2</v>
        <stp/>
        <stp>BDP|12480500075908314127|22</stp>
        <stp>GDX US 09/18/26 C105 Equity</stp>
        <stp>theta_mid_rt</stp>
        <tr r="AN11" s="2"/>
      </tp>
      <tp t="s">
        <v>#N/A Requesting Data...4175385935</v>
        <stp/>
        <stp>BDP|4983617041569093735</stp>
        <tr r="U10" s="338"/>
      </tp>
      <tp t="s">
        <v>#N/A Requesting Data...4074371449</v>
        <stp/>
        <stp>BDP|9511358652480103782</stp>
        <tr r="AR4" s="2"/>
        <tr r="AR5" s="2"/>
      </tp>
      <tp t="s">
        <v>#N/A Requesting Data...4294556123</v>
        <stp/>
        <stp>BDP|9340855016030830837</stp>
        <tr r="D11" s="2"/>
      </tp>
      <tp t="s">
        <v>#N/A Requesting Data...3619254923</v>
        <stp/>
        <stp>BDP|1158468690973405781</stp>
        <tr r="AK18" s="338"/>
      </tp>
      <tp t="s">
        <v>#N/A Requesting Data...3933162916</v>
        <stp/>
        <stp>BDP|2898694498747321222</stp>
        <tr r="E3" s="1"/>
        <tr r="K29" s="1"/>
      </tp>
      <tp t="s">
        <v>#N/A Requesting Data...3554250235</v>
        <stp/>
        <stp>BDP|7526986475906100712</stp>
        <tr r="E123" s="89"/>
      </tp>
      <tp t="s">
        <v>#N/A Requesting Data...3790381790</v>
        <stp/>
        <stp>BDP|9064191480710005817</stp>
        <tr r="V16" s="338"/>
        <tr r="V38" s="338"/>
      </tp>
      <tp t="s">
        <v>#N/A Requesting Data...3984583310</v>
        <stp/>
        <stp>BDP|9490986995892939382</stp>
        <tr r="E13" s="89"/>
      </tp>
      <tp t="s">
        <v>#N/A N/A</v>
        <stp/>
        <stp>BDH|9847271907594716777</stp>
        <tr r="AR12" s="338"/>
      </tp>
      <tp t="s">
        <v>#N/A Requesting Data...4172253767</v>
        <stp/>
        <stp>BDP|9119371270756838373</stp>
        <tr r="N18" s="252"/>
        <tr r="N18" s="252"/>
      </tp>
      <tp t="s">
        <v>#N/A Requesting Data...3105782541</v>
        <stp/>
        <stp>BDP|6201270299844298101</stp>
        <tr r="O68" s="89"/>
      </tp>
      <tp t="s">
        <v>#N/A N/A</v>
        <stp/>
        <stp>BDH|8107304667914121198</stp>
        <tr r="AR33" s="338"/>
        <tr r="AM46" s="338"/>
        <tr r="AR47" s="338"/>
        <tr r="AR41" s="338"/>
        <tr r="AR51" s="338"/>
        <tr r="AM49" s="338"/>
        <tr r="AM45" s="338"/>
        <tr r="AR31" s="338"/>
      </tp>
      <tp t="s">
        <v>#N/A Requesting Data...3279718134</v>
        <stp/>
        <stp>BDP|8903788637142927602</stp>
        <tr r="AK30" s="338"/>
      </tp>
      <tp t="s">
        <v>#N/A Requesting Data...4107258939</v>
        <stp/>
        <stp>BDP|9657162411476734792</stp>
        <tr r="P47" s="338"/>
      </tp>
      <tp t="s">
        <v>#N/A Requesting Data...3811856414</v>
        <stp/>
        <stp>BDP|1462947569060430626</stp>
        <tr r="E81" s="89"/>
      </tp>
      <tp t="s">
        <v>#N/A N/A</v>
        <stp/>
        <stp>BDH|5965116997205646062</stp>
        <tr r="AM30" s="338"/>
        <tr r="AM29" s="338"/>
      </tp>
      <tp t="s">
        <v>#N/A Requesting Data...4025704188</v>
        <stp/>
        <stp>BDP|5133781604559034315</stp>
        <tr r="O76" s="89"/>
        <tr r="O81" s="89"/>
      </tp>
      <tp t="s">
        <v>#N/A Requesting Data...3279823249</v>
        <stp/>
        <stp>BDP|8893033206807423751</stp>
        <tr r="AA153" s="89"/>
        <tr r="Z153" s="89"/>
      </tp>
      <tp t="s">
        <v>#N/A Requesting Data...4291799075</v>
        <stp/>
        <stp>BDP|9541693808182769518</stp>
        <tr r="D29" s="446"/>
      </tp>
      <tp t="s">
        <v>#N/A Requesting Data...4253323720</v>
        <stp/>
        <stp>BDP|6024155984106720147</stp>
        <tr r="C14" s="89"/>
        <tr r="D26" s="2"/>
      </tp>
      <tp t="s">
        <v>#N/A Requesting Data...3592050402</v>
        <stp/>
        <stp>BDP|2361913501277478452</stp>
        <tr r="E203" s="89"/>
      </tp>
      <tp t="s">
        <v>#N/A Requesting Data...3725506920</v>
        <stp/>
        <stp>BDP|6772414405089956382</stp>
        <tr r="AA76" s="89"/>
        <tr r="Z76" s="89"/>
        <tr r="Z81" s="89"/>
        <tr r="AA81" s="89"/>
      </tp>
      <tp t="s">
        <v>#N/A Requesting Data...3377948889</v>
        <stp/>
        <stp>BDP|6839173327418343594</stp>
        <tr r="F7" s="446"/>
      </tp>
      <tp t="s">
        <v>#N/A Requesting Data...4049434142</v>
        <stp/>
        <stp>BDP|7248503210943138805</stp>
        <tr r="D68" s="89"/>
      </tp>
      <tp t="s">
        <v>#N/A Requesting Data...3198072042</v>
        <stp/>
        <stp>BDP|5668869742685379426</stp>
        <tr r="AA222" s="89"/>
        <tr r="Z222" s="89"/>
      </tp>
      <tp t="s">
        <v>#N/A Requesting Data...3824961438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N/A</v>
        <stp/>
        <stp>BDH|8726243793403286812</stp>
        <tr r="AS12" s="338"/>
      </tp>
      <tp t="s">
        <v>#N/A N/A</v>
        <stp/>
        <stp>BDP|4481261054123222849</stp>
        <tr r="V213" s="89"/>
      </tp>
      <tp t="s">
        <v>#N/A N/A</v>
        <stp/>
        <stp>BDH|1320847822046574506</stp>
        <tr r="AP34" s="338"/>
        <tr r="AP13" s="338"/>
      </tp>
      <tp t="s">
        <v>#N/A Requesting Data...4165428130</v>
        <stp/>
        <stp>BDP|5237225300886746967</stp>
        <tr r="Z129" s="89"/>
        <tr r="AA129" s="89"/>
      </tp>
      <tp t="s">
        <v>#N/A Requesting Data...3204649418</v>
        <stp/>
        <stp>BDP|3746009638598604087</stp>
        <tr r="Z136" s="89"/>
        <tr r="AA136" s="89"/>
      </tp>
      <tp t="s">
        <v>#N/A N/A</v>
        <stp/>
        <stp>BDP|8506305911474169649</stp>
        <tr r="V27" s="89"/>
      </tp>
      <tp t="s">
        <v>#N/A Requesting Data...3426699388</v>
        <stp/>
        <stp>BDP|7027987678572062314</stp>
        <tr r="AC31" s="1"/>
        <tr r="AC30" s="1"/>
        <tr r="D36" s="446"/>
      </tp>
      <tp t="s">
        <v>#N/A Requesting Data...3189895025</v>
        <stp/>
        <stp>BDP|2739243071518004749</stp>
        <tr r="E138" s="89"/>
      </tp>
      <tp t="e">
        <v>#N/A</v>
        <stp/>
        <stp>BDH|7010958550111077231</stp>
        <tr r="W16" s="252"/>
        <tr r="T16" s="252"/>
      </tp>
      <tp t="s">
        <v>#N/A Requesting Data...4101942745</v>
        <stp/>
        <stp>BDP|9528506301481652565</stp>
        <tr r="AD17" s="2"/>
      </tp>
      <tp t="s">
        <v>#N/A Requesting Data...3905236146</v>
        <stp/>
        <stp>BDP|9450040674965070308</stp>
        <tr r="E26" s="2"/>
      </tp>
      <tp t="e">
        <v>#N/A</v>
        <stp/>
        <stp>BDH|2375673906255636901</stp>
        <tr r="T11" s="252"/>
        <tr r="W11" s="252"/>
      </tp>
      <tp t="s">
        <v>#N/A Requesting Data...3919288396</v>
        <stp/>
        <stp>BDP|8381275723499035928</stp>
        <tr r="O196" s="89"/>
      </tp>
      <tp>
        <v>135.99</v>
        <stp/>
        <stp>BDP|1232203967796078876|22</stp>
        <stp>ABNB Equity</stp>
        <stp>LAST PRICE</stp>
        <tr r="I12" s="338"/>
      </tp>
      <tp>
        <v>36.124699999999997</v>
        <stp/>
        <stp>BDP|2650520762982825878|22</stp>
        <stp>KWEB Equity</stp>
        <stp>LAST_PRICE</stp>
        <tr r="H12" s="252"/>
        <tr r="H12" s="252"/>
      </tp>
      <tp>
        <v>3.5</v>
        <stp/>
        <stp>BDP|239012915816136366|22</stp>
        <stp>MRVL US 03/20/26 P75 Equity</stp>
        <stp>bid</stp>
        <tr r="P19" s="2"/>
      </tp>
      <tp>
        <v>0.91</v>
        <stp/>
        <stp>BDP|14861555431928893617|22</stp>
        <stp>QQQ US 01/26/26 C627 Equity</stp>
        <stp>ask</stp>
        <tr r="L212" s="89"/>
      </tp>
      <tp t="s">
        <v>#N/A Requesting Data...4025969406</v>
        <stp/>
        <stp>BDP|2441593726955875997</stp>
        <tr r="L20" s="252"/>
        <tr r="L20" s="252"/>
      </tp>
      <tp t="s">
        <v>#N/A N/A</v>
        <stp/>
        <stp>BDP|8273588340696239624</stp>
        <tr r="AA234" s="89"/>
        <tr r="Z234" s="89"/>
      </tp>
      <tp t="s">
        <v>#N/A Requesting Data...3432082696</v>
        <stp/>
        <stp>BDP|8996292475495824173</stp>
        <tr r="O16" s="252"/>
      </tp>
      <tp t="s">
        <v>#N/A Requesting Data...3540377142</v>
        <stp/>
        <stp>BDP|8243135780729316187</stp>
        <tr r="E16" s="2"/>
      </tp>
      <tp t="s">
        <v>#N/A Requesting Data...3962517164</v>
        <stp/>
        <stp>BDP|9788785317823069539</stp>
        <tr r="C145" s="89"/>
      </tp>
      <tp t="s">
        <v>#N/A Requesting Data...4224427697</v>
        <stp/>
        <stp>BDP|3993805876862168756</stp>
        <tr r="U45" s="338"/>
      </tp>
      <tp t="s">
        <v>#N/A Requesting Data...3620201194</v>
        <stp/>
        <stp>BDP|5562894851780567134</stp>
        <tr r="Z203" s="89"/>
        <tr r="AA203" s="89"/>
      </tp>
      <tp t="s">
        <v>#N/A Requesting Data...3760938929</v>
        <stp/>
        <stp>BDP|5255036781235828107</stp>
        <tr r="D108" s="89"/>
      </tp>
      <tp t="s">
        <v>#N/A N/A</v>
        <stp/>
        <stp>BDH|9304222847342639486</stp>
        <tr r="AN40" s="338"/>
        <tr r="AN16" s="338"/>
        <tr r="AN38" s="338"/>
      </tp>
      <tp t="s">
        <v>#N/A N/A</v>
        <stp/>
        <stp>BDP|6439491793934169661</stp>
        <tr r="AB236" s="89"/>
      </tp>
      <tp t="s">
        <v>#N/A Requesting Data...3746324049</v>
        <stp/>
        <stp>BDP|9754162438145550750</stp>
        <tr r="E20" s="2"/>
      </tp>
      <tp t="s">
        <v>#N/A Requesting Data...3744694962</v>
        <stp/>
        <stp>BDP|2257884823860585153</stp>
        <tr r="C144" s="89"/>
      </tp>
      <tp t="s">
        <v>#N/A Requesting Data...4218581041</v>
        <stp/>
        <stp>BDP|1849313424598658123</stp>
        <tr r="T82" s="89"/>
      </tp>
      <tp t="s">
        <v>#N/A Requesting Data...3481517730</v>
        <stp/>
        <stp>BDP|2463897743725982291</stp>
        <tr r="F20" s="446"/>
      </tp>
      <tp t="s">
        <v>#N/A Requesting Data...4182174251</v>
        <stp/>
        <stp>BDP|9344561247696579794</stp>
        <tr r="AH15" s="338"/>
        <tr r="AH39" s="338"/>
        <tr r="AI40" s="338"/>
      </tp>
      <tp t="s">
        <v>#N/A Requesting Data...3947860617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Data...4230953999</v>
        <stp/>
        <stp>BDP|1858174224829627206</stp>
        <tr r="AG17" s="1"/>
      </tp>
      <tp t="s">
        <v>#N/A Requesting Data...3505721327</v>
        <stp/>
        <stp>BDP|1918834507510755077</stp>
        <tr r="S8" s="338"/>
      </tp>
      <tp t="s">
        <v>#N/A N/A</v>
        <stp/>
        <stp>BDH|5363459527438869245</stp>
        <tr r="AN8" s="338"/>
        <tr r="AN9" s="338"/>
      </tp>
      <tp t="s">
        <v>#N/A Requesting Data...3894054305</v>
        <stp/>
        <stp>BDP|1186915098941854922</stp>
        <tr r="P17" s="338"/>
      </tp>
      <tp t="s">
        <v>#N/A Requesting Data...3112219502</v>
        <stp/>
        <stp>BDP|3411193788855096676</stp>
        <tr r="T14" s="89"/>
        <tr r="AA26" s="2"/>
      </tp>
      <tp t="s">
        <v>#N/A N/A</v>
        <stp/>
        <stp>BDP|5430386408488532737</stp>
        <tr r="AB109" s="89"/>
      </tp>
      <tp t="s">
        <v>#N/A Requesting Data...4270180591</v>
        <stp/>
        <stp>BDP|9316566775525772740</stp>
        <tr r="O186" s="89"/>
      </tp>
      <tp t="s">
        <v>#N/A Requesting Data...3588333924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Data...3668843779</v>
        <stp/>
        <stp>BDP|2048477006706491956</stp>
        <tr r="X33" s="338"/>
      </tp>
      <tp t="s">
        <v>#N/A Requesting Data...3641193174</v>
        <stp/>
        <stp>BDP|4401866454658402822</stp>
        <tr r="D203" s="89"/>
      </tp>
      <tp t="s">
        <v>#N/A Requesting Data...3600940435</v>
        <stp/>
        <stp>BDP|9762563002360150543</stp>
        <tr r="P9" s="338"/>
      </tp>
      <tp t="s">
        <v>#N/A Requesting Data...3058556291</v>
        <stp/>
        <stp>BDP|1617406885725244177</stp>
        <tr r="Z68" s="89"/>
        <tr r="AA68" s="89"/>
      </tp>
      <tp t="s">
        <v>#N/A Requesting Data...3350095770</v>
        <stp/>
        <stp>BDP|3266268590763139222</stp>
        <tr r="AA12" s="2"/>
      </tp>
      <tp t="s">
        <v>#N/A Requesting Data...3106242667</v>
        <stp/>
        <stp>BDP|8690033388548820123</stp>
        <tr r="AJ14" s="338"/>
        <tr r="AJ35" s="338"/>
      </tp>
      <tp t="s">
        <v>#N/A Requesting Data...4178272746</v>
        <stp/>
        <stp>BDP|5400835087744406808</stp>
        <tr r="AG29" s="338"/>
      </tp>
      <tp t="s">
        <v>#N/A Requesting Data...3385020240</v>
        <stp/>
        <stp>BDP|2272046972965931995</stp>
        <tr r="V188" s="89"/>
      </tp>
      <tp t="s">
        <v>#N/A Requesting Data...3431778720</v>
        <stp/>
        <stp>BDP|9280288157897826002</stp>
        <tr r="C138" s="89"/>
      </tp>
      <tp t="s">
        <v>#N/A N/A</v>
        <stp/>
        <stp>BDP|8423225683883707873</stp>
        <tr r="AR24" s="2"/>
      </tp>
      <tp t="s">
        <v>#N/A Requesting Data...4179419263</v>
        <stp/>
        <stp>BDP|8865039534922905038</stp>
        <tr r="L13" s="252"/>
        <tr r="L13" s="252"/>
      </tp>
      <tp t="s">
        <v>#N/A Requesting Data...3783488618</v>
        <stp/>
        <stp>BDP|5629592674339849762</stp>
        <tr r="E75" s="89"/>
      </tp>
      <tp t="s">
        <v>#N/A N/A</v>
        <stp/>
        <stp>BDP|8508395004434515685</stp>
        <tr r="AB188" s="89"/>
        <tr r="AB187" s="89"/>
        <tr r="AB186" s="89"/>
      </tp>
      <tp>
        <v>56.4</v>
        <stp/>
        <stp>BDP|18439337794970418225|22</stp>
        <stp>SNDK US 02/20/26 C500 Equity</stp>
        <stp>ask</stp>
        <tr r="Q23" s="2"/>
      </tp>
      <tp>
        <v>11.25</v>
        <stp/>
        <stp>BDP|15170082727718363189|22</stp>
        <stp>META US 04/17/26 C750 Equity</stp>
        <stp>bid</stp>
        <tr r="K169" s="89"/>
      </tp>
      <tp>
        <v>24.7</v>
        <stp/>
        <stp>BDP|14111141271769378618|22</stp>
        <stp>META US 04/17/26 C690 Equity</stp>
        <stp>ask</stp>
        <tr r="Q14" s="2"/>
        <tr r="L170" s="89"/>
        <tr r="L179" s="89"/>
      </tp>
      <tp>
        <v>54.1</v>
        <stp/>
        <stp>BDP|11781264320954820618|22</stp>
        <stp>SNDK US 02/20/26 C500 Equity</stp>
        <stp>bid</stp>
        <tr r="P23" s="2"/>
      </tp>
      <tp t="s">
        <v>#N/A N/A</v>
        <stp/>
        <stp>BDP|12169995077563309253|22</stp>
        <stp>QQQ US 01/16/26 C635 Equity</stp>
        <stp>bid</stp>
        <tr r="K203" s="89"/>
      </tp>
      <tp>
        <v>7.1</v>
        <stp/>
        <stp>BDP|17299008803570845370|22</stp>
        <stp>TSM US 01/16/26 C335 Equity</stp>
        <stp>bid</stp>
        <tr r="K195" s="89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Data...4096401048</v>
        <stp/>
        <stp>BDP|9888398554546738389</stp>
        <tr r="T76" s="89"/>
        <tr r="T81" s="89"/>
      </tp>
      <tp t="s">
        <v>#N/A Requesting Data...3728926287</v>
        <stp/>
        <stp>BDP|6672146138847194913</stp>
        <tr r="C154" s="89"/>
        <tr r="D4" s="2"/>
        <tr r="D5" s="2"/>
      </tp>
      <tp t="s">
        <v>#N/A Requesting Data...3052993285</v>
        <stp/>
        <stp>BDP|5587682882935341464</stp>
        <tr r="E90" s="89"/>
      </tp>
      <tp t="s">
        <v>#N/A Requesting Data...3519399950</v>
        <stp/>
        <stp>BDP|7230833674217968563</stp>
        <tr r="S36" s="338"/>
      </tp>
      <tp t="s">
        <v>#N/A N/A</v>
        <stp/>
        <stp>BDP|9917367812392094366</stp>
        <tr r="D27" s="89"/>
      </tp>
      <tp t="s">
        <v>#N/A Requesting Data...4035177434</v>
        <stp/>
        <stp>BDP|4614669274439881673</stp>
        <tr r="E9" s="2"/>
      </tp>
      <tp t="s">
        <v>#N/A Requesting Data...3566660446</v>
        <stp/>
        <stp>BDP|3603190722478324251</stp>
        <tr r="AI31" s="1"/>
        <tr r="AI30" s="1"/>
      </tp>
      <tp t="s">
        <v>#N/A N/A</v>
        <stp/>
        <stp>BDP|1841797186795773188</stp>
        <tr r="R7" s="89"/>
        <tr r="R8" s="89"/>
        <tr r="AV13" s="2"/>
      </tp>
      <tp t="s">
        <v>#N/A Requesting Data...4213406290</v>
        <stp/>
        <stp>BDP|6392840872006556586</stp>
        <tr r="E8" s="1"/>
      </tp>
      <tp t="s">
        <v>#N/A Requesting Data...4267296455</v>
        <stp/>
        <stp>BDP|9284092877624060049</stp>
        <tr r="Z196" s="89"/>
        <tr r="AA196" s="89"/>
      </tp>
      <tp t="s">
        <v>#N/A Requesting Data...3778209835</v>
        <stp/>
        <stp>BDP|5263574927779802120</stp>
        <tr r="V45" s="338"/>
      </tp>
      <tp t="s">
        <v>#N/A Requesting Data...4227187763</v>
        <stp/>
        <stp>BDP|2344935394120970850</stp>
        <tr r="C108" s="89"/>
      </tp>
      <tp t="s">
        <v>#N/A Requesting Data...4184822976</v>
        <stp/>
        <stp>BDP|1305485589197843027</stp>
        <tr r="AJ17" s="338"/>
        <tr r="AJ18" s="338"/>
        <tr r="AH17" s="338"/>
        <tr r="AH18" s="338"/>
      </tp>
      <tp t="s">
        <v>#N/A Requesting Data...3821807092</v>
        <stp/>
        <stp>BDP|9985715663573383119</stp>
        <tr r="AB15" s="1"/>
        <tr r="AC4" s="2"/>
        <tr r="AC5" s="2"/>
      </tp>
      <tp t="s">
        <v>#N/A Requesting Data...3872353636</v>
        <stp/>
        <stp>BDP|9065585755010767336</stp>
        <tr r="F17" s="252"/>
      </tp>
      <tp t="s">
        <v>#N/A N/A</v>
        <stp/>
        <stp>BDP|6687236387984495280</stp>
        <tr r="C24" s="2"/>
      </tp>
      <tp t="e">
        <v>#N/A</v>
        <stp/>
        <stp>BDH|2734053018858031144</stp>
        <tr r="J6" s="252"/>
      </tp>
      <tp t="s">
        <v>#N/A N/A</v>
        <stp/>
        <stp>BDP|7601817619447885392</stp>
        <tr r="O27" s="89"/>
      </tp>
      <tp t="s">
        <v>#N/A Requesting Data...3521881443</v>
        <stp/>
        <stp>BDP|3271990383928035073</stp>
        <tr r="K10" s="1"/>
        <tr r="K16" s="1"/>
      </tp>
      <tp t="s">
        <v>#N/A Requesting Data...3383359703</v>
        <stp/>
        <stp>BDP|7038982583049677518</stp>
        <tr r="T108" s="89"/>
      </tp>
      <tp t="s">
        <v>#N/A Requesting Data...3476464508</v>
        <stp/>
        <stp>BDP|1004337573258431787</stp>
        <tr r="L8" s="338"/>
        <tr r="H8" s="338"/>
        <tr r="L9" s="338"/>
        <tr r="H9" s="338"/>
      </tp>
      <tp t="s">
        <v>#N/A Requesting Data...3331464132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Data...3514757178</v>
        <stp/>
        <stp>BDP|2786473499167807238</stp>
        <tr r="AI45" s="338"/>
      </tp>
      <tp t="s">
        <v>#N/A Requesting Data...3616273721</v>
        <stp/>
        <stp>BDP|9928781162902167014</stp>
        <tr r="AA171" s="89"/>
        <tr r="Z171" s="89"/>
      </tp>
      <tp t="s">
        <v>#N/A Requesting Data...4129897197</v>
        <stp/>
        <stp>BDP|6785747401219846296</stp>
        <tr r="S41" s="338"/>
      </tp>
      <tp t="s">
        <v>#N/A Requesting Data...3253636752</v>
        <stp/>
        <stp>BDP|9500211458423629792</stp>
        <tr r="V31" s="338"/>
      </tp>
      <tp t="s">
        <v>#N/A Requesting Data...4158002766</v>
        <stp/>
        <stp>BDP|1467057410172064819</stp>
        <tr r="C153" s="89"/>
      </tp>
      <tp t="s">
        <v>#N/A Requesting Data...3118512143</v>
        <stp/>
        <stp>BDP|3991525680666985223</stp>
        <tr r="C171" s="89"/>
      </tp>
      <tp t="s">
        <v>#N/A Requesting Data...3753018871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Requesting Data...3884628857</v>
        <stp/>
        <stp>BDP|6834122784097772294</stp>
        <tr r="AG15" s="1"/>
      </tp>
      <tp t="s">
        <v>#N/A Requesting Data...3596721691</v>
        <stp/>
        <stp>BDP|9965794027725386324</stp>
        <tr r="AB21" s="1"/>
        <tr r="AB22" s="1"/>
        <tr r="F26" s="446"/>
      </tp>
      <tp t="s">
        <v>#N/A N/A</v>
        <stp/>
        <stp>BDP|1354781798976465315</stp>
        <tr r="R40" s="89"/>
      </tp>
      <tp t="s">
        <v>#N/A Requesting Data...4133842558</v>
        <stp/>
        <stp>BDP|1269563299172286598</stp>
        <tr r="V56" s="89"/>
        <tr r="AD7" s="2"/>
      </tp>
      <tp t="s">
        <v>#N/A Requesting Data...3974212553</v>
        <stp/>
        <stp>BDP|3885846074322660492</stp>
        <tr r="AG35" s="1"/>
      </tp>
      <tp t="s">
        <v>#N/A Requesting Data...3898817343</v>
        <stp/>
        <stp>BDP|1001769831296786978</stp>
        <tr r="AI45" s="338"/>
        <tr r="AK45" s="338"/>
      </tp>
      <tp t="s">
        <v>#N/A Requesting Data...3182865400</v>
        <stp/>
        <stp>BDP|2779597998256859293</stp>
        <tr r="E188" s="89"/>
      </tp>
      <tp t="s">
        <v>#N/A Requesting Data...3228832155</v>
        <stp/>
        <stp>BDP|3394479430858909693</stp>
        <tr r="C96" s="89"/>
      </tp>
      <tp t="s">
        <v>#N/A Requesting Data...3609611712</v>
        <stp/>
        <stp>BDP|9185782590255862852</stp>
        <tr r="D81" s="89"/>
      </tp>
      <tp t="s">
        <v>#N/A Requesting Data...3367422906</v>
        <stp/>
        <stp>BDP|4524000010539321624</stp>
        <tr r="V129" s="89"/>
      </tp>
      <tp t="s">
        <v>#N/A N/A</v>
        <stp/>
        <stp>BDP|2767736787573166466</stp>
        <tr r="F24" s="2"/>
      </tp>
      <tp t="s">
        <v>#N/A Requesting Data...4236818860</v>
        <stp/>
        <stp>BDP|8558300512371318103</stp>
        <tr r="C205" s="89"/>
      </tp>
      <tp t="s">
        <v>#N/A N/A</v>
        <stp/>
        <stp>BDP|2140911238616808459</stp>
        <tr r="AB170" s="89"/>
        <tr r="AB179" s="89"/>
        <tr r="AB180" s="89"/>
        <tr r="AB169" s="89"/>
        <tr r="AB171" s="89"/>
        <tr r="AB233" s="89"/>
        <tr r="AQ15" s="2"/>
        <tr r="AQ14" s="2"/>
        <tr r="AQ16" s="2"/>
        <tr r="AQ17" s="2"/>
      </tp>
      <tp t="s">
        <v>#N/A Requesting Data...3284870559</v>
        <stp/>
        <stp>BDP|3332604227028093513</stp>
        <tr r="S13" s="338"/>
      </tp>
      <tp t="s">
        <v>#N/A Requesting Data...3518433107</v>
        <stp/>
        <stp>BDP|7403651280812138158</stp>
        <tr r="L17" s="338"/>
        <tr r="L44" s="338"/>
        <tr r="L15" s="338"/>
        <tr r="J15" s="338"/>
        <tr r="L16" s="338"/>
        <tr r="J16" s="338"/>
        <tr r="J17" s="338"/>
        <tr r="L38" s="338"/>
        <tr r="J38" s="338"/>
        <tr r="L39" s="338"/>
        <tr r="J39" s="338"/>
        <tr r="J44" s="338"/>
        <tr r="L52" s="338"/>
        <tr r="J52" s="338"/>
      </tp>
      <tp t="s">
        <v>#N/A Requesting Data...3390359871</v>
        <stp/>
        <stp>BDP|3948059027399786291</stp>
        <tr r="C102" s="89"/>
      </tp>
      <tp>
        <v>32.4</v>
        <stp/>
        <stp>BDP|13965893341883543451|22</stp>
        <stp>LITE US 02/20/26 C400 Equity</stp>
        <stp>mid</stp>
        <tr r="L13" s="2"/>
      </tp>
      <tp>
        <v>37.75</v>
        <stp/>
        <stp>BDP|11850573147437326801|22</stp>
        <stp>SNDK US 02/20/26 C550 Equity</stp>
        <stp>mid</stp>
        <tr r="L24" s="2"/>
      </tp>
      <tp t="s">
        <v>#N/A Real Time</v>
        <stp/>
        <stp>BDP|11422101846013417478|22</stp>
        <stp>SPXW US 12/31/25 C6950 Index</stp>
        <stp>bid</stp>
        <tr r="K160" s="89"/>
      </tp>
      <tp>
        <v>31.1</v>
        <stp/>
        <stp>BDP|12794319931511644694|22</stp>
        <stp>TSM US 06/18/26 C340 Equity</stp>
        <stp>mid</stp>
        <tr r="L25" s="2"/>
      </tp>
      <tp t="s">
        <v>#N/A Requesting Data...4080352817</v>
        <stp/>
        <stp>BDP|6535458296649412984</stp>
        <tr r="T188" s="89"/>
      </tp>
      <tp t="s">
        <v>#N/A Requesting Data...3653201767</v>
        <stp/>
        <stp>BDP|8888687617413548780</stp>
        <tr r="L54" s="338"/>
        <tr r="J54" s="338"/>
      </tp>
      <tp t="s">
        <v>#N/A N/A</v>
        <stp/>
        <stp>BDP|5182527614598992258</stp>
        <tr r="Q11" s="338"/>
      </tp>
      <tp t="s">
        <v>#N/A Requesting Data...3934948468</v>
        <stp/>
        <stp>BDP|2329729297960563787</stp>
        <tr r="U42" s="338"/>
      </tp>
      <tp t="s">
        <v>#N/A Requesting Data...3640083629</v>
        <stp/>
        <stp>BDP|5055978459833341163</stp>
        <tr r="S40" s="338"/>
      </tp>
      <tp t="s">
        <v>#N/A Requesting Data...3967226183</v>
        <stp/>
        <stp>BDP|9916250733583306071</stp>
        <tr r="V95" s="89"/>
      </tp>
      <tp t="s">
        <v>#N/A Requesting Data...3379337762</v>
        <stp/>
        <stp>BDP|4721614875256887832</stp>
        <tr r="AR18" s="2"/>
      </tp>
      <tp t="s">
        <v>#N/A Requesting Data...4241005525</v>
        <stp/>
        <stp>BDP|7681331339914567810</stp>
        <tr r="S47" s="338"/>
      </tp>
      <tp t="s">
        <v>#N/A N/A</v>
        <stp/>
        <stp>BDP|4371199915239626618</stp>
        <tr r="AB116" s="89"/>
        <tr r="AB115" s="89"/>
      </tp>
      <tp t="s">
        <v>#N/A Requesting Data...3467684542</v>
        <stp/>
        <stp>BDP|4926041887351657654</stp>
        <tr r="D137" s="89"/>
      </tp>
      <tp t="s">
        <v>#N/A Requesting Data...4151191134</v>
        <stp/>
        <stp>BDP|9866940913692641877</stp>
        <tr r="AF19" s="1"/>
        <tr r="AF20" s="1"/>
      </tp>
      <tp t="s">
        <v>#N/A Requesting Data...3816141603</v>
        <stp/>
        <stp>BDP|8737954890503872047</stp>
        <tr r="D33" s="446"/>
      </tp>
      <tp t="s">
        <v>#N/A Requesting Data...3949589318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Data...3896101649</v>
        <stp/>
        <stp>BDP|4440081808298299792</stp>
        <tr r="AK42" s="338"/>
        <tr r="AI42" s="338"/>
      </tp>
      <tp t="s">
        <v>#N/A Requesting Data...3398471954</v>
        <stp/>
        <stp>BDP|6735248014207248991</stp>
        <tr r="T49" s="338"/>
      </tp>
      <tp t="s">
        <v>#N/A Requesting Data...3690074942</v>
        <stp/>
        <stp>BDP|2139028585213834226</stp>
        <tr r="Z123" s="89"/>
        <tr r="AA123" s="89"/>
      </tp>
      <tp t="s">
        <v>#N/A Requesting Data...3181145896</v>
        <stp/>
        <stp>BDP|4860326794961478469</stp>
        <tr r="C27" s="2"/>
      </tp>
      <tp t="s">
        <v>#N/A N/A</v>
        <stp/>
        <stp>BDH|5854301607644523960</stp>
        <tr r="AM31" s="338"/>
        <tr r="AM32" s="338"/>
      </tp>
      <tp t="s">
        <v>#N/A Requesting Data...3127798799</v>
        <stp/>
        <stp>BDP|8786342763721865752</stp>
        <tr r="P31" s="338"/>
      </tp>
      <tp t="s">
        <v>#N/A Requesting Data...3783140021</v>
        <stp/>
        <stp>BDP|7001248851652159998</stp>
        <tr r="T34" s="338"/>
      </tp>
      <tp t="s">
        <v>#N/A Requesting Data...3982592974</v>
        <stp/>
        <stp>BDP|1914533822549360466</stp>
        <tr r="K14" s="1"/>
      </tp>
      <tp t="s">
        <v>#N/A N/A</v>
        <stp/>
        <stp>BDH|8228983581907579538</stp>
        <tr r="AP17" s="338"/>
        <tr r="AP18" s="338"/>
      </tp>
      <tp t="s">
        <v>#N/A N/A</v>
        <stp/>
        <stp>BDP|9650633421404369258</stp>
        <tr r="T211" s="89"/>
      </tp>
      <tp t="s">
        <v>#N/A Requesting Data...</v>
        <stp/>
        <stp>BDP|10336739134199622533|22</stp>
        <stp>3,11179821649107 Index</stp>
        <stp>mid</stp>
        <tr r="L1" s="2"/>
      </tp>
      <tp t="s">
        <v>#N/A Requesting Data...3292113201</v>
        <stp/>
        <stp>BDP|8184963260888735426</stp>
        <tr r="AA180" s="89"/>
        <tr r="Z180" s="89"/>
      </tp>
      <tp t="s">
        <v>#N/A Requesting Data...3702198512</v>
        <stp/>
        <stp>BDP|7009075074579891280</stp>
        <tr r="T197" s="89"/>
      </tp>
      <tp t="s">
        <v>#N/A Requesting Data...3660042137</v>
        <stp/>
        <stp>BDP|5051274982791237548</stp>
        <tr r="D27" s="2"/>
      </tp>
      <tp t="s">
        <v>#N/A Requesting Data...3596353354</v>
        <stp/>
        <stp>BDP|9762687753917905669</stp>
        <tr r="T12" s="338"/>
      </tp>
      <tp t="s">
        <v>#N/A N/A</v>
        <stp/>
        <stp>BDP|2220703499371845606</stp>
        <tr r="R237" s="89"/>
      </tp>
      <tp t="s">
        <v>#N/A Requesting Data...3255207803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Data...3662114111</v>
        <stp/>
        <stp>BDP|6241611932378988086</stp>
        <tr r="G42" s="446"/>
      </tp>
      <tp t="s">
        <v>#N/A Requesting Data...3854555473</v>
        <stp/>
        <stp>BDP|7985659615982817917</stp>
        <tr r="V36" s="338"/>
      </tp>
      <tp t="s">
        <v>#N/A Requesting Data...3984770819</v>
        <stp/>
        <stp>BDP|3686904656286506250</stp>
        <tr r="O69" s="89"/>
      </tp>
      <tp t="s">
        <v>#N/A Requesting Data...3224134708</v>
        <stp/>
        <stp>BDP|2754061954929434510</stp>
        <tr r="D62" s="89"/>
      </tp>
      <tp t="s">
        <v>#N/A Requesting Data...4152983953</v>
        <stp/>
        <stp>BDP|8637443246353684034</stp>
        <tr r="T51" s="338"/>
      </tp>
      <tp t="s">
        <v>#N/A Requesting Data...3893181888</v>
        <stp/>
        <stp>BDP|7254106586446704322</stp>
        <tr r="AA55" s="89"/>
        <tr r="Z55" s="89"/>
      </tp>
      <tp t="s">
        <v>#N/A N/A</v>
        <stp/>
        <stp>BDP|8959047049495095258</stp>
        <tr r="R235" s="89"/>
        <tr r="AV22" s="2"/>
      </tp>
      <tp t="s">
        <v>#N/A Requesting Data...3254518492</v>
        <stp/>
        <stp>BDP|9760263158904719183</stp>
        <tr r="AA23" s="2"/>
      </tp>
      <tp t="s">
        <v>#N/A Requesting Data...3750752635</v>
        <stp/>
        <stp>BDP|5187006175490775958</stp>
        <tr r="N7" s="252"/>
        <tr r="N7" s="252"/>
      </tp>
      <tp t="s">
        <v>#N/A N/A</v>
        <stp/>
        <stp>BDH|6871484438032810867</stp>
        <tr r="AU53" s="338"/>
        <tr r="AP48" s="338"/>
        <tr r="AP47" s="338"/>
        <tr r="AP44" s="338"/>
        <tr r="AU10" s="338"/>
      </tp>
      <tp t="s">
        <v>#N/A Requesting Data...3521349760</v>
        <stp/>
        <stp>BDP|2612160096671704068</stp>
        <tr r="D31" s="446"/>
      </tp>
      <tp t="s">
        <v>#N/A Requesting Data...3477135993</v>
        <stp/>
        <stp>BDP|4718173344583097938</stp>
        <tr r="F16" s="252"/>
      </tp>
      <tp t="s">
        <v>#N/A Requesting Data...3479803240</v>
        <stp/>
        <stp>BDP|9318183699928316256</stp>
        <tr r="D43" s="446"/>
      </tp>
      <tp t="s">
        <v>#N/A Requesting Data...3785653874</v>
        <stp/>
        <stp>BDP|2397389796744963701</stp>
        <tr r="AK42" s="338"/>
      </tp>
      <tp t="s">
        <v>#N/A Requesting Data...4195531759</v>
        <stp/>
        <stp>BDP|2130704157473529871</stp>
        <tr r="C21" s="2"/>
      </tp>
      <tp t="s">
        <v>#N/A Requesting Data...3137624778</v>
        <stp/>
        <stp>BDP|9352295318971282043</stp>
        <tr r="T102" s="89"/>
      </tp>
      <tp t="s">
        <v>#N/A Requesting Data...3265345509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Data...3322885524</v>
        <stp/>
        <stp>BDP|4946496227111068830</stp>
        <tr r="T101" s="89"/>
      </tp>
      <tp t="s">
        <v>#N/A Requesting Data...3683332393</v>
        <stp/>
        <stp>BDP|4411149358442996952</stp>
        <tr r="O11" s="252"/>
      </tp>
      <tp t="s">
        <v>#N/A Requesting Data...3408154994</v>
        <stp/>
        <stp>BDP|8633363721614159645</stp>
        <tr r="G8" s="446"/>
      </tp>
      <tp t="s">
        <v>#N/A Requesting Data...3542067784</v>
        <stp/>
        <stp>BDP|2191174097923442203</stp>
        <tr r="T195" s="89"/>
      </tp>
      <tp>
        <v>25.15</v>
        <stp/>
        <stp>BDP|16895049281307982456|22</stp>
        <stp>AVGO US 06/18/26 P300 Equity</stp>
        <stp>ask</stp>
        <tr r="L224" s="89"/>
      </tp>
      <tp>
        <v>84.34</v>
        <stp/>
        <stp>BDP|2279876738225149449|22</stp>
        <stp>MRVL US Equity</stp>
        <stp>LAST_PRICE</stp>
        <tr r="Z18" s="2"/>
        <tr r="S62" s="89"/>
        <tr r="S63" s="89"/>
        <tr r="Z19" s="2"/>
        <tr r="Z21" s="2"/>
        <tr r="Z20" s="2"/>
      </tp>
      <tp>
        <v>2.8</v>
        <stp/>
        <stp>BDP|16321192409833246773|22</stp>
        <stp>ASML US 01/23/26 P1100 Equity</stp>
        <stp>ask</stp>
        <tr r="L50" s="89"/>
      </tp>
      <tp>
        <v>-0.35786199569702148</v>
        <stp/>
        <stp>BDP|1393123865485650562|22</stp>
        <stp>MRVL US 03/20/26 P80 Equity</stp>
        <stp>DELTA_MID_RT</stp>
        <tr r="W62" s="89"/>
        <tr r="AF20" s="2"/>
      </tp>
      <tp t="s">
        <v>#N/A Requesting Data...3261352793</v>
        <stp/>
        <stp>BDP|9669031297401111598</stp>
        <tr r="AG27" s="1"/>
      </tp>
      <tp t="s">
        <v>#N/A N/A</v>
        <stp/>
        <stp>BDP|1488248078573179330</stp>
        <tr r="O33" s="89"/>
      </tp>
      <tp t="s">
        <v>#N/A N/A</v>
        <stp/>
        <stp>BDH|7152792930791568665</stp>
        <tr r="AP54" s="338"/>
        <tr r="AP52" s="338"/>
        <tr r="AP53" s="338"/>
      </tp>
      <tp t="s">
        <v>#N/A N/A</v>
        <stp/>
        <stp>BDP|4283940605309327082</stp>
        <tr r="AV8" s="2"/>
      </tp>
      <tp t="s">
        <v>#N/A Requesting Data...4011031390</v>
        <stp/>
        <stp>BDP|7846163779046776380</stp>
        <tr r="V8" s="338"/>
      </tp>
      <tp t="s">
        <v>#N/A N/A</v>
        <stp/>
        <stp>BDP|1272798819383873033</stp>
        <tr r="C8" s="89"/>
      </tp>
      <tp t="s">
        <v>#N/A Requesting Data...3738247926</v>
        <stp/>
        <stp>BDP|4966659791349467604</stp>
        <tr r="AG45" s="338"/>
      </tp>
      <tp t="s">
        <v>#N/A Requesting Data...4228204063</v>
        <stp/>
        <stp>BDP|2906346500884364176</stp>
        <tr r="AJ31" s="338"/>
        <tr r="AJ32" s="338"/>
      </tp>
      <tp t="s">
        <v>#N/A Requesting Data...3300241122</v>
        <stp/>
        <stp>BDP|3419727698730200952</stp>
        <tr r="AR8" s="2"/>
      </tp>
      <tp t="s">
        <v>#N/A Requesting Data...4071300792</v>
        <stp/>
        <stp>BDP|6472525957406128491</stp>
        <tr r="AA63" s="89"/>
        <tr r="Z63" s="89"/>
      </tp>
      <tp t="s">
        <v>#N/A Requesting Data...3703191480</v>
        <stp/>
        <stp>BDP|6899414930851030473</stp>
        <tr r="V50" s="89"/>
      </tp>
      <tp t="s">
        <v>#N/A Requesting Data...3699460336</v>
        <stp/>
        <stp>BDP|1105691956700330633</stp>
        <tr r="AG28" s="1"/>
      </tp>
      <tp t="s">
        <v>#N/A Requesting Data...3768917983</v>
        <stp/>
        <stp>BDP|7494523709231730773</stp>
        <tr r="F31" s="446"/>
      </tp>
      <tp t="s">
        <v>#N/A Requesting Data...3897949488</v>
        <stp/>
        <stp>BDP|2743037479982482367</stp>
        <tr r="AF33" s="1"/>
      </tp>
      <tp t="s">
        <v>#N/A N/A</v>
        <stp/>
        <stp>BDH|2744975677299291195</stp>
        <tr r="AM39" s="338"/>
        <tr r="AM15" s="338"/>
        <tr r="AR40" s="338"/>
      </tp>
      <tp t="s">
        <v>#N/A Requesting Data...3430945621</v>
        <stp/>
        <stp>BDP|8549451961438864644</stp>
        <tr r="AJ55" s="338"/>
        <tr r="AK14" s="338"/>
        <tr r="AK55" s="338"/>
      </tp>
      <tp t="s">
        <v>#N/A Requesting Data...3768853446</v>
        <stp/>
        <stp>BDP|9945382899790540700</stp>
        <tr r="Z138" s="89"/>
        <tr r="AA138" s="89"/>
      </tp>
      <tp t="s">
        <v>#N/A Requesting Data...4203418650</v>
        <stp/>
        <stp>BDP|1051127841111916176</stp>
        <tr r="P16" s="252"/>
      </tp>
      <tp t="s">
        <v>#N/A Requesting Data...3146020475</v>
        <stp/>
        <stp>BDP|2199559048282875569</stp>
        <tr r="AI18" s="338"/>
      </tp>
      <tp t="s">
        <v>#N/A Requesting Data...4085560830</v>
        <stp/>
        <stp>BDP|4374742715501301730</stp>
        <tr r="N16" s="252"/>
        <tr r="N16" s="252"/>
      </tp>
      <tp t="s">
        <v>#N/A Requesting Data...3794568664</v>
        <stp/>
        <stp>BDP|3004206956470481008</stp>
        <tr r="AA20" s="89"/>
        <tr r="Z20" s="89"/>
      </tp>
      <tp t="s">
        <v>#N/A Requesting Data...3636888542</v>
        <stp/>
        <stp>BDP|8764335623844685936</stp>
        <tr r="T225" s="89"/>
      </tp>
      <tp t="s">
        <v>#N/A Requesting Data...3163792265</v>
        <stp/>
        <stp>BDP|1615244074723761330</stp>
        <tr r="T36" s="338"/>
      </tp>
      <tp t="s">
        <v>#N/A N/A</v>
        <stp/>
        <stp>BDH|1322445006103242213</stp>
        <tr r="AM18" s="338"/>
        <tr r="AM17" s="338"/>
      </tp>
      <tp t="s">
        <v>#N/A Requesting Data...3874429047</v>
        <stp/>
        <stp>BDP|8326860540126523632</stp>
        <tr r="E129" s="89"/>
      </tp>
      <tp t="s">
        <v>#N/A N/A</v>
        <stp/>
        <stp>BDP|2289008345105049779</stp>
        <tr r="Q34" s="338"/>
      </tp>
      <tp t="s">
        <v>#N/A Requesting Data...3368097119</v>
        <stp/>
        <stp>BDP|5790626169004593599</stp>
        <tr r="F40" s="446"/>
      </tp>
      <tp t="s">
        <v>#N/A Requesting Data...3496151139</v>
        <stp/>
        <stp>BDP|9726257024364768910</stp>
        <tr r="O19" s="252"/>
      </tp>
      <tp t="s">
        <v>#N/A Requesting Data...3926644099</v>
        <stp/>
        <stp>BDP|3121965407037939996</stp>
        <tr r="T10" s="338"/>
      </tp>
      <tp t="s">
        <v>#N/A Requesting Data...3211413767</v>
        <stp/>
        <stp>BDP|6006028351715170233</stp>
        <tr r="F27" s="2"/>
      </tp>
      <tp t="s">
        <v>#N/A Requesting Data...3573282822</v>
        <stp/>
        <stp>BDP|7599424229276827376</stp>
        <tr r="AF16" s="1"/>
      </tp>
      <tp t="s">
        <v>#N/A Requesting Data...3363423352</v>
        <stp/>
        <stp>BDP|7467390538945749637</stp>
        <tr r="AD12" s="2"/>
      </tp>
      <tp t="s">
        <v>#N/A Requesting Data...3925514725</v>
        <stp/>
        <stp>BDP|2781273192095754848</stp>
        <tr r="P37" s="338"/>
      </tp>
      <tp t="s">
        <v>#N/A Requesting Data...3337179635</v>
        <stp/>
        <stp>BDP|5028796441871860363</stp>
        <tr r="C223" s="89"/>
        <tr r="D10" s="2"/>
      </tp>
      <tp t="s">
        <v>#N/A Requesting Data...4265377211</v>
        <stp/>
        <stp>BDP|5440482774885960773</stp>
        <tr r="AH36" s="338"/>
      </tp>
      <tp t="s">
        <v>#N/A Requesting Data...3781611428</v>
        <stp/>
        <stp>BDP|8903483087139985997</stp>
        <tr r="S8" s="252"/>
      </tp>
      <tp t="s">
        <v>#N/A Requesting Data...3285096445</v>
        <stp/>
        <stp>BDP|1490932935796586918</stp>
        <tr r="T19" s="89"/>
      </tp>
      <tp t="s">
        <v>#N/A Requesting Data...3826277090</v>
        <stp/>
        <stp>BDP|2357040805921494704</stp>
        <tr r="AJ10" s="338"/>
        <tr r="AJ11" s="338"/>
        <tr r="AJ33" s="338"/>
      </tp>
      <tp t="s">
        <v>#N/A Requesting Data...3966874707</v>
        <stp/>
        <stp>BDP|7928439714665118399</stp>
        <tr r="AR17" s="2"/>
      </tp>
      <tp t="s">
        <v>#N/A N/A</v>
        <stp/>
        <stp>BDP|6846041857277848049</stp>
        <tr r="T236" s="89"/>
      </tp>
      <tp t="s">
        <v>#N/A Requesting Data...3509920878</v>
        <stp/>
        <stp>BDP|2785695221570324283</stp>
        <tr r="O188" s="89"/>
      </tp>
      <tp t="s">
        <v>#N/A Requesting Data...4246341249</v>
        <stp/>
        <stp>BDP|1913639431982971268</stp>
        <tr r="V122" s="89"/>
      </tp>
      <tp t="s">
        <v>#N/A Requesting Data...3712626607</v>
        <stp/>
        <stp>BDP|8103428543709687520</stp>
        <tr r="G5" s="446"/>
        <tr r="G6" s="446"/>
      </tp>
      <tp t="s">
        <v>#N/A N/A</v>
        <stp/>
        <stp>BDP|4010916482409341841</stp>
        <tr r="Q12" s="338"/>
      </tp>
      <tp t="s">
        <v>#N/A Requesting Data...3521870255</v>
        <stp/>
        <stp>BDP|5430094244624859152</stp>
        <tr r="D34" s="446"/>
      </tp>
      <tp t="s">
        <v>#N/A Requesting Data...3720649536</v>
        <stp/>
        <stp>BDP|5284294530751812164</stp>
        <tr r="AI12" s="338"/>
      </tp>
      <tp t="s">
        <v>#N/A Requesting Data...3667133332</v>
        <stp/>
        <stp>BDP|2593154816901666757</stp>
        <tr r="N13" s="252"/>
        <tr r="N13" s="252"/>
      </tp>
      <tp t="s">
        <v>#N/A Requesting Data...3367348414</v>
        <stp/>
        <stp>BDP|9638513960499697749</stp>
        <tr r="T46" s="338"/>
      </tp>
      <tp t="s">
        <v>#N/A Requesting Data...3424211388</v>
        <stp/>
        <stp>BDP|1095799839766349765</stp>
        <tr r="AR16" s="2"/>
      </tp>
      <tp t="s">
        <v>#N/A N/A</v>
        <stp/>
        <stp>BDH|5409667926264527141</stp>
        <tr r="AP12" s="338"/>
      </tp>
      <tp>
        <v>42.4</v>
        <stp/>
        <stp>BDP|16085343363608571045|22</stp>
        <stp>LITE US 03/20/26 C420 Equity</stp>
        <stp>ask</stp>
        <tr r="L8" s="89"/>
      </tp>
      <tp>
        <v>636.4</v>
        <stp/>
        <stp>BDP|3807768373389777345|22</stp>
        <stp>META Equity</stp>
        <stp>LAST_PRICE</stp>
        <tr r="I21" s="1"/>
        <tr r="I22" s="1"/>
      </tp>
      <tp t="s">
        <v>#N/A N/A</v>
        <stp/>
        <stp>BDH|75886277780019699</stp>
        <tr r="AM37" s="338"/>
      </tp>
      <tp>
        <v>104.71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Requesting Data...4111443979</v>
        <stp/>
        <stp>BDP|9005897765572380053</stp>
        <tr r="E21" s="2"/>
      </tp>
      <tp t="s">
        <v>#N/A N/A</v>
        <stp/>
        <stp>BDP|1163242074811817033</stp>
        <tr r="R234" s="89"/>
      </tp>
      <tp t="s">
        <v>#N/A Requesting Data...3924964919</v>
        <stp/>
        <stp>BDP|2926137671092226333</stp>
        <tr r="P14" s="252"/>
      </tp>
      <tp t="s">
        <v>#N/A Requesting Data...3328085211</v>
        <stp/>
        <stp>BDP|4780459414043985746</stp>
        <tr r="S33" s="338"/>
      </tp>
      <tp t="s">
        <v>#N/A Requesting Data...4012831262</v>
        <stp/>
        <stp>BDP|3715220583989463590</stp>
        <tr r="AB23" s="1"/>
        <tr r="F30" s="446"/>
      </tp>
      <tp t="s">
        <v>#N/A Requesting Data...4213482669</v>
        <stp/>
        <stp>BDP|3983744460122577503</stp>
        <tr r="AF28" s="1"/>
        <tr r="AF36" s="338"/>
      </tp>
      <tp t="s">
        <v>#N/A Requesting Data...3957104617</v>
        <stp/>
        <stp>BDP|8403826222750594793</stp>
        <tr r="E196" s="89"/>
      </tp>
      <tp t="s">
        <v>#N/A Requesting Data...4286265247</v>
        <stp/>
        <stp>BDP|5013605744345919757</stp>
        <tr r="D22" s="2"/>
      </tp>
      <tp t="s">
        <v>#N/A Requesting Data...3806894468</v>
        <stp/>
        <stp>BDP|5308081551174601141</stp>
        <tr r="U11" s="338"/>
      </tp>
      <tp t="s">
        <v>#N/A N/A</v>
        <stp/>
        <stp>BDP|1871933503555387825</stp>
        <tr r="AA34" s="89"/>
        <tr r="Z34" s="89"/>
      </tp>
      <tp t="s">
        <v>#N/A Requesting Data...3712118110</v>
        <stp/>
        <stp>BDP|3051431949301095732</stp>
        <tr r="AB33" s="1"/>
      </tp>
      <tp t="s">
        <v>#N/A N/A</v>
        <stp/>
        <stp>BDH|1637416518633519231</stp>
        <tr r="AM34" s="338"/>
        <tr r="AM13" s="338"/>
      </tp>
      <tp t="s">
        <v>#N/A Requesting Data...4209514110</v>
        <stp/>
        <stp>BDP|2636595951407112010</stp>
        <tr r="D41" s="446"/>
      </tp>
      <tp t="s">
        <v>#N/A N/A</v>
        <stp/>
        <stp>BDP|7351480032524726107</stp>
        <tr r="Q51" s="338"/>
      </tp>
      <tp t="e">
        <v>#N/A</v>
        <stp/>
        <stp>BDH|7779618312036278380</stp>
        <tr r="J19" s="252"/>
      </tp>
      <tp t="s">
        <v>#N/A Requesting Data...3893898884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Data...4016695854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Data...3829694841</v>
        <stp/>
        <stp>BDP|8626964800726479283</stp>
        <tr r="T17" s="338"/>
      </tp>
      <tp t="s">
        <v>#N/A Requesting Data...3742772252</v>
        <stp/>
        <stp>BDP|6689657087039171489</stp>
        <tr r="D50" s="89"/>
      </tp>
      <tp t="s">
        <v>#N/A Requesting Data...4032854197</v>
        <stp/>
        <stp>BDP|6453493511390892665</stp>
        <tr r="T31" s="338"/>
      </tp>
      <tp t="s">
        <v>#N/A Requesting Data...3732931613</v>
        <stp/>
        <stp>BDP|1933423945534840047</stp>
        <tr r="AK9" s="338"/>
      </tp>
      <tp t="s">
        <v>#N/A Requesting Data...3602370507</v>
        <stp/>
        <stp>BDP|4087771710803757431</stp>
        <tr r="X54" s="338"/>
      </tp>
      <tp t="s">
        <v>#N/A Requesting Data...3524851558</v>
        <stp/>
        <stp>BDP|5606617135013296639</stp>
        <tr r="D17" s="2"/>
      </tp>
      <tp t="s">
        <v>#N/A Requesting Data...4193630684</v>
        <stp/>
        <stp>BDP|7419327903193598239</stp>
        <tr r="AJ15" s="338"/>
        <tr r="AJ39" s="338"/>
        <tr r="AK40" s="338"/>
      </tp>
      <tp t="s">
        <v>#N/A Requesting Data...4210954051</v>
        <stp/>
        <stp>BDP|5133852355808281539</stp>
        <tr r="V63" s="89"/>
        <tr r="AD21" s="2"/>
      </tp>
      <tp t="s">
        <v>#N/A Requesting Data...3221303980</v>
        <stp/>
        <stp>BDP|4569291905061840219</stp>
        <tr r="C11" s="2"/>
      </tp>
      <tp t="s">
        <v>#N/A Requesting Data...3794450790</v>
        <stp/>
        <stp>BDP|9525835047501594141</stp>
        <tr r="AG18" s="1"/>
      </tp>
      <tp t="s">
        <v>#N/A N/A</v>
        <stp/>
        <stp>BDP|9212642566604321834</stp>
        <tr r="R89" s="89"/>
        <tr r="R90" s="89"/>
      </tp>
      <tp t="s">
        <v>#N/A Requesting Data...3598018659</v>
        <stp/>
        <stp>BDP|7337309723996972590</stp>
        <tr r="K36" s="1"/>
      </tp>
      <tp t="s">
        <v>#N/A Requesting Data...3770043430</v>
        <stp/>
        <stp>BDP|1252039566197775513</stp>
        <tr r="AK54" s="338"/>
      </tp>
      <tp t="s">
        <v>#N/A Requesting Data...3564451891</v>
        <stp/>
        <stp>BDP|6695752411146080338</stp>
        <tr r="AG26" s="1"/>
      </tp>
      <tp t="s">
        <v>#N/A Requesting Data...4279177664</v>
        <stp/>
        <stp>BDP|9107847052373360258</stp>
        <tr r="C14" s="2"/>
      </tp>
      <tp t="s">
        <v>#N/A Requesting Data...3538245654</v>
        <stp/>
        <stp>BDP|1340430251865159018</stp>
        <tr r="C122" s="89"/>
      </tp>
      <tp t="s">
        <v>#N/A Requesting Data...3320407923</v>
        <stp/>
        <stp>BDP|6973296607750514137</stp>
        <tr r="V76" s="89"/>
        <tr r="V81" s="89"/>
      </tp>
      <tp t="s">
        <v>#N/A Requesting Data...4025939159</v>
        <stp/>
        <stp>BDP|6397811860628218562</stp>
        <tr r="O40" s="89"/>
      </tp>
      <tp t="s">
        <v>#N/A Requesting Data...3211837590</v>
        <stp/>
        <stp>BDP|3777685039867817484</stp>
        <tr r="E20" s="89"/>
      </tp>
      <tp t="s">
        <v>#N/A Requesting Data...3611816632</v>
        <stp/>
        <stp>BDP|6124212647123164610</stp>
        <tr r="Z109" s="89"/>
        <tr r="AA109" s="89"/>
      </tp>
      <tp t="s">
        <v>#N/A Requesting Data...3738596589</v>
        <stp/>
        <stp>BDP|6362820535118116020</stp>
        <tr r="D75" s="89"/>
      </tp>
      <tp t="s">
        <v>#N/A Requesting Data...4025064099</v>
        <stp/>
        <stp>BDP|2987580469143878743</stp>
        <tr r="Z115" s="89"/>
        <tr r="AA115" s="89"/>
      </tp>
      <tp t="s">
        <v>#N/A Requesting Data...3284157170</v>
        <stp/>
        <stp>BDP|4033619350390538205</stp>
        <tr r="E197" s="89"/>
      </tp>
      <tp t="s">
        <v>#N/A Requesting Data...3618100989</v>
        <stp/>
        <stp>BDP|7460910680203620073</stp>
        <tr r="E25" s="2"/>
      </tp>
      <tp t="s">
        <v>#N/A Requesting Data...3565674651</v>
        <stp/>
        <stp>BDP|1785534484179509007</stp>
        <tr r="U37" s="338"/>
      </tp>
      <tp t="s">
        <v>#N/A Requesting Data...3575503365</v>
        <stp/>
        <stp>BDP|2813493497959311307</stp>
        <tr r="Z178" s="89"/>
        <tr r="AA178" s="89"/>
      </tp>
      <tp t="s">
        <v>#N/A N/A</v>
        <stp/>
        <stp>BDP|5417478464702737058</stp>
        <tr r="K1" s="2"/>
      </tp>
      <tp>
        <v>19.25</v>
        <stp/>
        <stp>BDP|14623209133839534515|22</stp>
        <stp>AMZN US 07/17/26 C245 Equity</stp>
        <stp>bid</stp>
        <tr r="K234" s="89"/>
      </tp>
      <tp>
        <v>29.4</v>
        <stp/>
        <stp>BDP|16902259978573716312|22</stp>
        <stp>MSFT US 03/20/26 P465 Equity</stp>
        <stp>ask</stp>
        <tr r="Q22" s="2"/>
      </tp>
      <tp>
        <v>53.6</v>
        <stp/>
        <stp>BDP|10509480426370688750|22</stp>
        <stp>META US 07/17/26 C670 Equity</stp>
        <stp>bid</stp>
        <tr r="K233" s="89"/>
        <tr r="P15" s="2"/>
      </tp>
      <tp>
        <v>12.2</v>
        <stp/>
        <stp>BDP|479954285595231818|22</stp>
        <stp>GDX US 09/18/26 C115 Equity</stp>
        <stp>ask</stp>
        <tr r="Q12" s="2"/>
      </tp>
      <tp t="s">
        <v>USD</v>
        <stp/>
        <stp>BDP|397487976034915571|22</stp>
        <stp>TSM US 06/18/26 C380 Equity</stp>
        <stp>QUOTED_CURRENCY_REALTIME</stp>
        <tr r="F14" s="89"/>
        <tr r="G26" s="2"/>
      </tp>
      <tp>
        <v>249.268</v>
        <stp/>
        <stp>BDP|4350104393385922955|22</stp>
        <stp>AAPL Equity</stp>
        <stp>LAST PRICE</stp>
        <tr r="I11" s="338"/>
      </tp>
      <tp>
        <v>-0.11993727833032608</v>
        <stp/>
        <stp>BDP|4567417713158786157|22</stp>
        <stp>AVGO US 06/18/26 C410 Equity</stp>
        <stp>theta_mid_rt</stp>
        <tr r="AN9" s="2"/>
      </tp>
      <tp>
        <v>-0.99771171808242798</v>
        <stp/>
        <stp>BDP|8141429079793918147|22</stp>
        <stp>SNDK US 02/20/26 C500 Equity</stp>
        <stp>theta_mid_rt</stp>
        <tr r="AN23" s="2"/>
      </tp>
      <tp t="s">
        <v>#N/A Requesting Data...3332360742</v>
        <stp/>
        <stp>BDP|9823698439132005823</stp>
        <tr r="M12" s="252"/>
      </tp>
      <tp t="s">
        <v>#N/A Requesting Data...3716302605</v>
        <stp/>
        <stp>BDP|3841182258277076628</stp>
        <tr r="E27" s="2"/>
      </tp>
      <tp t="s">
        <v>#N/A Requesting Data...3668304463</v>
        <stp/>
        <stp>BDP|3019690065241065465</stp>
        <tr r="AI48" s="338"/>
        <tr r="AI49" s="338"/>
      </tp>
      <tp t="s">
        <v>#N/A Requesting Data...3360909736</v>
        <stp/>
        <stp>BDP|7188757863485888551</stp>
        <tr r="G39" s="446"/>
      </tp>
      <tp t="s">
        <v>#N/A Requesting Data...4183781904</v>
        <stp/>
        <stp>BDP|7422247533576110683</stp>
        <tr r="AI35" s="1"/>
      </tp>
      <tp t="s">
        <v>#N/A Requesting Data...3623979707</v>
        <stp/>
        <stp>BDP|6357706968437215632</stp>
        <tr r="S51" s="338"/>
      </tp>
      <tp t="s">
        <v>#N/A Requesting Data...4273971290</v>
        <stp/>
        <stp>BDP|2912249135106636351</stp>
        <tr r="E171" s="89"/>
      </tp>
      <tp t="s">
        <v>#N/A Requesting Data...3383399472</v>
        <stp/>
        <stp>BDP|1443585917713323038</stp>
        <tr r="L30" s="338"/>
        <tr r="J30" s="338"/>
      </tp>
      <tp t="s">
        <v>#N/A Requesting Data...3284604391</v>
        <stp/>
        <stp>BDP|5276161858584454335</stp>
        <tr r="C195" s="89"/>
      </tp>
      <tp t="s">
        <v>#N/A Requesting Data...3570398407</v>
        <stp/>
        <stp>BDP|4646626558147768607</stp>
        <tr r="T144" s="89"/>
      </tp>
      <tp t="s">
        <v>#N/A N/A</v>
        <stp/>
        <stp>BDH|2595540009236262718</stp>
        <tr r="AN36" s="338"/>
      </tp>
      <tp t="s">
        <v>#N/A Requesting Data...3349904900</v>
        <stp/>
        <stp>BDP|9958243614845156906</stp>
        <tr r="AK30" s="338"/>
        <tr r="AI30" s="338"/>
      </tp>
      <tp t="s">
        <v>#N/A Requesting Data...3801617624</v>
        <stp/>
        <stp>BDP|3175608666544602195</stp>
        <tr r="T171" s="89"/>
      </tp>
      <tp t="s">
        <v>#N/A Requesting Data...3734314928</v>
        <stp/>
        <stp>BDP|1658103089397436930</stp>
        <tr r="AI15" s="1"/>
      </tp>
      <tp t="s">
        <v>#N/A Requesting Data...3303228204</v>
        <stp/>
        <stp>BDP|1754575979255457051</stp>
        <tr r="G14" s="446"/>
      </tp>
      <tp t="s">
        <v>#N/A Requesting Data...3768457320</v>
        <stp/>
        <stp>BDP|5130174576111125487</stp>
        <tr r="K32" s="1"/>
      </tp>
      <tp t="s">
        <v>#N/A Requesting Data...3330982029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Data...3552527838</v>
        <stp/>
        <stp>BDP|6095484704072209604</stp>
        <tr r="AJ13" s="338"/>
        <tr r="AJ34" s="338"/>
      </tp>
      <tp t="s">
        <v>#N/A Requesting Data...3328071286</v>
        <stp/>
        <stp>BDP|6921540255739678909</stp>
        <tr r="AK32" s="338"/>
        <tr r="AK46" s="338"/>
        <tr r="AK50" s="338"/>
        <tr r="AK8" s="338"/>
      </tp>
      <tp t="s">
        <v>#N/A Requesting Data...3918376335</v>
        <stp/>
        <stp>BDP|5836174453674625345</stp>
        <tr r="V34" s="338"/>
      </tp>
      <tp t="s">
        <v>#N/A Requesting Data...3767448147</v>
        <stp/>
        <stp>BDP|6914181187250139988</stp>
        <tr r="T223" s="89"/>
        <tr r="AA10" s="2"/>
      </tp>
      <tp t="s">
        <v>#N/A N/A</v>
        <stp/>
        <stp>BDP|1342908476288250183</stp>
        <tr r="V33" s="89"/>
      </tp>
      <tp t="s">
        <v>#N/A Requesting Data...3701949447</v>
        <stp/>
        <stp>BDP|2338594160066491111</stp>
        <tr r="AR27" s="2"/>
      </tp>
      <tp t="s">
        <v>#N/A Requesting Data...3438990029</v>
        <stp/>
        <stp>BDP|3930578222146831483</stp>
        <tr r="G43" s="446"/>
      </tp>
      <tp t="s">
        <v>#N/A Requesting Data...3699169817</v>
        <stp/>
        <stp>BDP|1796976268448721036</stp>
        <tr r="E14" s="89"/>
      </tp>
      <tp t="s">
        <v>#N/A Requesting Data...3503754385</v>
        <stp/>
        <stp>BDP|8403728728339567278</stp>
        <tr r="AC36" s="1"/>
      </tp>
      <tp t="s">
        <v>#N/A Requesting Data...3882996747</v>
        <stp/>
        <stp>BDP|9880395878588381367</stp>
        <tr r="AA188" s="89"/>
        <tr r="Z188" s="89"/>
      </tp>
      <tp t="s">
        <v>#N/A Requesting Data...3690054230</v>
        <stp/>
        <stp>BDP|3166087990788095446</stp>
        <tr r="G21" s="446"/>
      </tp>
      <tp t="s">
        <v>#N/A Requesting Data...3704102590</v>
        <stp/>
        <stp>BDP|4996607430791175657</stp>
        <tr r="T122" s="89"/>
      </tp>
      <tp t="s">
        <v>#N/A Requesting Data...3457506880</v>
        <stp/>
        <stp>BDP|3807948298497989200</stp>
        <tr r="P45" s="338"/>
      </tp>
      <tp t="s">
        <v>#N/A Requesting Data...4281493415</v>
        <stp/>
        <stp>BDP|5238012338866927602</stp>
        <tr r="C196" s="89"/>
      </tp>
      <tp t="s">
        <v>#N/A Requesting Data...3405961739</v>
        <stp/>
        <stp>BDP|2924047099948422524</stp>
        <tr r="D196" s="89"/>
      </tp>
      <tp t="s">
        <v>#N/A Requesting Data...3272534654</v>
        <stp/>
        <stp>BDP|4148348666006447154</stp>
        <tr r="AF18" s="1"/>
      </tp>
      <tp t="s">
        <v>#N/A Requesting Data...3477004486</v>
        <stp/>
        <stp>BDP|2876687939266845739</stp>
        <tr r="AA22" s="2"/>
      </tp>
      <tp t="s">
        <v>#N/A N/A</v>
        <stp/>
        <stp>BDP|9242806905375372266</stp>
        <tr r="R122" s="89"/>
        <tr r="R123" s="89"/>
      </tp>
      <tp t="s">
        <v>#N/A Requesting Data...4172082933</v>
        <stp/>
        <stp>BDP|3531676896459233342</stp>
        <tr r="G35" s="446"/>
      </tp>
      <tp t="s">
        <v>#N/A Requesting Data...3335775572</v>
        <stp/>
        <stp>BDP|9850960325197941300</stp>
        <tr r="AF16" s="338"/>
        <tr r="AF38" s="338"/>
        <tr r="AF40" s="338"/>
      </tp>
      <tp t="s">
        <v>#N/A Requesting Data...3648628081</v>
        <stp/>
        <stp>BDP|6363186864423553482</stp>
        <tr r="D205" s="89"/>
      </tp>
      <tp t="s">
        <v>#N/A Requesting Data...3641465045</v>
        <stp/>
        <stp>BDP|6405522765572861193</stp>
        <tr r="E195" s="89"/>
      </tp>
      <tp t="s">
        <v>#N/A Requesting Data...3671684480</v>
        <stp/>
        <stp>BDP|1831578601782415092</stp>
        <tr r="V18" s="338"/>
      </tp>
      <tp t="s">
        <v>#N/A Requesting Data...4263259592</v>
        <stp/>
        <stp>BDP|5315552559291956278</stp>
        <tr r="T56" s="89"/>
        <tr r="AA7" s="2"/>
      </tp>
      <tp t="s">
        <v>#N/A Requesting Data...3528731477</v>
        <stp/>
        <stp>BDP|9650470625011320866</stp>
        <tr r="AA225" s="89"/>
        <tr r="Z225" s="89"/>
      </tp>
      <tp t="s">
        <v>#N/A Requesting Data...4222611654</v>
        <stp/>
        <stp>BDP|9271742846914689876</stp>
        <tr r="S15" s="338"/>
        <tr r="S39" s="338"/>
      </tp>
      <tp t="s">
        <v>#N/A Requesting Data...3601778804</v>
        <stp/>
        <stp>BDP|1183356610207551274</stp>
        <tr r="O14" s="89"/>
        <tr r="T26" s="2"/>
      </tp>
      <tp t="s">
        <v>#N/A Requesting Data...3898712367</v>
        <stp/>
        <stp>BDP|3672362430114067167</stp>
        <tr r="T14" s="338"/>
      </tp>
      <tp t="s">
        <v>#N/A Requesting Data...4286377184</v>
        <stp/>
        <stp>BDP|2714917007269668409</stp>
        <tr r="M8" s="252"/>
      </tp>
      <tp t="s">
        <v>#N/A Requesting Data...3355639466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Data...3681286990</v>
        <stp/>
        <stp>BDP|8408000722589740564</stp>
        <tr r="T68" s="89"/>
      </tp>
      <tp t="s">
        <v>#N/A Requesting Data...4196552108</v>
        <stp/>
        <stp>BDP|8885961869603230210</stp>
        <tr r="AK32" s="338"/>
        <tr r="AK46" s="338"/>
        <tr r="AK50" s="338"/>
        <tr r="AK8" s="338"/>
      </tp>
      <tp t="s">
        <v>#N/A Requesting Data...3366343407</v>
        <stp/>
        <stp>BDP|5769981822101030995</stp>
        <tr r="T96" s="89"/>
      </tp>
      <tp t="s">
        <v>#N/A Requesting Data...3263409844</v>
        <stp/>
        <stp>BDP|8318036623599634512</stp>
        <tr r="D225" s="89"/>
      </tp>
      <tp t="s">
        <v>#N/A N/A</v>
        <stp/>
        <stp>BDH|9323814585476110921</stp>
        <tr r="AP32" s="338"/>
        <tr r="AP31" s="338"/>
      </tp>
      <tp t="s">
        <v>#N/A N/A</v>
        <stp/>
        <stp>BDP|4455695948858487840</stp>
        <tr r="V237" s="89"/>
      </tp>
      <tp t="s">
        <v>#N/A Requesting Data...3526771473</v>
        <stp/>
        <stp>BDP|2700137841574069501</stp>
        <tr r="AR11" s="2"/>
      </tp>
      <tp t="s">
        <v>#N/A Requesting Data...4115510624</v>
        <stp/>
        <stp>BDP|7214956164048318650</stp>
        <tr r="U34" s="338"/>
      </tp>
      <tp>
        <v>636.4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-0.13629062473773956</v>
        <stp/>
        <stp>BDP|8795046347241444117|22</stp>
        <stp>AVGO US 06/18/26 C350 Equity</stp>
        <stp>theta_mid_rt</stp>
        <tr r="AN10" s="2"/>
      </tp>
      <tp>
        <v>0.9</v>
        <stp/>
        <stp>BDP|10619735984996990676|22</stp>
        <stp>QQQ US 01/26/26 C627 Equity</stp>
        <stp>bid</stp>
        <tr r="K212" s="89"/>
      </tp>
      <tp t="s">
        <v>#N/A Requesting Data...3841212510</v>
        <stp/>
        <stp>BDP|4283425441594897730</stp>
        <tr r="AA170" s="89"/>
        <tr r="AA179" s="89"/>
        <tr r="Z170" s="89"/>
        <tr r="Z179" s="89"/>
      </tp>
      <tp t="s">
        <v>#N/A N/A</v>
        <stp/>
        <stp>BDH|9012676993605638482</stp>
        <tr r="AN15" s="338"/>
        <tr r="AS40" s="338"/>
        <tr r="AN39" s="338"/>
      </tp>
      <tp t="s">
        <v>#N/A Requesting Data...4172733676</v>
        <stp/>
        <stp>BDP|4245799967772009077</stp>
        <tr r="D37" s="446"/>
      </tp>
      <tp t="s">
        <v>#N/A Requesting Data...3657376691</v>
        <stp/>
        <stp>BDP|4758516714777806016</stp>
        <tr r="AR21" s="2"/>
      </tp>
      <tp t="s">
        <v>#N/A Requesting Data...4235595982</v>
        <stp/>
        <stp>BDP|2863781781368349292</stp>
        <tr r="AJ16" s="338"/>
        <tr r="AJ38" s="338"/>
        <tr r="AJ40" s="338"/>
      </tp>
      <tp t="s">
        <v>#N/A Requesting Data...4236975300</v>
        <stp/>
        <stp>BDP|9413232260152715883</stp>
        <tr r="C197" s="89"/>
      </tp>
      <tp t="s">
        <v>#N/A Requesting Data...3747473630</v>
        <stp/>
        <stp>BDP|8120208431448184693</stp>
        <tr r="S46" s="338"/>
      </tp>
      <tp t="s">
        <v>#N/A Requesting Data...3868501012</v>
        <stp/>
        <stp>BDP|7156185906827354649</stp>
        <tr r="AI13" s="1"/>
      </tp>
      <tp t="s">
        <v>#N/A Requesting Data...4254557429</v>
        <stp/>
        <stp>BDP|4897361001360642018</stp>
        <tr r="T48" s="338"/>
      </tp>
      <tp t="s">
        <v>#N/A Requesting Data...3473846589</v>
        <stp/>
        <stp>BDP|6577894425722203925</stp>
        <tr r="AI32" s="1"/>
      </tp>
      <tp t="s">
        <v>#N/A Requesting Data...4092631733</v>
        <stp/>
        <stp>BDP|5289094940154690244</stp>
        <tr r="S14" s="338"/>
      </tp>
      <tp t="s">
        <v>#N/A Requesting Data...4261343938</v>
        <stp/>
        <stp>BDP|1707015801081904771</stp>
        <tr r="S11" s="338"/>
      </tp>
      <tp t="s">
        <v>#N/A Requesting Data...4141648830</v>
        <stp/>
        <stp>BDP|5947737455944304421</stp>
        <tr r="AB32" s="1"/>
      </tp>
      <tp t="s">
        <v>#N/A Requesting Data...3335231120</v>
        <stp/>
        <stp>BDP|1510584037002581204</stp>
        <tr r="T115" s="89"/>
      </tp>
      <tp t="s">
        <v>#N/A Requesting Data...3872601983</v>
        <stp/>
        <stp>BDP|6917157052941035414</stp>
        <tr r="AK54" s="338"/>
      </tp>
      <tp t="s">
        <v>#N/A Requesting Data...3684058929</v>
        <stp/>
        <stp>BDP|7903719114714371204</stp>
        <tr r="T203" s="89"/>
      </tp>
      <tp t="s">
        <v>#N/A Requesting Data...3703512892</v>
        <stp/>
        <stp>BDP|1092378379464484650</stp>
        <tr r="G9" s="446"/>
      </tp>
      <tp t="s">
        <v>#N/A Requesting Data...3907637518</v>
        <stp/>
        <stp>BDP|5346594685016575959</stp>
        <tr r="AI18" s="338"/>
        <tr r="AK18" s="338"/>
      </tp>
      <tp t="s">
        <v>#N/A N/A</v>
        <stp/>
        <stp>BDH|1695290492374698944</stp>
        <tr r="AU12" s="338"/>
      </tp>
      <tp t="s">
        <v>#N/A Requesting Data...3791713304</v>
        <stp/>
        <stp>BDP|5675170649634239369</stp>
        <tr r="E109" s="89"/>
      </tp>
      <tp t="s">
        <v>#N/A Requesting Data...3640157025</v>
        <stp/>
        <stp>BDP|6652393212940572345</stp>
        <tr r="Z195" s="89"/>
        <tr r="AA195" s="89"/>
      </tp>
      <tp t="s">
        <v>#N/A Requesting Data...3626605749</v>
        <stp/>
        <stp>BDP|7675645627431897518</stp>
        <tr r="C25" s="2"/>
      </tp>
      <tp t="s">
        <v>#N/A Requesting Data...3889867451</v>
        <stp/>
        <stp>BDP|3706549500372914371</stp>
        <tr r="E136" s="89"/>
      </tp>
      <tp t="s">
        <v>#N/A Requesting Data...4018909239</v>
        <stp/>
        <stp>BDP|5312075309057886586</stp>
        <tr r="AI34" s="1"/>
      </tp>
      <tp t="s">
        <v>#N/A Requesting Data...4103526370</v>
        <stp/>
        <stp>BDP|7107626834487292286</stp>
        <tr r="L11" s="252"/>
        <tr r="L11" s="252"/>
      </tp>
      <tp t="s">
        <v>#N/A Requesting Data...3427657223</v>
        <stp/>
        <stp>BDP|8336092558638833275</stp>
        <tr r="M18" s="252"/>
      </tp>
      <tp t="s">
        <v>#N/A Requesting Data...3614292910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Data...3297818522</v>
        <stp/>
        <stp>BDP|1288906989993060491</stp>
        <tr r="X49" s="338"/>
      </tp>
      <tp t="s">
        <v>#N/A Requesting Data...3356305011</v>
        <stp/>
        <stp>BDP|6679731277588437958</stp>
        <tr r="E178" s="89"/>
      </tp>
      <tp t="s">
        <v>#N/A Requesting Data...3620660030</v>
        <stp/>
        <stp>BDP|8185611637538225266</stp>
        <tr r="C17" s="2"/>
      </tp>
      <tp t="s">
        <v>#N/A Requesting Data...3659515917</v>
        <stp/>
        <stp>BDP|5938177747656903132</stp>
        <tr r="S55" s="338"/>
      </tp>
      <tp t="s">
        <v>#N/A Requesting Data...3685450566</v>
        <stp/>
        <stp>BDP|1855721819082945297</stp>
        <tr r="P52" s="338"/>
      </tp>
      <tp t="s">
        <v>#N/A N/A</v>
        <stp/>
        <stp>BDP|7685578054963609331</stp>
        <tr r="T237" s="89"/>
      </tp>
      <tp t="s">
        <v>#N/A Requesting Data...3412387406</v>
        <stp/>
        <stp>BDP|7226011316269547804</stp>
        <tr r="AA101" s="89"/>
        <tr r="Z101" s="89"/>
      </tp>
      <tp t="s">
        <v>#N/A Requesting Data...3966500001</v>
        <stp/>
        <stp>BDP|3900760639080469025</stp>
        <tr r="AA11" s="2"/>
      </tp>
      <tp t="s">
        <v>#N/A Requesting Data...3624938042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N/A</v>
        <stp/>
        <stp>BDH|5309420441274617669</stp>
        <tr r="AR29" s="338"/>
      </tp>
      <tp t="s">
        <v>#N/A Requesting Data...3718169755</v>
        <stp/>
        <stp>BDP|6362624963838148922</stp>
        <tr r="AF23" s="1"/>
        <tr r="AF8" s="338"/>
        <tr r="AF9" s="338"/>
      </tp>
      <tp t="s">
        <v>#N/A Requesting Data...3713092084</v>
        <stp/>
        <stp>BDP|2907663611126652497</stp>
        <tr r="D136" s="89"/>
      </tp>
      <tp t="s">
        <v>#N/A Requesting Data...3419991980</v>
        <stp/>
        <stp>BDP|7909641621027922343</stp>
        <tr r="O50" s="89"/>
      </tp>
      <tp t="s">
        <v>#N/A Requesting Data...3456372496</v>
        <stp/>
        <stp>BDP|5447413907492272417</stp>
        <tr r="AG48" s="338"/>
        <tr r="AG49" s="338"/>
      </tp>
      <tp t="s">
        <v>#N/A N/A</v>
        <stp/>
        <stp>BDH|9964592431999898187</stp>
        <tr r="AU30" s="338"/>
      </tp>
      <tp t="s">
        <v>#N/A N/A</v>
        <stp/>
        <stp>BDP|4445164765726738268</stp>
        <tr r="AA233" s="89"/>
        <tr r="Z233" s="89"/>
      </tp>
      <tp t="s">
        <v>#N/A Requesting Data...3802632079</v>
        <stp/>
        <stp>BDP|2614909402095251903</stp>
        <tr r="L12" s="252"/>
        <tr r="L12" s="252"/>
      </tp>
      <tp t="s">
        <v>#N/A N/A</v>
        <stp/>
        <stp>BDP|4321791803795608194</stp>
        <tr r="AB178" s="89"/>
      </tp>
      <tp t="s">
        <v>#N/A Requesting Data...3914030162</v>
        <stp/>
        <stp>BDP|5476793879341768354</stp>
        <tr r="AK30" s="338"/>
      </tp>
      <tp t="s">
        <v>#N/A Requesting Data...3529006789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Data...4085454876</v>
        <stp/>
        <stp>BDP|9356568301399407276</stp>
        <tr r="L29" s="338"/>
        <tr r="J29" s="338"/>
      </tp>
      <tp t="s">
        <v>#N/A Requesting Data...4223153576</v>
        <stp/>
        <stp>BDP|7057279456164256342</stp>
        <tr r="S32" s="338"/>
      </tp>
      <tp t="s">
        <v>#N/A Requesting Data...4029097841</v>
        <stp/>
        <stp>BDP|7250845338122873916</stp>
        <tr r="D19" s="2"/>
      </tp>
      <tp t="s">
        <v>#N/A Requesting Data...4148910332</v>
        <stp/>
        <stp>BDP|5679496740627876502</stp>
        <tr r="N20" s="252"/>
        <tr r="N20" s="252"/>
      </tp>
      <tp t="s">
        <v>#N/A Requesting Data...3687999714</v>
        <stp/>
        <stp>BDP|7775425857631476016</stp>
        <tr r="X53" s="338"/>
      </tp>
      <tp t="s">
        <v>#N/A Requesting Data...4233766844</v>
        <stp/>
        <stp>BDP|6730519311327945299</stp>
        <tr r="AK11" s="338"/>
      </tp>
      <tp t="s">
        <v>#N/A Requesting Data...3826253341</v>
        <stp/>
        <stp>BDP|7034052966182144450</stp>
        <tr r="G7" s="446"/>
      </tp>
      <tp t="s">
        <v>#N/A N/A</v>
        <stp/>
        <stp>BDH|8127363309305126988</stp>
        <tr r="AP16" s="338"/>
        <tr r="AP40" s="338"/>
        <tr r="AP38" s="338"/>
      </tp>
      <tp t="s">
        <v>#N/A N/A</v>
        <stp/>
        <stp>BDP|1643511825883151271</stp>
        <tr r="T212" s="89"/>
      </tp>
      <tp t="s">
        <v>#N/A Requesting Data...4185009525</v>
        <stp/>
        <stp>BDP|5264049846531072744</stp>
        <tr r="AA95" s="89"/>
        <tr r="Z95" s="89"/>
      </tp>
      <tp t="s">
        <v>#N/A Requesting Data...3763295831</v>
        <stp/>
        <stp>BDP|7817792651205133748</stp>
        <tr r="U30" s="338"/>
      </tp>
      <tp t="s">
        <v>#N/A Requesting Data...4023974610</v>
        <stp/>
        <stp>BDP|1636158366620394139</stp>
        <tr r="V160" s="89"/>
      </tp>
      <tp t="s">
        <v>#N/A Requesting Data...3522066747</v>
        <stp/>
        <stp>BDP|7130911573469165773</stp>
        <tr r="V223" s="89"/>
        <tr r="AD10" s="2"/>
      </tp>
      <tp t="s">
        <v>#N/A Requesting Data...3577364675</v>
        <stp/>
        <stp>BDP|4266068674933073757</stp>
        <tr r="E23" s="2"/>
      </tp>
      <tp t="s">
        <v>#N/A N/A</v>
        <stp/>
        <stp>BDH|6338043264720080767</stp>
        <tr r="AS18" s="338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235.07</v>
        <stp/>
        <stp>BDP|4344863504285541564|22</stp>
        <stp>AMZN Equity</stp>
        <stp>LAST_PRICE</stp>
        <tr r="I19" s="1"/>
        <tr r="I20" s="1"/>
      </tp>
      <tp t="s">
        <v>#N/A N/A</v>
        <stp/>
        <stp>BDP|5392093770183418143</stp>
        <tr r="AR15" s="2"/>
      </tp>
      <tp t="s">
        <v>#N/A Requesting Data...4252554626</v>
        <stp/>
        <stp>BDP|7888925895296536105</stp>
        <tr r="D195" s="89"/>
      </tp>
      <tp t="s">
        <v>#N/A Requesting Data...3873142773</v>
        <stp/>
        <stp>BDP|9478381283761550308</stp>
        <tr r="V13" s="89"/>
        <tr r="AD25" s="2"/>
      </tp>
      <tp t="s">
        <v>#N/A Requesting Data...3885985902</v>
        <stp/>
        <stp>BDP|3454753217493992655</stp>
        <tr r="AB31" s="1"/>
        <tr r="AB30" s="1"/>
        <tr r="F36" s="446"/>
      </tp>
      <tp t="s">
        <v>#N/A Requesting Data...3994052497</v>
        <stp/>
        <stp>BDP|8148908707662517398</stp>
        <tr r="AG21" s="1"/>
        <tr r="AG22" s="1"/>
      </tp>
      <tp t="s">
        <v>#N/A N/A</v>
        <stp/>
        <stp>BDP|9603670840602247996</stp>
        <tr r="AD24" s="2"/>
      </tp>
      <tp t="s">
        <v>#N/A Requesting Data...3780898961</v>
        <stp/>
        <stp>BDP|1189172247476298290</stp>
        <tr r="O7" s="252"/>
      </tp>
      <tp t="s">
        <v>#N/A Requesting Data...3836659745</v>
        <stp/>
        <stp>BDP|6955622269271151797</stp>
        <tr r="T8" s="2"/>
      </tp>
      <tp t="e">
        <v>#N/A</v>
        <stp/>
        <stp>BDH|6300508665442857747</stp>
        <tr r="J20" s="252"/>
      </tp>
      <tp t="s">
        <v>#N/A Requesting Data...4185338787</v>
        <stp/>
        <stp>BDP|2073373381748750195</stp>
        <tr r="F25" s="446"/>
      </tp>
      <tp t="s">
        <v>#N/A N/A</v>
        <stp/>
        <stp>BDP|1341032626152789198</stp>
        <tr r="E27" s="89"/>
      </tp>
      <tp t="s">
        <v>#N/A Requesting Data...3353547015</v>
        <stp/>
        <stp>BDP|1626262929107928698</stp>
        <tr r="O224" s="89"/>
      </tp>
      <tp t="s">
        <v>#N/A Requesting Data...3932945345</v>
        <stp/>
        <stp>BDP|7426051978057192711</stp>
        <tr r="K12" s="1"/>
      </tp>
      <tp t="s">
        <v>#N/A Requesting Data...3977541181</v>
        <stp/>
        <stp>BDP|5045073666933003089</stp>
        <tr r="V9" s="338"/>
      </tp>
      <tp t="s">
        <v>#N/A N/A</v>
        <stp/>
        <stp>BDP|2847961532868259008</stp>
        <tr r="Q53" s="338"/>
      </tp>
      <tp t="s">
        <v>#N/A Requesting Data...3948444338</v>
        <stp/>
        <stp>BDP|7131418634293998332</stp>
        <tr r="T19" s="2"/>
      </tp>
      <tp t="s">
        <v>#N/A Requesting Data...3476823812</v>
        <stp/>
        <stp>BDP|4874875695403262667</stp>
        <tr r="O169" s="89"/>
      </tp>
      <tp t="s">
        <v>#N/A N/A</v>
        <stp/>
        <stp>BDP|3833608477975887782</stp>
        <tr r="AC13" s="2"/>
      </tp>
      <tp t="s">
        <v>#N/A Requesting Data...3642900582</v>
        <stp/>
        <stp>BDP|3872713712930116557</stp>
        <tr r="V186" s="89"/>
      </tp>
      <tp t="s">
        <v>#N/A Requesting Data...4178976921</v>
        <stp/>
        <stp>BDP|5526635939431875188</stp>
        <tr r="AI29" s="338"/>
      </tp>
      <tp t="s">
        <v>#N/A Requesting Data...3475342998</v>
        <stp/>
        <stp>BDP|5959149956824211564</stp>
        <tr r="G38" s="446"/>
      </tp>
      <tp t="s">
        <v>#N/A N/A</v>
        <stp/>
        <stp>BDP|5227150449344083429</stp>
        <tr r="D8" s="89"/>
      </tp>
      <tp t="s">
        <v>#N/A Requesting Data...3547233399</v>
        <stp/>
        <stp>BDP|5381969730908949709</stp>
        <tr r="AD8" s="2"/>
      </tp>
      <tp t="s">
        <v>#N/A Requesting Data...3773878607</v>
        <stp/>
        <stp>BDP|8739029094357904654</stp>
        <tr r="O20" s="89"/>
      </tp>
      <tp t="s">
        <v>#N/A Requesting Data...3852057074</v>
        <stp/>
        <stp>BDP|3572723856414756549</stp>
        <tr r="C222" s="89"/>
        <tr r="D9" s="2"/>
      </tp>
      <tp t="s">
        <v>#N/A Requesting Data...4181642583</v>
        <stp/>
        <stp>BDP|1905590006853613726</stp>
        <tr r="E169" s="89"/>
      </tp>
      <tp t="s">
        <v>#N/A Requesting Data...3811073877</v>
        <stp/>
        <stp>BDP|8781859390611325836</stp>
        <tr r="X12" s="338"/>
      </tp>
      <tp t="s">
        <v>#N/A Requesting Data...3445512609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22" s="89"/>
        <tr r="AB223" s="89"/>
        <tr r="AB225" s="89"/>
        <tr r="AB224" s="89"/>
        <tr r="AQ9" s="2"/>
        <tr r="AQ10" s="2"/>
      </tp>
      <tp t="s">
        <v>#N/A Requesting Data...3426269781</v>
        <stp/>
        <stp>BDP|9421627465539513045</stp>
        <tr r="D154" s="89"/>
        <tr r="E4" s="2"/>
        <tr r="E5" s="2"/>
      </tp>
      <tp t="s">
        <v>#N/A Requesting Data...3638379860</v>
        <stp/>
        <stp>BDP|2925650370332906175</stp>
        <tr r="AI27" s="1"/>
      </tp>
      <tp t="s">
        <v>#N/A N/A</v>
        <stp/>
        <stp>BDP|3960122539301296028</stp>
        <tr r="O233" s="89"/>
        <tr r="T15" s="2"/>
      </tp>
      <tp t="s">
        <v>#N/A N/A</v>
        <stp/>
        <stp>BDH|6380847283242106477</stp>
        <tr r="AN44" s="338"/>
        <tr r="AN47" s="338"/>
        <tr r="AN48" s="338"/>
        <tr r="AS53" s="338"/>
        <tr r="AS10" s="338"/>
      </tp>
      <tp t="s">
        <v>#N/A Requesting Data...3419513790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Data...4222923023</v>
        <stp/>
        <stp>BDP|6737719904352055316</stp>
        <tr r="AR23" s="2"/>
      </tp>
      <tp t="s">
        <v>#N/A Requesting Data...4132661204</v>
        <stp/>
        <stp>BDP|4552037620785435316</stp>
        <tr r="P33" s="338"/>
      </tp>
      <tp t="s">
        <v>#N/A N/A</v>
        <stp/>
        <stp>BDP|7452750254675161071</stp>
        <tr r="T26" s="89"/>
      </tp>
      <tp t="s">
        <v>#N/A N/A</v>
        <stp/>
        <stp>BDP|2715516659617805578</stp>
        <tr r="Q48" s="338"/>
      </tp>
      <tp t="s">
        <v>#N/A Requesting Data...4093687119</v>
        <stp/>
        <stp>BDP|7522224882638423511</stp>
        <tr r="AF17" s="1"/>
      </tp>
      <tp t="s">
        <v>#N/A Requesting Data...3670210845</v>
        <stp/>
        <stp>BDP|1912350260220949454</stp>
        <tr r="AJ29" s="338"/>
        <tr r="AJ30" s="338"/>
      </tp>
      <tp t="s">
        <v>#N/A Requesting Data...3423563182</v>
        <stp/>
        <stp>BDP|5137251643354744701</stp>
        <tr r="L36" s="338"/>
        <tr r="H36" s="338"/>
      </tp>
      <tp t="s">
        <v>#N/A Requesting Data...4095063421</v>
        <stp/>
        <stp>BDP|6283111272633911397</stp>
        <tr r="AJ14" s="338"/>
        <tr r="AJ35" s="338"/>
      </tp>
      <tp t="s">
        <v>#N/A Requesting Data...3453207336</v>
        <stp/>
        <stp>BDP|7112967104169217777</stp>
        <tr r="P30" s="338"/>
      </tp>
      <tp t="s">
        <v>#N/A Requesting Data...3474989205</v>
        <stp/>
        <stp>BDP|5682063267492381124</stp>
        <tr r="S12" s="338"/>
      </tp>
      <tp t="s">
        <v>#N/A Requesting Data...3943664896</v>
        <stp/>
        <stp>BDP|1018734111515407205</stp>
        <tr r="F18" s="252"/>
      </tp>
      <tp t="s">
        <v>#N/A Requesting Data...3651656472</v>
        <stp/>
        <stp>BDP|4028930726656593970</stp>
        <tr r="AJ16" s="338"/>
        <tr r="AJ38" s="338"/>
        <tr r="AJ40" s="338"/>
      </tp>
      <tp t="s">
        <v>#N/A Requesting Data...4161212145</v>
        <stp/>
        <stp>BDP|9163195119900175972</stp>
        <tr r="C188" s="89"/>
      </tp>
      <tp t="s">
        <v>#N/A Requesting Data...3614212019</v>
        <stp/>
        <stp>BDP|1494500509740882420</stp>
        <tr r="D96" s="89"/>
      </tp>
      <tp t="s">
        <v>#N/A Requesting Data...3437052013</v>
        <stp/>
        <stp>BDP|8313925844516597346</stp>
        <tr r="AA40" s="89"/>
        <tr r="Z40" s="89"/>
      </tp>
      <tp t="s">
        <v>#N/A Requesting Data...4121045035</v>
        <stp/>
        <stp>BDP|3485044105441809296</stp>
        <tr r="L12" s="338"/>
        <tr r="J12" s="338"/>
      </tp>
      <tp t="s">
        <v>#N/A Requesting Data...3834973688</v>
        <stp/>
        <stp>BDP|7774064174301905182</stp>
        <tr r="T49" s="89"/>
      </tp>
      <tp t="s">
        <v>#N/A Requesting Data...4230288708</v>
        <stp/>
        <stp>BDP|6637641837380428351</stp>
        <tr r="D89" s="89"/>
      </tp>
      <tp t="s">
        <v>#N/A N/A</v>
        <stp/>
        <stp>BDH|4901616735988045992</stp>
        <tr r="AS29" s="338"/>
      </tp>
      <tp t="s">
        <v>#N/A Requesting Data...3437943838</v>
        <stp/>
        <stp>BDP|5822594247364117028</stp>
        <tr r="AD23" s="2"/>
      </tp>
      <tp t="s">
        <v>#N/A Requesting Data...3479600823</v>
        <stp/>
        <stp>BDP|2723076874625349028</stp>
        <tr r="M7" s="252"/>
      </tp>
      <tp>
        <v>35.450000000000003</v>
        <stp/>
        <stp>BDP|14709653448625040347|22</stp>
        <stp>TSM US 07/17/26 C340 Equity</stp>
        <stp>ask</stp>
        <tr r="L19" s="89"/>
      </tp>
      <tp>
        <v>-0.14144325256347656</v>
        <stp/>
        <stp>BDP|9340851764495106938|22</stp>
        <stp>AMAT US 01/23/26 P280 Equity</stp>
        <stp>theta_mid_rt</stp>
        <tr r="AN7" s="2"/>
      </tp>
      <tp>
        <v>17.079999999999998</v>
        <stp/>
        <stp>BDP|13708122924811862625|22</stp>
        <stp>TSM US 06/18/26 C380 Equity</stp>
        <stp>mid</stp>
        <tr r="L26" s="2"/>
      </tp>
      <tp>
        <v>200.30500000000001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>
        <v>-0.20213870704174042</v>
        <stp/>
        <stp>BDP|12332095747128456494|22</stp>
        <stp>1OG6P 24700 Index</stp>
        <stp>DELTA_MID_RT</stp>
        <tr r="W153" s="89"/>
      </tp>
      <tp t="s">
        <v>#N/A Requesting Data...3950989554</v>
        <stp/>
        <stp>BDP|5033376349836196559</stp>
        <tr r="X29" s="338"/>
      </tp>
      <tp t="s">
        <v>#N/A Requesting Data...3650512705</v>
        <stp/>
        <stp>BDP|5906347697766862884</stp>
        <tr r="C22" s="2"/>
      </tp>
      <tp t="s">
        <v>#N/A Requesting Data...4167747852</v>
        <stp/>
        <stp>BDP|3552512649496298558</stp>
        <tr r="M14" s="252"/>
      </tp>
      <tp t="s">
        <v>#N/A Requesting Data...4051067299</v>
        <stp/>
        <stp>BDP|6512582705651116331</stp>
        <tr r="C62" s="89"/>
        <tr r="D20" s="2"/>
      </tp>
      <tp t="s">
        <v>#N/A N/A</v>
        <stp/>
        <stp>BDP|7969452338967871675</stp>
        <tr r="AA27" s="89"/>
        <tr r="Z27" s="89"/>
      </tp>
      <tp t="s">
        <v>#N/A Requesting Data...3408166045</v>
        <stp/>
        <stp>BDP|8548403483194970146</stp>
        <tr r="V55" s="89"/>
        <tr r="AD6" s="2"/>
      </tp>
      <tp t="s">
        <v>#N/A Requesting Data...3764160489</v>
        <stp/>
        <stp>BDP|3243861311373893853</stp>
        <tr r="E12" s="2"/>
      </tp>
      <tp t="s">
        <v>#N/A Requesting Data...4047151539</v>
        <stp/>
        <stp>BDP|9570666606426496899</stp>
        <tr r="T11" s="2"/>
      </tp>
      <tp t="s">
        <v>#N/A Requesting Data...4280380614</v>
        <stp/>
        <stp>BDP|3758548566115413498</stp>
        <tr r="F16" s="2"/>
      </tp>
      <tp t="s">
        <v>#N/A Requesting Data...3675420952</v>
        <stp/>
        <stp>BDP|5889104764011396273</stp>
        <tr r="AI29" s="1"/>
      </tp>
      <tp t="s">
        <v>#N/A Requesting Data...3845027897</v>
        <stp/>
        <stp>BDP|5256432133392845134</stp>
        <tr r="C101" s="89"/>
      </tp>
      <tp t="s">
        <v>#N/A Requesting Data...4203060410</v>
        <stp/>
        <stp>BDP|7551465529835272566</stp>
        <tr r="N9" s="252"/>
        <tr r="N9" s="252"/>
      </tp>
      <tp t="s">
        <v>#N/A Requesting Data...4187263832</v>
        <stp/>
        <stp>BDP|1897815793981176051</stp>
        <tr r="AR19" s="2"/>
      </tp>
      <tp t="s">
        <v>#N/A Requesting Data...4098190001</v>
        <stp/>
        <stp>BDP|9828973103046090731</stp>
        <tr r="C82" s="89"/>
      </tp>
      <tp t="s">
        <v>#N/A Requesting Data...4110059465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Data...3880741303</v>
        <stp/>
        <stp>BDP|7601159166158268985</stp>
        <tr r="S16" s="252"/>
      </tp>
      <tp t="s">
        <v>#N/A Requesting Data...3792834370</v>
        <stp/>
        <stp>BDP|3235511292777879969</stp>
        <tr r="X11" s="338"/>
      </tp>
      <tp t="s">
        <v>#N/A Requesting Data...3828033114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Data...4057197725</v>
        <stp/>
        <stp>BDP|1748256233439783899</stp>
        <tr r="T15" s="338"/>
        <tr r="T39" s="338"/>
      </tp>
      <tp t="s">
        <v>#N/A Requesting Data...3537008960</v>
        <stp/>
        <stp>BDP|7660636101386198693</stp>
        <tr r="P15" s="338"/>
        <tr r="P39" s="338"/>
      </tp>
      <tp t="s">
        <v>#N/A Requesting Data...3863111651</v>
        <stp/>
        <stp>BDP|8463094131499939398</stp>
        <tr r="X18" s="338"/>
      </tp>
      <tp t="s">
        <v>#N/A Requesting Data...4167110732</v>
        <stp/>
        <stp>BDP|7404929821424807933</stp>
        <tr r="L16" s="338"/>
        <tr r="L38" s="338"/>
        <tr r="H16" s="338"/>
        <tr r="H38" s="338"/>
        <tr r="L40" s="338"/>
        <tr r="H40" s="338"/>
      </tp>
      <tp t="s">
        <v>#N/A Requesting Data...3673431520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Data...3787727338</v>
        <stp/>
        <stp>BDP|6241899226908646569</stp>
        <tr r="D42" s="446"/>
      </tp>
      <tp t="s">
        <v>#N/A Requesting Data...3603828764</v>
        <stp/>
        <stp>BDP|2974198673022627786</stp>
        <tr r="AK48" s="338"/>
        <tr r="AK49" s="338"/>
      </tp>
      <tp t="s">
        <v>#N/A Requesting Data...3716668037</v>
        <stp/>
        <stp>BDP|5183368778820171035</stp>
        <tr r="F45" s="446"/>
      </tp>
      <tp t="s">
        <v>#N/A Requesting Data...4055915733</v>
        <stp/>
        <stp>BDP|5678783394829319341</stp>
        <tr r="F26" s="2"/>
      </tp>
      <tp t="s">
        <v>#N/A Requesting Data...3935291593</v>
        <stp/>
        <stp>BDP|5223714776062803600</stp>
        <tr r="AC13" s="1"/>
      </tp>
      <tp t="s">
        <v>#N/A Requesting Data...3446580139</v>
        <stp/>
        <stp>BDP|3451935198061445399</stp>
        <tr r="E22" s="2"/>
      </tp>
      <tp t="s">
        <v>#N/A Requesting Data...3572080910</v>
        <stp/>
        <stp>BDP|7603021556517835487</stp>
        <tr r="AH52" s="338"/>
        <tr r="AH53" s="338"/>
        <tr r="AH54" s="338"/>
      </tp>
      <tp t="s">
        <v>#N/A Requesting Data...4005217955</v>
        <stp/>
        <stp>BDP|4388333855843269056</stp>
        <tr r="P10" s="252"/>
      </tp>
      <tp t="s">
        <v>#N/A Requesting Data...4032361363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N/A</v>
        <stp/>
        <stp>BDP|8089955034922775144</stp>
        <tr r="C26" s="89"/>
      </tp>
      <tp t="s">
        <v>#N/A Requesting Data...4272138151</v>
        <stp/>
        <stp>BDP|2790133807587110508</stp>
        <tr r="O10" s="252"/>
      </tp>
      <tp t="s">
        <v>#N/A N/A</v>
        <stp/>
        <stp>BDP|5321310310405368336</stp>
        <tr r="Q47" s="338"/>
      </tp>
      <tp t="s">
        <v>#N/A Requesting Data...4046316177</v>
        <stp/>
        <stp>BDP|7513670475916134150</stp>
        <tr r="AG18" s="338"/>
      </tp>
      <tp t="s">
        <v>#N/A N/A</v>
        <stp/>
        <stp>BDP|5135037260523416154</stp>
        <tr r="AC7" s="2"/>
        <tr r="AC6" s="2"/>
      </tp>
      <tp t="s">
        <v>#N/A N/A</v>
        <stp/>
        <stp>BDP|9633924773914414208</stp>
        <tr r="AC8" s="2"/>
      </tp>
      <tp t="s">
        <v>#N/A N/A</v>
        <stp/>
        <stp>BDP|6571135877398464961</stp>
        <tr r="E8" s="89"/>
      </tp>
      <tp t="s">
        <v>#N/A Requesting Data...4135078195</v>
        <stp/>
        <stp>BDP|9843491038236897916</stp>
        <tr r="C20" s="89"/>
      </tp>
      <tp t="s">
        <v>#N/A Requesting Data...3684644803</v>
        <stp/>
        <stp>BDP|9739406253298596110</stp>
        <tr r="AI18" s="1"/>
      </tp>
      <tp t="s">
        <v>#N/A N/A</v>
        <stp/>
        <stp>BDP|4824303429992132605</stp>
        <tr r="Q41" s="338"/>
      </tp>
      <tp t="s">
        <v>#N/A N/A</v>
        <stp/>
        <stp>BDP|1821230040030393694</stp>
        <tr r="AB62" s="89"/>
        <tr r="AB63" s="89"/>
        <tr r="AQ20" s="2"/>
        <tr r="AQ21" s="2"/>
        <tr r="AQ19" s="2"/>
        <tr r="AQ18" s="2"/>
      </tp>
      <tp t="s">
        <v>#N/A Requesting Data...3686502067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B13" s="89"/>
        <tr r="AB14" s="89"/>
        <tr r="AB195" s="89"/>
        <tr r="AB197" s="89"/>
        <tr r="AB19" s="89"/>
        <tr r="AB196" s="89"/>
        <tr r="AB20" s="89"/>
        <tr r="AQ25" s="2"/>
        <tr r="AQ26" s="2"/>
        <tr r="AQ27" s="2"/>
      </tp>
      <tp t="s">
        <v>#N/A Requesting Data...4100263853</v>
        <stp/>
        <stp>BDP|8707806237397902583</stp>
        <tr r="S11" s="252"/>
      </tp>
      <tp t="s">
        <v>#N/A N/A</v>
        <stp/>
        <stp>BDH|4896202524715521087</stp>
        <tr r="AR45" s="338"/>
      </tp>
      <tp t="s">
        <v>#N/A Requesting Data...3851814461</v>
        <stp/>
        <stp>BDP|9939228331380883944</stp>
        <tr r="G11" s="446"/>
      </tp>
      <tp t="s">
        <v>#N/A Requesting Data...4138943101</v>
        <stp/>
        <stp>BDP|7072033161838356860</stp>
        <tr r="O75" s="89"/>
      </tp>
      <tp t="s">
        <v>#N/A Requesting Data...3462075594</v>
        <stp/>
        <stp>BDP|2267087599569280367</stp>
        <tr r="P34" s="338"/>
      </tp>
      <tp t="s">
        <v>#N/A Requesting Data...4052276590</v>
        <stp/>
        <stp>BDP|2620429521461757456</stp>
        <tr r="AK42" s="338"/>
      </tp>
      <tp t="s">
        <v>#N/A Requesting Data...4214876929</v>
        <stp/>
        <stp>BDP|7066346967523510010</stp>
        <tr r="U9" s="338"/>
      </tp>
      <tp t="s">
        <v>#N/A Requesting Data...4150816969</v>
        <stp/>
        <stp>BDP|6497440232258298876</stp>
        <tr r="AF13" s="1"/>
      </tp>
      <tp t="s">
        <v>#N/A Requesting Data...3658948613</v>
        <stp/>
        <stp>BDP|1064581251341971141</stp>
        <tr r="C23" s="2"/>
      </tp>
      <tp t="s">
        <v>#N/A N/A</v>
        <stp/>
        <stp>BDP|9167736870381302945</stp>
        <tr r="AV23" s="2"/>
        <tr r="AV24" s="2"/>
      </tp>
      <tp>
        <v>24.57</v>
        <stp/>
        <stp>BDP|11372581848729563069|22</stp>
        <stp>META US 04/17/26 C690 Equity</stp>
        <stp>mid</stp>
        <tr r="L14" s="2"/>
      </tp>
      <tp>
        <v>29.27</v>
        <stp/>
        <stp>BDP|16757164580454265033|22</stp>
        <stp>MSFT US 03/20/26 P465 Equity</stp>
        <stp>mid</stp>
        <tr r="L22" s="2"/>
      </tp>
      <tp>
        <v>0.05</v>
        <stp/>
        <stp>BDP|10072792451967782103|22</stp>
        <stp>ASML US 01/23/26 P1200 Equity</stp>
        <stp>bid</stp>
        <tr r="K49" s="89"/>
      </tp>
      <tp>
        <v>0.41</v>
        <stp/>
        <stp>BDP|11369737407115501686|22</stp>
        <stp>QQQ US 01/26/26 C630 Equity</stp>
        <stp>ask</stp>
        <tr r="L211" s="89"/>
      </tp>
      <tp>
        <v>0.3240872323513031</v>
        <stp/>
        <stp>BDP|2745074962748644982|22</stp>
        <stp>COPX US 04/17/26 C95 Equity</stp>
        <stp>DELTA_MID_RT</stp>
        <tr r="W34" s="89"/>
      </tp>
      <tp t="s">
        <v>#N/A Requesting Data...3910221137</v>
        <stp/>
        <stp>BDP|3688604139137001352</stp>
        <tr r="O204" s="89"/>
      </tp>
      <tp t="s">
        <v>#N/A Requesting Data...4289077831</v>
        <stp/>
        <stp>BDP|6219652639352291374</stp>
        <tr r="D55" s="89"/>
      </tp>
      <tp t="s">
        <v>#N/A Requesting Data...4171899833</v>
        <stp/>
        <stp>BDP|7964758820092579227</stp>
        <tr r="AJ52" s="338"/>
        <tr r="AJ53" s="338"/>
        <tr r="AJ54" s="338"/>
      </tp>
      <tp t="s">
        <v>#N/A Requesting Data...3807551694</v>
        <stp/>
        <stp>BDP|6976223375119574839</stp>
        <tr r="K33" s="1"/>
      </tp>
      <tp t="s">
        <v>#N/A Requesting Data...3858753320</v>
        <stp/>
        <stp>BDP|9060205111721083990</stp>
        <tr r="AI48" s="338"/>
        <tr r="AI49" s="338"/>
        <tr r="AK48" s="338"/>
        <tr r="AK49" s="338"/>
      </tp>
      <tp t="s">
        <v>#N/A Requesting Data...4040451180</v>
        <stp/>
        <stp>BDP|8644058243408809607</stp>
        <tr r="V49" s="338"/>
      </tp>
      <tp t="s">
        <v>#N/A Requesting Data...3752680230</v>
        <stp/>
        <stp>BDP|2721287269476965276</stp>
        <tr r="V35" s="338"/>
      </tp>
      <tp t="s">
        <v>#N/A Requesting Data...3479729769</v>
        <stp/>
        <stp>BDP|1927755561564288678</stp>
        <tr r="G45" s="446"/>
      </tp>
      <tp t="s">
        <v>#N/A Requesting Data...3632412508</v>
        <stp/>
        <stp>BDP|3284843281913962260</stp>
        <tr r="C10" s="2"/>
      </tp>
      <tp t="s">
        <v>#N/A Requesting Data...3479151983</v>
        <stp/>
        <stp>BDP|5871188314703840456</stp>
        <tr r="L11" s="338"/>
        <tr r="J11" s="338"/>
      </tp>
      <tp t="s">
        <v>#N/A Requesting Data...4283681781</v>
        <stp/>
        <stp>BDP|5728718823292467081</stp>
        <tr r="N27" s="89"/>
        <tr r="N26" s="89"/>
        <tr r="S23" s="2"/>
        <tr r="N33" s="89"/>
        <tr r="N34" s="89"/>
        <tr r="N213" s="89"/>
        <tr r="L31" s="1"/>
        <tr r="L12" s="1"/>
        <tr r="L13" s="1"/>
        <tr r="L14" s="1"/>
        <tr r="L15" s="1"/>
        <tr r="L16" s="1"/>
        <tr r="L17" s="1"/>
        <tr r="L18" s="1"/>
        <tr r="L19" s="1"/>
        <tr r="L21" s="1"/>
        <tr r="L23" s="1"/>
        <tr r="L25" s="1"/>
        <tr r="L26" s="1"/>
        <tr r="L27" s="1"/>
        <tr r="L28" s="1"/>
        <tr r="L29" s="1"/>
        <tr r="L30" s="1"/>
        <tr r="L32" s="1"/>
        <tr r="L33" s="1"/>
        <tr r="L34" s="1"/>
        <tr r="L35" s="1"/>
        <tr r="L36" s="1"/>
        <tr r="L22" s="1"/>
        <tr r="L20" s="1"/>
        <tr r="N234" s="89"/>
        <tr r="N7" s="89"/>
        <tr r="N8" s="89"/>
        <tr r="N13" s="89"/>
        <tr r="N14" s="89"/>
        <tr r="N19" s="89"/>
        <tr r="N20" s="89"/>
        <tr r="N39" s="89"/>
        <tr r="N40" s="89"/>
        <tr r="N49" s="89"/>
        <tr r="N50" s="89"/>
        <tr r="N55" s="89"/>
        <tr r="N56" s="89"/>
        <tr r="N62" s="89"/>
        <tr r="N63" s="89"/>
        <tr r="N68" s="89"/>
        <tr r="N69" s="89"/>
        <tr r="N75" s="89"/>
        <tr r="N81" s="89"/>
        <tr r="N153" s="89"/>
        <tr r="N154" s="89"/>
        <tr r="N169" s="89"/>
        <tr r="N170" s="89"/>
        <tr r="N171" s="89"/>
        <tr r="N178" s="89"/>
        <tr r="N179" s="89"/>
        <tr r="N180" s="89"/>
        <tr r="N186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22" s="89"/>
        <tr r="N223" s="89"/>
        <tr r="N224" s="89"/>
        <tr r="N225" s="89"/>
        <tr r="N233" s="89"/>
        <tr r="N235" s="89"/>
        <tr r="N101" s="89"/>
        <tr r="N102" s="89"/>
        <tr r="N160" s="89"/>
        <tr r="N76" s="89"/>
        <tr r="N82" s="89"/>
        <tr r="N95" s="89"/>
        <tr r="N236" s="89"/>
        <tr r="N237" s="89"/>
        <tr r="S15" s="2"/>
        <tr r="S14" s="2"/>
        <tr r="S8" s="2"/>
        <tr r="S9" s="2"/>
        <tr r="S10" s="2"/>
        <tr r="S13" s="2"/>
        <tr r="S16" s="2"/>
        <tr r="S17" s="2"/>
        <tr r="S18" s="2"/>
        <tr r="S19" s="2"/>
        <tr r="S22" s="2"/>
        <tr r="S6" s="2"/>
        <tr r="S7" s="2"/>
        <tr r="S4" s="2"/>
        <tr r="S25" s="2"/>
        <tr r="S26" s="2"/>
        <tr r="S27" s="2"/>
        <tr r="S12" s="2"/>
        <tr r="S11" s="2"/>
        <tr r="S21" s="2"/>
        <tr r="S20" s="2"/>
        <tr r="S5" s="2"/>
        <tr r="S24" s="2"/>
      </tp>
      <tp t="s">
        <v>#N/A Requesting Data...4230661574</v>
        <stp/>
        <stp>BDP|5145625159843494775</stp>
        <tr r="P10" s="338"/>
      </tp>
      <tp t="s">
        <v>#N/A Requesting Data...4260157656</v>
        <stp/>
        <stp>BDP|9919677548080032985</stp>
        <tr r="G44" s="446"/>
      </tp>
      <tp t="s">
        <v>#N/A Requesting Data...3520033088</v>
        <stp/>
        <stp>BDP|3371693940045698635</stp>
        <tr r="V123" s="89"/>
      </tp>
      <tp t="s">
        <v>#N/A Requesting Data...3694821604</v>
        <stp/>
        <stp>BDP|8428913731466273690</stp>
        <tr r="L8" s="252"/>
        <tr r="L8" s="252"/>
      </tp>
      <tp t="s">
        <v>#N/A Requesting Data...3891105704</v>
        <stp/>
        <stp>BDP|6223131064210098392</stp>
        <tr r="V14" s="338"/>
      </tp>
      <tp t="s">
        <v>#N/A N/A</v>
        <stp/>
        <stp>BDP|1858131163537242367</stp>
        <tr r="E7" s="89"/>
      </tp>
      <tp t="s">
        <v>#N/A Requesting Data...4077028090</v>
        <stp/>
        <stp>BDP|3910223521378009966</stp>
        <tr r="N11" s="252"/>
        <tr r="N11" s="252"/>
      </tp>
      <tp t="s">
        <v>#N/A Requesting Data...4048318681</v>
        <stp/>
        <stp>BDP|5024341343609931931</stp>
        <tr r="AJ41" s="338"/>
        <tr r="AJ42" s="338"/>
      </tp>
      <tp t="s">
        <v>#N/A Requesting Data...3519023749</v>
        <stp/>
        <stp>BDP|2109542547769740886</stp>
        <tr r="AI29" s="338"/>
        <tr r="AK29" s="338"/>
      </tp>
      <tp t="s">
        <v>#N/A Requesting Data...3818304167</v>
        <stp/>
        <stp>BDP|3213171497998766175</stp>
        <tr r="E69" s="89"/>
      </tp>
      <tp t="s">
        <v>#N/A Requesting Data...4094799234</v>
        <stp/>
        <stp>BDP|6172070853435387447</stp>
        <tr r="AB28" s="1"/>
      </tp>
      <tp t="s">
        <v>#N/A N/A</v>
        <stp/>
        <stp>BDP|6438558973920153614</stp>
        <tr r="Q52" s="338"/>
      </tp>
      <tp t="s">
        <v>#N/A Requesting Data...3585419208</v>
        <stp/>
        <stp>BDP|4570633414290062103</stp>
        <tr r="E11" s="2"/>
      </tp>
      <tp t="s">
        <v>#N/A N/A</v>
        <stp/>
        <stp>BDP|1804270548235247073</stp>
        <tr r="V234" s="89"/>
      </tp>
      <tp t="s">
        <v>#N/A Requesting Data...4177201254</v>
        <stp/>
        <stp>BDP|4636653477250550732</stp>
        <tr r="G31" s="446"/>
      </tp>
      <tp t="s">
        <v>#N/A N/A</v>
        <stp/>
        <stp>BDP|8253339590249692953</stp>
        <tr r="O235" s="89"/>
      </tp>
      <tp t="s">
        <v>#N/A Requesting Data...3551621048</v>
        <stp/>
        <stp>BDP|5714451203842663158</stp>
        <tr r="K8" s="1"/>
      </tp>
      <tp t="s">
        <v>#N/A N/A</v>
        <stp/>
        <stp>BDP|5220275554081381113</stp>
        <tr r="AA26" s="89"/>
        <tr r="Z26" s="89"/>
      </tp>
      <tp t="s">
        <v>#N/A Requesting Data...3514322074</v>
        <stp/>
        <stp>BDP|8497933515926378424</stp>
        <tr r="C6" s="2"/>
      </tp>
      <tp t="s">
        <v>#N/A Requesting Data...4267773946</v>
        <stp/>
        <stp>BDP|9949348843808982448</stp>
        <tr r="E153" s="89"/>
      </tp>
      <tp t="s">
        <v>#N/A Requesting Data...3851501115</v>
        <stp/>
        <stp>BDP|4880433377190901556</stp>
        <tr r="E115" s="89"/>
      </tp>
      <tp t="s">
        <v>#N/A N/A</v>
        <stp/>
        <stp>BDP|9807525995856747186</stp>
        <tr r="R178" s="89"/>
      </tp>
      <tp t="s">
        <v>#N/A N/A</v>
        <stp/>
        <stp>BDP|3708401010230670411</stp>
        <tr r="C33" s="89"/>
      </tp>
      <tp t="s">
        <v>#N/A Requesting Data...3639451628</v>
        <stp/>
        <stp>BDP|1404583355913893002</stp>
        <tr r="AB17" s="1"/>
      </tp>
      <tp t="s">
        <v>#N/A Requesting Data...4106696300</v>
        <stp/>
        <stp>BDP|3519061147724655148</stp>
        <tr r="AJ31" s="338"/>
        <tr r="AJ32" s="338"/>
      </tp>
      <tp t="s">
        <v>#N/A N/A</v>
        <stp/>
        <stp>BDP|7058103239170970765</stp>
        <tr r="Q15" s="338"/>
        <tr r="Q39" s="338"/>
      </tp>
      <tp t="s">
        <v>#N/A N/A</v>
        <stp/>
        <stp>BDH|7002671676176545224</stp>
        <tr r="AN12" s="338"/>
      </tp>
      <tp t="s">
        <v>#N/A Requesting Data...4228189758</v>
        <stp/>
        <stp>BDP|9125333988758543887</stp>
        <tr r="AJ17" s="338"/>
        <tr r="AJ18" s="338"/>
      </tp>
      <tp t="s">
        <v>#N/A Requesting Data...3649844275</v>
        <stp/>
        <stp>BDP|6725335069146326790</stp>
        <tr r="AR22" s="2"/>
      </tp>
      <tp t="s">
        <v>#N/A Requesting Data...4075870640</v>
        <stp/>
        <stp>BDP|7134890756011396990</stp>
        <tr r="L45" s="338"/>
        <tr r="J45" s="338"/>
      </tp>
      <tp t="s">
        <v>#N/A Requesting Data...3873078326</v>
        <stp/>
        <stp>BDP|2307633905712170406</stp>
        <tr r="P46" s="338"/>
      </tp>
      <tp>
        <v>36.4</v>
        <stp/>
        <stp>BDP|15948956118125667032|22</stp>
        <stp>SNDK US 02/20/26 C550 Equity</stp>
        <stp>bid</stp>
        <tr r="P24" s="2"/>
      </tp>
      <tp t="s">
        <v>#N/A Real Time</v>
        <stp/>
        <stp>BDP|7002617886444187304|22</stp>
        <stp>RUWZ5 Index</stp>
        <stp>LAST_PRICE</stp>
        <tr r="S144" s="89"/>
        <tr r="S145" s="89"/>
      </tp>
      <tp>
        <v>39.9</v>
        <stp/>
        <stp>BDP|14184441232848248848|22</stp>
        <stp>TSM US 03/20/26 C300 Equity</stp>
        <stp>bid</stp>
        <tr r="P27" s="2"/>
      </tp>
      <tp t="s">
        <v>USD</v>
        <stp/>
        <stp>BDP|13391010946162052310|22</stp>
        <stp>META US 04/17/26 P600 Equity</stp>
        <stp>QUOTED_CURRENCY_REALTIME</stp>
        <tr r="F180" s="89"/>
        <tr r="G16" s="2"/>
      </tp>
      <tp t="s">
        <v>#N/A Requesting Data...3626246526</v>
        <stp/>
        <stp>BDP|1658139149095212240</stp>
        <tr r="AC15" s="1"/>
      </tp>
      <tp t="s">
        <v>#N/A Requesting Data...4216860267</v>
        <stp/>
        <stp>BDP|2288489672854050620</stp>
        <tr r="E14" s="2"/>
      </tp>
      <tp t="s">
        <v>#N/A Requesting Data...3810253145</v>
        <stp/>
        <stp>BDP|4669365388388290407</stp>
        <tr r="K5" s="1"/>
      </tp>
      <tp t="s">
        <v>#N/A Requesting Data...4137095473</v>
        <stp/>
        <stp>BDP|1294995983457020437</stp>
        <tr r="E222" s="89"/>
      </tp>
      <tp t="s">
        <v>#N/A Requesting Data...4183249731</v>
        <stp/>
        <stp>BDP|2591422732557732191</stp>
        <tr r="L13" s="338"/>
        <tr r="H13" s="338"/>
        <tr r="L34" s="338"/>
        <tr r="H34" s="338"/>
      </tp>
      <tp t="s">
        <v>#N/A Requesting Data...4006953185</v>
        <stp/>
        <stp>BDP|3208325823773954213</stp>
        <tr r="K13" s="1"/>
      </tp>
      <tp t="s">
        <v>#N/A N/A</v>
        <stp/>
        <stp>BDH|1745784031812019456</stp>
        <tr r="AR11" s="338"/>
      </tp>
      <tp t="s">
        <v>#N/A Requesting Data...4171558603</v>
        <stp/>
        <stp>BDP|7919916036548158668</stp>
        <tr r="AI9" s="338"/>
        <tr r="AK9" s="338"/>
      </tp>
      <tp t="s">
        <v>#N/A Requesting Data...3669128793</v>
        <stp/>
        <stp>BDP|5970596063913968630</stp>
        <tr r="AG30" s="338"/>
      </tp>
      <tp t="s">
        <v>#N/A Requesting Data...4103896381</v>
        <stp/>
        <stp>BDP|7170630364126625297</stp>
        <tr r="S52" s="338"/>
      </tp>
      <tp t="s">
        <v>#N/A Requesting Data...4172272891</v>
        <stp/>
        <stp>BDP|7115677759757668004</stp>
        <tr r="AC32" s="1"/>
      </tp>
      <tp t="s">
        <v>#N/A Requesting Data...3704880409</v>
        <stp/>
        <stp>BDP|3754293213215371607</stp>
        <tr r="AB16" s="1"/>
        <tr r="F5" s="446"/>
        <tr r="F6" s="446"/>
      </tp>
      <tp t="s">
        <v>#N/A N/A</v>
        <stp/>
        <stp>BDH|1543378517248337880</stp>
        <tr r="AM40" s="338"/>
        <tr r="AM16" s="338"/>
        <tr r="AM38" s="338"/>
      </tp>
      <tp t="s">
        <v>#N/A Requesting Data...3542661411</v>
        <stp/>
        <stp>BDP|2213180314153111209</stp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Data...4008185934</v>
        <stp/>
        <stp>BDP|9390709548618762108</stp>
        <tr r="N6" s="252"/>
        <tr r="N6" s="252"/>
      </tp>
      <tp t="s">
        <v>#N/A Requesting Data...3936436862</v>
        <stp/>
        <stp>BDP|7796453577674837314</stp>
        <tr r="U44" s="338"/>
      </tp>
      <tp t="s">
        <v>#N/A Requesting Data...3856678403</v>
        <stp/>
        <stp>BDP|7961266924697349349</stp>
        <tr r="X36" s="338"/>
      </tp>
      <tp t="s">
        <v>#N/A Requesting Data...3919107990</v>
        <stp/>
        <stp>BDP|7659781264157478228</stp>
        <tr r="D95" s="89"/>
      </tp>
      <tp t="s">
        <v>#N/A Requesting Data...4258669249</v>
        <stp/>
        <stp>BDP|7777047645317887721</stp>
        <tr r="V145" s="89"/>
      </tp>
      <tp t="s">
        <v>#N/A Requesting Data...4039454058</v>
        <stp/>
        <stp>BDP|2793585885519216544</stp>
        <tr r="L19" s="252"/>
        <tr r="L19" s="252"/>
      </tp>
      <tp t="s">
        <v>#N/A Requesting Data...4246239007</v>
        <stp/>
        <stp>BDP|8230930209200509213</stp>
        <tr r="X30" s="338"/>
      </tp>
      <tp t="s">
        <v>#N/A Requesting Data...3702606754</v>
        <stp/>
        <stp>BDP|1490948379404500803</stp>
        <tr r="D153" s="89"/>
      </tp>
      <tp t="s">
        <v>#N/A Requesting Data...3786769196</v>
        <stp/>
        <stp>BDP|2987243114927275566</stp>
        <tr r="E63" s="89"/>
      </tp>
      <tp t="s">
        <v>#N/A N/A</v>
        <stp/>
        <stp>BDP|9739316558495716945</stp>
        <tr r="O8" s="89"/>
      </tp>
      <tp t="s">
        <v>#N/A Requesting Data...3765383773</v>
        <stp/>
        <stp>BDP|6169555274102368514</stp>
        <tr r="S10" s="338"/>
      </tp>
      <tp t="s">
        <v>#N/A Requesting Data...3525217802</v>
        <stp/>
        <stp>BDP|2465258476870377467</stp>
        <tr r="Z122" s="89"/>
        <tr r="AA122" s="89"/>
      </tp>
      <tp t="s">
        <v>#N/A Requesting Data...3795907919</v>
        <stp/>
        <stp>BDP|8020332285295353568</stp>
        <tr r="P32" s="338"/>
      </tp>
      <tp t="s">
        <v>#N/A Requesting Data...3600578938</v>
        <stp/>
        <stp>BDP|3712593953265415595</stp>
        <tr r="K18" s="1"/>
      </tp>
      <tp t="s">
        <v>#N/A Requesting Data...4032108266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Data...4091538936</v>
        <stp/>
        <stp>BDP|5888175656914033689</stp>
        <tr r="T13" s="89"/>
        <tr r="AA25" s="2"/>
      </tp>
      <tp t="s">
        <v>#N/A Requesting Data...3689862324</v>
        <stp/>
        <stp>BDP|2411087539537646522</stp>
        <tr r="AD27" s="2"/>
      </tp>
      <tp t="s">
        <v>#N/A N/A</v>
        <stp/>
        <stp>BDP|1111234221652305017</stp>
        <tr r="V8" s="89"/>
      </tp>
      <tp t="s">
        <v>#N/A Requesting Data...4231371659</v>
        <stp/>
        <stp>BDP|6109913190467097261</stp>
        <tr r="AG32" s="338"/>
        <tr r="AG46" s="338"/>
        <tr r="AG50" s="338"/>
        <tr r="AG8" s="338"/>
      </tp>
      <tp t="s">
        <v>#N/A Requesting Data...4129319833</v>
        <stp/>
        <stp>BDP|5764387578793708167</stp>
        <tr r="M20" s="252"/>
      </tp>
      <tp t="s">
        <v>#N/A Requesting Data...3779524651</v>
        <stp/>
        <stp>BDP|6515604110606525460</stp>
        <tr r="AC35" s="1"/>
      </tp>
      <tp t="s">
        <v>#N/A Requesting Data...3631450948</v>
        <stp/>
        <stp>BDP|3944606729323768717</stp>
        <tr r="D39" s="89"/>
      </tp>
      <tp t="s">
        <v>#N/A Requesting Data...3688016313</v>
        <stp/>
        <stp>BDP|2834421045940985100</stp>
        <tr r="E186" s="89"/>
      </tp>
      <tp t="s">
        <v>#N/A Requesting Data...3858189336</v>
        <stp/>
        <stp>BDP|6555173421444373279</stp>
        <tr r="AI13" s="338"/>
      </tp>
      <tp t="s">
        <v>#N/A Requesting Data...3781273602</v>
        <stp/>
        <stp>BDP|9226344490726854691</stp>
        <tr r="E101" s="89"/>
      </tp>
      <tp t="s">
        <v>#N/A Requesting Data...4151539901</v>
        <stp/>
        <stp>BDP|6281575064076017068</stp>
        <tr r="AC14" s="1"/>
      </tp>
      <tp t="s">
        <v>#N/A Requesting Data...3786998578</v>
        <stp/>
        <stp>BDP|6247087616267870331</stp>
        <tr r="AH29" s="338"/>
        <tr r="AH30" s="338"/>
      </tp>
      <tp t="s">
        <v>#N/A N/A</v>
        <stp/>
        <stp>BDP|4301169370054058514</stp>
        <tr r="Q37" s="338"/>
      </tp>
      <tp t="s">
        <v>#N/A Requesting Data...3998958766</v>
        <stp/>
        <stp>BDP|4307029492407618910</stp>
        <tr r="AK45" s="338"/>
      </tp>
      <tp t="s">
        <v>#N/A Requesting Data...3728244826</v>
        <stp/>
        <stp>BDP|8245865345547421013</stp>
        <tr r="AC23" s="1"/>
        <tr r="D30" s="446"/>
      </tp>
      <tp t="s">
        <v>#N/A Requesting Data...4102893829</v>
        <stp/>
        <stp>BDP|4355758138881380299</stp>
        <tr r="T178" s="89"/>
      </tp>
      <tp>
        <v>72.44</v>
        <stp/>
        <stp>BDP|8491242153513196784|22</stp>
        <stp>SHEL Equity</stp>
        <stp>LAST PRICE</stp>
        <tr r="I30" s="338"/>
      </tp>
      <tp>
        <v>54.05</v>
        <stp/>
        <stp>BDP|18176311034118889492|22</stp>
        <stp>META US 07/17/26 C670 Equity</stp>
        <stp>ask</stp>
        <tr r="L233" s="89"/>
        <tr r="Q15" s="2"/>
      </tp>
      <tp t="s">
        <v>#N/A Real Time</v>
        <stp/>
        <stp>BDP|176778424576207183|22</stp>
        <stp>4OK5C 21650 Index</stp>
        <stp>QUOTED_CURRENCY_REALTIME</stp>
        <tr r="F116" s="89"/>
      </tp>
      <tp>
        <v>0.54681974649429321</v>
        <stp/>
        <stp>BDP|7395650229456682116|22</stp>
        <stp>COPX US 07/17/26 C85 Equity</stp>
        <stp>DELTA_MID_RT</stp>
        <tr r="W26" s="89"/>
      </tp>
      <tp>
        <v>446.77</v>
        <stp/>
        <stp>BDP|9988051122657863096|22</stp>
        <stp>MSFT US Equity</stp>
        <stp>LAST_PRICE</stp>
        <tr r="S235" s="89"/>
        <tr r="Z22" s="2"/>
      </tp>
      <tp>
        <v>42.3</v>
        <stp/>
        <stp>BDP|680728060256356434|22</stp>
        <stp>TSM US 03/20/26 C300 Equity</stp>
        <stp>ask</stp>
        <tr r="Q27" s="2"/>
      </tp>
      <tp>
        <v>0.01</v>
        <stp/>
        <stp>BDP|15651630444215172509|22</stp>
        <stp>TSM US 01/16/26 P315 Equity</stp>
        <stp>ask</stp>
        <tr r="L197" s="89"/>
      </tp>
      <tp>
        <v>-0.10693979263305664</v>
        <stp/>
        <stp>BDP|12098786877158670568|22</stp>
        <stp>TSM US 06/18/26 C340 Equity</stp>
        <stp>theta_mid_rt</stp>
        <tr r="AN25" s="2"/>
      </tp>
      <tp>
        <v>446.77</v>
        <stp/>
        <stp>BDP|1720488993946020104|22</stp>
        <stp>MSFT Equity</stp>
        <stp>LAST PRICE</stp>
        <tr r="G8" s="338"/>
        <tr r="G9" s="338"/>
      </tp>
      <tp>
        <v>6.6</v>
        <stp/>
        <stp>BDP|11093144952959190076|22</stp>
        <stp>COPX US 04/17/26 C85 Equity</stp>
        <stp>bid</stp>
        <tr r="K33" s="89"/>
      </tp>
      <tp>
        <v>82.45</v>
        <stp/>
        <stp>BDP|8547520241916509834|22</stp>
        <stp>COPX Equity</stp>
        <stp>LAST_PRICE</stp>
        <tr r="I17" s="1"/>
      </tp>
      <tp t="s">
        <v>#N/A N/A</v>
        <stp/>
        <stp>BDP|12642213475526475226|22</stp>
        <stp>QQQ US 01/21/26 P616 Equity</stp>
        <stp>bid</stp>
        <tr r="K76" s="89"/>
        <tr r="K81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8" s="2"/>
      </tp>
      <tp t="s">
        <v>USD</v>
        <stp/>
        <stp>BDP|17268974826636663743|22</stp>
        <stp>RKT US 05/15/26 C25 Equity</stp>
        <stp>QUOTED_CURRENCY_REALTIME</stp>
        <tr r="F39" s="89"/>
      </tp>
      <tp>
        <v>24.73</v>
        <stp/>
        <stp>BDP|12595944397153100458|22</stp>
        <stp>META US 04/17/26 P600 Equity</stp>
        <stp>mid</stp>
        <tr r="L16" s="2"/>
      </tp>
      <tp>
        <v>9114.2999999999993</v>
        <stp/>
        <stp>BDP|8345363860153837789|22</stp>
        <stp>HSCEI Index</stp>
        <stp>LAST_PRICE</stp>
        <tr r="H19" s="252"/>
        <tr r="H19" s="252"/>
      </tp>
      <tp>
        <v>2.23</v>
        <stp/>
        <stp>BDP|16635244585526588457|22</stp>
        <stp>MRVL US 03/20/26 P70 Equity</stp>
        <stp>mid</stp>
        <tr r="L21" s="2"/>
      </tp>
      <tp>
        <v>17.2</v>
        <stp/>
        <stp>BDP|11549499930516457816|22</stp>
        <stp>AVGO US 06/18/26 C410 Equity</stp>
        <stp>bid</stp>
        <tr r="P9" s="2"/>
        <tr r="K222" s="89"/>
      </tp>
      <tp>
        <v>7.83</v>
        <stp/>
        <stp>BDP|16199323523634865039|22</stp>
        <stp>MRVL US 03/20/26 P85 Equity</stp>
        <stp>mid</stp>
        <tr r="L18" s="2"/>
      </tp>
      <tp>
        <v>35</v>
        <stp/>
        <stp>BDP|17652529992752880187|22</stp>
        <stp>AVGO US 06/18/26 C350 Equity</stp>
        <stp>bid</stp>
        <tr r="P10" s="2"/>
        <tr r="K223" s="89"/>
      </tp>
      <tp t="s">
        <v>#N/A N/A</v>
        <stp/>
        <stp>BDP|12982360288409292275|22</stp>
        <stp>QQQ US 01/21/26 P614 Equity</stp>
        <stp>bid</stp>
        <tr r="K82" s="89"/>
      </tp>
      <tp t="s">
        <v>USD</v>
        <stp/>
        <stp>BDP|11891209975622672099|22</stp>
        <stp>COPX US 07/17/26 C85 Equity</stp>
        <stp>QUOTED_CURRENCY_REALTIME</stp>
        <tr r="F26" s="89"/>
      </tp>
      <tp t="s">
        <v>USD</v>
        <stp/>
        <stp>BDP|15044284398524356946|22</stp>
        <stp>GOOG US 07/17/26 C350 Equity</stp>
        <stp>QUOTED_CURRENCY_REALTIME</stp>
        <tr r="F236" s="89"/>
      </tp>
      <tp>
        <v>0.26</v>
        <stp/>
        <stp>BDP|15901604230708554053|22</stp>
        <stp>ASHR US 02/20/26 C35 Equity</stp>
        <stp>mid</stp>
        <tr r="L8" s="2"/>
      </tp>
      <tp t="s">
        <v>#N/A N/A</v>
        <stp/>
        <stp>BDP|68581067030756931</stp>
        <tr r="D33" s="89"/>
      </tp>
      <tp t="s">
        <v>USD</v>
        <stp/>
        <stp>BDP|14649358559893085324|22</stp>
        <stp>AVGO US 06/18/26 C350 Equity</stp>
        <stp>QUOTED_CURRENCY_REALTIME</stp>
        <tr r="F223" s="89"/>
        <tr r="G10" s="2"/>
      </tp>
      <tp>
        <v>15.6</v>
        <stp/>
        <stp>BDP|13045517909567750209|22</stp>
        <stp>META US 04/17/26 P570 Equity</stp>
        <stp>mid</stp>
        <tr r="L17" s="2"/>
      </tp>
      <tp>
        <v>2.27</v>
        <stp/>
        <stp>BDP|15925931344332195569|22</stp>
        <stp>MRVL US 03/20/26 P70 Equity</stp>
        <stp>ask</stp>
        <tr r="L63" s="89"/>
        <tr r="Q21" s="2"/>
      </tp>
      <tp>
        <v>6.5</v>
        <stp/>
        <stp>BDP|17404936714910098540|22</stp>
        <stp>COPX US 07/17/26 C95 Equity</stp>
        <stp>bid</stp>
        <tr r="K27" s="89"/>
      </tp>
      <tp>
        <v>7.75</v>
        <stp/>
        <stp>BDP|10246542437065037496|22</stp>
        <stp>MRVL US 03/20/26 P85 Equity</stp>
        <stp>bid</stp>
        <tr r="P18" s="2"/>
      </tp>
      <tp>
        <v>0.01</v>
        <stp/>
        <stp>BDP|12180772487662365704|22</stp>
        <stp>QQQ US 01/21/26 P614 Equity</stp>
        <stp>ask</stp>
        <tr r="L82" s="89"/>
      </tp>
      <tp>
        <v>1.66</v>
        <stp/>
        <stp>BDP|10445519633806217931|22</stp>
        <stp>QQQ US 01/15/26 P623 Equity</stp>
        <stp>bid</stp>
        <tr r="K68" s="89"/>
      </tp>
      <tp t="s">
        <v>USD</v>
        <stp/>
        <stp>BDP|12824514964480891397|22</stp>
        <stp>SNDK US 02/20/26 C550 Equity</stp>
        <stp>QUOTED_CURRENCY_REALTIME</stp>
        <tr r="G24" s="2"/>
      </tp>
      <tp>
        <v>16.55</v>
        <stp/>
        <stp>BDP|982929759879592273|22</stp>
        <stp>TSM US 06/18/26 C380 Equity</stp>
        <stp>bid</stp>
        <tr r="P26" s="2"/>
        <tr r="K14" s="89"/>
      </tp>
      <tp>
        <v>5.4</v>
        <stp/>
        <stp>BDP|12289700020985263311|22</stp>
        <stp>MRVL US 03/20/26 P80 Equity</stp>
        <stp>bid</stp>
        <tr r="K62" s="89"/>
        <tr r="P20" s="2"/>
      </tp>
      <tp>
        <v>689.10389999999995</v>
        <stp/>
        <stp>BDP|12318182968788510555|22</stp>
        <stp>NDEUCHF Index</stp>
        <stp>LAST_PRICE</stp>
        <tr r="H16" s="252"/>
        <tr r="H16" s="252"/>
      </tp>
      <tp>
        <v>0.15</v>
        <stp/>
        <stp>BDP|17948842076370571403|22</stp>
        <stp>AMAT US 01/23/26 P280 Equity</stp>
        <stp>mid</stp>
        <tr r="L7" s="2"/>
      </tp>
      <tp>
        <v>331.18</v>
        <stp/>
        <stp>BDP|2010687940946133293|22</stp>
        <stp>GOOG US Equity</stp>
        <stp>LAST_PRICE</stp>
        <tr r="S236" s="89"/>
      </tp>
      <tp>
        <v>446.77</v>
        <stp/>
        <stp>BDP|1912830234697829517|22</stp>
        <stp>MSFT Equity</stp>
        <stp>LAST_PRICE</stp>
        <tr r="I23" s="1"/>
      </tp>
      <tp>
        <v>0.99</v>
        <stp/>
        <stp>BDP|13025211079997579337|22</stp>
        <stp>QQQ US 01/23/26 P615 Equity</stp>
        <stp>ask</stp>
        <tr r="L75" s="89"/>
      </tp>
      <tp>
        <v>14.3</v>
        <stp/>
        <stp>BDP|10919516749140731717|22</stp>
        <stp>GDX US 09/18/26 C105 Equity</stp>
        <stp>bid</stp>
        <tr r="P11" s="2"/>
      </tp>
      <tp>
        <v>-0.17524704337120056</v>
        <stp/>
        <stp>BDP|9297989812730662657|22</stp>
        <stp>META US 07/17/26 C670 Equity</stp>
        <stp>theta_mid_rt</stp>
        <tr r="AN15" s="2"/>
      </tp>
      <tp>
        <v>105.16</v>
        <stp/>
        <stp>BDP|11511261369815685982|22</stp>
        <stp>QQQE EQUITY</stp>
        <stp>LAST_PRICE</stp>
        <tr r="I7" s="1"/>
      </tp>
      <tp>
        <v>84.16</v>
        <stp/>
        <stp>BDP|8263106965958046051|22</stp>
        <stp>NFLX US Equity</stp>
        <stp>LAST_PRICE</stp>
        <tr r="S187" s="89"/>
        <tr r="S188" s="89"/>
        <tr r="S186" s="89"/>
      </tp>
      <tp>
        <v>7.65</v>
        <stp/>
        <stp>BDP|12374218908081165086|22</stp>
        <stp>NFLX US 03/20/26 P90 Equity</stp>
        <stp>ask</stp>
        <tr r="L187" s="89"/>
      </tp>
      <tp>
        <v>-0.30721548199653625</v>
        <stp/>
        <stp>BDP|6852050318923921669|22</stp>
        <stp>NFLX US 03/20/26 P80 Equity</stp>
        <stp>DELTA_MID_RT</stp>
        <tr r="W188" s="89"/>
      </tp>
      <tp>
        <v>1.81</v>
        <stp/>
        <stp>BDP|12587604460477320021|22</stp>
        <stp>QQQ US 01/26/26 P615 Equity</stp>
        <stp>ask</stp>
        <tr r="L213" s="89"/>
      </tp>
      <tp t="s">
        <v>#N/A N/A</v>
        <stp/>
        <stp>BDP|13983178372231211717|22</stp>
        <stp>TSM US 01/16/26 P315 Equity</stp>
        <stp>bid</stp>
        <tr r="K197" s="89"/>
      </tp>
      <tp t="s">
        <v>#N/A N/A</v>
        <stp/>
        <stp>BDP|47883857911709246</stp>
        <tr r="AV11" s="2"/>
        <tr r="AV12" s="2"/>
      </tp>
      <tp t="s">
        <v>#N/A Requesting Data...3873208522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BDP|12112331533799678762|22</stp>
        <stp>SNDK US 02/20/26 C500 Equity</stp>
        <stp>QUOTED_CURRENCY_REALTIME</stp>
        <tr r="G23" s="2"/>
      </tp>
      <tp>
        <v>15.5</v>
        <stp/>
        <stp>BDP|10240673035974561197|22</stp>
        <stp>META US 04/17/26 P570 Equity</stp>
        <stp>bid</stp>
        <tr r="P17" s="2"/>
      </tp>
      <tp>
        <v>-3.6850471049547195E-2</v>
        <stp/>
        <stp>BDP|7284956293389292495|22</stp>
        <stp>ASML US 01/23/26 P1100 Equity</stp>
        <stp>DELTA_MID_RT</stp>
        <tr r="W50" s="89"/>
      </tp>
      <tp>
        <v>3.58</v>
        <stp/>
        <stp>BDP|14841963169371507253|22</stp>
        <stp>MRVL US 03/20/26 P75 Equity</stp>
        <stp>mid</stp>
        <tr r="L19" s="2"/>
      </tp>
      <tp>
        <v>249.268</v>
        <stp/>
        <stp>BDP|13852632459561529635|22</stp>
        <stp>AAPL EQUITY</stp>
        <stp>LAST_PRICE</stp>
        <tr r="C6" s="1"/>
      </tp>
      <tp>
        <v>36811.67</v>
        <stp/>
        <stp>BDP|4029547894834693880|22</stp>
        <stp>TXIN0UNU Index</stp>
        <stp>LAST_PRICE</stp>
        <tr r="H10" s="252"/>
        <tr r="H10" s="252"/>
      </tp>
      <tp t="s">
        <v>#N/A N/A</v>
        <stp/>
        <stp>BDP|73932557134530954</stp>
        <tr r="T24" s="2"/>
      </tp>
      <tp>
        <v>-12.793657302856445</v>
        <stp/>
        <stp>BDP|4785474549008730410|22</stp>
        <stp>1OG6P 25000 Index</stp>
        <stp>theta_mid_rt</stp>
        <tr r="AN4" s="2"/>
        <tr r="AN5" s="2"/>
      </tp>
      <tp>
        <v>525.91999999999996</v>
        <stp/>
        <stp>BDP|9828940858298145952|22</stp>
        <stp>MA Equity</stp>
        <stp>LAST PRICE</stp>
        <tr r="G16" s="338"/>
        <tr r="G38" s="338"/>
        <tr r="G40" s="338"/>
      </tp>
      <tp>
        <v>163.29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BDP|13270901624241508025|22</stp>
        <stp>AMAT US 01/23/26 P280 Equity</stp>
        <stp>QUOTED_CURRENCY_REALTIME</stp>
        <tr r="F56" s="89"/>
        <tr r="G7" s="2"/>
      </tp>
      <tp>
        <v>3.65</v>
        <stp/>
        <stp>BDP|17311283871303777118|22</stp>
        <stp>MRVL US 03/20/26 P75 Equity</stp>
        <stp>ask</stp>
        <tr r="Q19" s="2"/>
      </tp>
      <tp>
        <v>0.15</v>
        <stp/>
        <stp>BDP|11546932509834899026|22</stp>
        <stp>AMAT US 01/23/26 P290 Equity</stp>
        <stp>ask</stp>
        <tr r="Q6" s="2"/>
        <tr r="L55" s="89"/>
      </tp>
      <tp>
        <v>17.55</v>
        <stp/>
        <stp>BDP|13407383351402000483|22</stp>
        <stp>AVGO US 06/18/26 C410 Equity</stp>
        <stp>ask</stp>
        <tr r="Q9" s="2"/>
        <tr r="L222" s="89"/>
      </tp>
      <tp>
        <v>17.38</v>
        <stp/>
        <stp>BDP|14577375391089989808|22</stp>
        <stp>AVGO US 06/18/26 C410 Equity</stp>
        <stp>mid</stp>
        <tr r="L9" s="2"/>
      </tp>
      <tp>
        <v>185.09</v>
        <stp/>
        <stp>BDP|2630581548609766860|22</stp>
        <stp>NVDA US Equity</stp>
        <stp>LAST_PRICE</stp>
        <tr r="S237" s="89"/>
      </tp>
      <tp>
        <v>28.65</v>
        <stp/>
        <stp>BDP|10055912377823628920|22</stp>
        <stp>MSFT US 07/17/26 C465 Equity</stp>
        <stp>bid</stp>
        <tr r="K235" s="89"/>
      </tp>
      <tp>
        <v>331.05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  <tr r="G9" s="2"/>
      </tp>
      <tp>
        <v>482.52600000000001</v>
        <stp/>
        <stp>BDP|16804995271076659285|22</stp>
        <stp>BRK/B Equity</stp>
        <stp>LAST PRICE</stp>
        <tr r="I18" s="338"/>
      </tp>
      <tp>
        <v>1.72</v>
        <stp/>
        <stp>BDP|2563613657122572105|22</stp>
        <stp>RKT US 05/15/26 C25 Equity</stp>
        <stp>bid</stp>
        <tr r="K39" s="89"/>
      </tp>
      <tp>
        <v>7.9</v>
        <stp/>
        <stp>BDP|13966874951199659074|22</stp>
        <stp>MRVL US 03/20/26 P85 Equity</stp>
        <stp>ask</stp>
        <tr r="Q18" s="2"/>
      </tp>
      <tp>
        <v>24.6</v>
        <stp/>
        <stp>BDP|14266615157817866347|22</stp>
        <stp>META US 04/17/26 P600 Equity</stp>
        <stp>bid</stp>
        <tr r="P16" s="2"/>
        <tr r="K180" s="89"/>
      </tp>
      <tp>
        <v>35.299999999999997</v>
        <stp/>
        <stp>BDP|16021407028720881249|22</stp>
        <stp>AVGO US 06/18/26 C350 Equity</stp>
        <stp>ask</stp>
        <tr r="Q10" s="2"/>
        <tr r="L223" s="89"/>
      </tp>
      <tp>
        <v>187.68</v>
        <stp/>
        <stp>BDP|6290765801174780597|22</stp>
        <stp>WDAY Equity</stp>
        <stp>LAST PRICE</stp>
        <tr r="L10" s="446"/>
      </tp>
      <tp>
        <v>21.45</v>
        <stp/>
        <stp>BDP|13310992897897785440|22</stp>
        <stp>META US 04/17/26 P590 Equity</stp>
        <stp>ask</stp>
        <tr r="L171" s="89"/>
      </tp>
      <tp>
        <v>6912.43</v>
        <stp/>
        <stp>BDP|2596990609892593565|22</stp>
        <stp>SPX Index</stp>
        <stp>LAST_PRICE</stp>
        <tr r="S160" s="89"/>
      </tp>
      <tp>
        <v>1.8</v>
        <stp/>
        <stp>BDP|17731858862065377261|22</stp>
        <stp>QQQ US 01/15/26 P623 Equity</stp>
        <stp>ask</stp>
        <tr r="L68" s="89"/>
      </tp>
      <tp t="s">
        <v>USD</v>
        <stp/>
        <stp>BDP|12072774544118535624|22</stp>
        <stp>COPX US 07/17/26 C95 Equity</stp>
        <stp>QUOTED_CURRENCY_REALTIME</stp>
        <tr r="F27" s="89"/>
      </tp>
      <tp>
        <v>7985.92</v>
        <stp/>
        <stp>BDP|17372378885504057467|22</stp>
        <stp>CSIN0301 Index</stp>
        <stp>LAST_PRICE</stp>
        <tr r="H7" s="252"/>
        <tr r="H7" s="252"/>
      </tp>
      <tp>
        <v>10.4</v>
        <stp/>
        <stp>BDP|14669267509954598346|22</stp>
        <stp>COPX US 07/17/26 C85 Equity</stp>
        <stp>ask</stp>
        <tr r="L26" s="89"/>
      </tp>
      <tp>
        <v>17.45</v>
        <stp/>
        <stp>BDP|11776063007115912054|22</stp>
        <stp>NVDA US 07/17/26 C200 Equity</stp>
        <stp>ask</stp>
        <tr r="L237" s="89"/>
      </tp>
      <tp>
        <v>3.8</v>
        <stp/>
        <stp>BDP|13597004490224731529|22</stp>
        <stp>COPX US 04/17/26 C95 Equity</stp>
        <stp>ask</stp>
        <tr r="L34" s="89"/>
      </tp>
      <tp>
        <v>235.07</v>
        <stp/>
        <stp>BDP|12911088506019095722|22</stp>
        <stp>AMZN EQUITY</stp>
        <stp>LAST_PRICE</stp>
        <tr r="C5" s="1"/>
      </tp>
      <tp>
        <v>5.2949999999999999</v>
        <stp/>
        <stp>BDP|10515480241315630363|22</stp>
        <stp>brl Curncy</stp>
        <stp>LAST_PRICE</stp>
        <tr r="AC3" s="1"/>
      </tp>
      <tp t="s">
        <v>USD</v>
        <stp/>
        <stp>BDP|13998573931045965631|22</stp>
        <stp>MSFT US 03/20/26 P465 Equity</stp>
        <stp>QUOTED_CURRENCY_REALTIME</stp>
        <tr r="G22" s="2"/>
      </tp>
      <tp>
        <v>2.2799999999999998</v>
        <stp/>
        <stp>BDP|11810525163719928784|22</stp>
        <stp>NFLX US 03/20/26 P80 Equity</stp>
        <stp>ask</stp>
        <tr r="L188" s="89"/>
      </tp>
      <tp>
        <v>185.09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USD</v>
        <stp/>
        <stp>BDP|16444905054810691269|22</stp>
        <stp>COPX US 04/17/26 C95 Equity</stp>
        <stp>QUOTED_CURRENCY_REALTIME</stp>
        <tr r="F34" s="89"/>
      </tp>
      <tp t="s">
        <v>#N/A Real Time</v>
        <stp/>
        <stp>BDP|17873404787619933773|22</stp>
        <stp>IMBWK5C4 5840 Index</stp>
        <stp>DELTA_MID_RT</stp>
        <tr r="W89" s="89"/>
      </tp>
      <tp>
        <v>34.200000000000003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Data...4017370613</v>
        <stp/>
        <stp>BDP|751520279507684047</stp>
        <tr r="X40" s="338"/>
      </tp>
      <tp t="s">
        <v>#N/A Requesting Data...4281954609</v>
        <stp/>
        <stp>BDP|196285167087372652</stp>
        <tr r="O19" s="89"/>
      </tp>
      <tp t="s">
        <v>#N/A Requesting Data...4188473703</v>
        <stp/>
        <stp>BDP|486395361935198594</stp>
        <tr r="O195" s="89"/>
      </tp>
      <tp t="s">
        <v>#N/A Requesting Data...4052125663</v>
        <stp/>
        <stp>BDP|711948671629350257</stp>
        <tr r="E19" s="89"/>
      </tp>
      <tp t="s">
        <v>#N/A N/A</v>
        <stp/>
        <stp>BDP|388535741046312222</stp>
        <tr r="O213" s="89"/>
      </tp>
      <tp t="s">
        <v>#N/A Requesting Data...4134841044</v>
        <stp/>
        <stp>BDP|520527012585306457</stp>
        <tr r="G18" s="446"/>
      </tp>
      <tp t="s">
        <v>#N/A Requesting Data...3974949840</v>
        <stp/>
        <stp>BDP|430169056667283651</stp>
        <tr r="T153" s="89"/>
      </tp>
      <tp t="s">
        <v>#N/A Real Time</v>
        <stp/>
        <stp>BDP|5677808555437609123|22</stp>
        <stp>4OK5C 21650 Index</stp>
        <stp>bid</stp>
        <tr r="K116" s="89"/>
      </tp>
      <tp>
        <v>211.32</v>
        <stp/>
        <stp>BDP|15031025441735979532|22</stp>
        <stp>RDDT Equity</stp>
        <stp>LAST PRICE</stp>
        <tr r="L11" s="446"/>
      </tp>
      <tp>
        <v>20.149999999999999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Data...4186193866</v>
        <stp/>
        <stp>BDP|608595985359488024</stp>
        <tr r="AH13" s="338"/>
        <tr r="AH34" s="338"/>
        <tr r="AJ13" s="338"/>
        <tr r="AJ34" s="338"/>
      </tp>
      <tp t="s">
        <v>#N/A Requesting Data...4095076861</v>
        <stp/>
        <stp>BDP|654074041248648893</stp>
        <tr r="D13" s="89"/>
      </tp>
      <tp t="s">
        <v>#N/A Requesting Data...3866205215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Data...3951386952</v>
        <stp/>
        <stp>BDP|686234847331911027</stp>
        <tr r="G17" s="446"/>
      </tp>
      <tp t="s">
        <v>#N/A Requesting Data...4048455053</v>
        <stp/>
        <stp>BDP|845945561529258153</stp>
        <tr r="X37" s="338"/>
      </tp>
      <tp t="s">
        <v>#N/A Requesting Data...3849284114</v>
        <stp/>
        <stp>BDP|719080694298469649</stp>
        <tr r="F14" s="2"/>
      </tp>
      <tp t="s">
        <v>#N/A Requesting Data...3925287335</v>
        <stp/>
        <stp>BDP|408762416568436914</stp>
        <tr r="T116" s="89"/>
      </tp>
      <tp t="s">
        <v>#N/A Requesting Data...4243495617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5762.44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F205" s="89"/>
      </tp>
      <tp>
        <v>689.13499999999999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Data...3859769266</v>
        <stp/>
        <stp>BDP|780556548910196765</stp>
        <tr r="L53" s="338"/>
        <tr r="L54" s="338"/>
        <tr r="L52" s="338"/>
        <tr r="H52" s="338"/>
        <tr r="H53" s="338"/>
        <tr r="H54" s="338"/>
      </tp>
      <tp t="s">
        <v>#N/A Requesting Data...3980707518</v>
        <stp/>
        <stp>BDP|575304639910340627</stp>
        <tr r="AR9" s="2"/>
      </tp>
      <tp t="s">
        <v>#N/A N/A</v>
        <stp/>
        <stp>BDP|729521579226123201</stp>
        <tr r="C236" s="89"/>
      </tp>
      <tp t="s">
        <v>#N/A Requesting Data...4289425377</v>
        <stp/>
        <stp>BDP|619052234926942338</stp>
        <tr r="O49" s="89"/>
      </tp>
      <tp t="s">
        <v>#N/A Requesting Data...3921798949</v>
        <stp/>
        <stp>BDP|703780504329627859</stp>
        <tr r="AI21" s="1"/>
        <tr r="AI22" s="1"/>
      </tp>
      <tp t="s">
        <v>#N/A Requesting Data...4075370650</v>
        <stp/>
        <stp>BDP|107389883329186412</stp>
        <tr r="L15" s="338"/>
        <tr r="L39" s="338"/>
        <tr r="L40" s="338"/>
        <tr r="H15" s="338"/>
        <tr r="H39" s="338"/>
        <tr r="J40" s="338"/>
      </tp>
      <tp t="s">
        <v>#N/A Requesting Data...4110462069</v>
        <stp/>
        <stp>BDP|294565388632351941</stp>
        <tr r="V75" s="89"/>
      </tp>
      <tp t="s">
        <v>#N/A Requesting Data...4193170972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178.13</v>
        <stp/>
        <stp>BDP|7132801475716187902|22</stp>
        <stp>ORCL EQUITY</stp>
        <stp>LAST_PRICE</stp>
        <tr r="C10" s="1"/>
      </tp>
      <tp t="s">
        <v>#N/A Requesting Data...4083903491</v>
        <stp/>
        <stp>BDP|930699410161740793</stp>
        <tr r="C13" s="89"/>
        <tr r="D25" s="2"/>
      </tp>
      <tp t="s">
        <v>#N/A Requesting Data...3897314859</v>
        <stp/>
        <stp>BDP|517543108217561323</stp>
        <tr r="P53" s="338"/>
      </tp>
      <tp t="s">
        <v>#N/A Requesting Data...4096555892</v>
        <stp/>
        <stp>BDP|244764414260319781</stp>
        <tr r="O18" s="252"/>
      </tp>
      <tp t="s">
        <v>#N/A Requesting Data...4163961574</v>
        <stp/>
        <stp>BDP|896518566545118787</stp>
        <tr r="AA102" s="89"/>
        <tr r="Z102" s="89"/>
      </tp>
      <tp>
        <v>189.75</v>
        <stp/>
        <stp>BDP|6927728524882210324|22</stp>
        <stp>1OG6P 25000 Index</stp>
        <stp>bid</stp>
        <tr r="P4" s="2"/>
        <tr r="K154" s="89"/>
        <tr r="P5" s="2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</tp>
      <tp t="s">
        <v>#N/A N/A</v>
        <stp/>
        <stp>BDP|7187799250672940682|22</stp>
        <stp>QQQ US 01/16/26 C633 Equity</stp>
        <stp>bid</stp>
        <tr r="K204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Data...3828972639</v>
        <stp/>
        <stp>BDP|999131207671054040</stp>
        <tr r="P55" s="338"/>
      </tp>
      <tp t="s">
        <v>#N/A Requesting Data...4059910193</v>
        <stp/>
        <stp>BDP|969726204681693639</stp>
        <tr r="C39" s="89"/>
      </tp>
      <tp t="s">
        <v>#N/A Requesting Data...4017249178</v>
        <stp/>
        <stp>BDP|798980087638306908</stp>
        <tr r="K4" s="1"/>
      </tp>
      <tp t="s">
        <v>#N/A Requesting Data...4052080400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1.77</v>
        <stp/>
        <stp>BDP|15424449240272503460|22</stp>
        <stp>RKT US 05/15/26 C25 Equity</stp>
        <stp>ask</stp>
        <tr r="L39" s="89"/>
      </tp>
      <tp>
        <v>200.30500000000001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BDH|821344100171698165</stp>
        <tr r="AM52" s="338"/>
        <tr r="AM53" s="338"/>
        <tr r="AM54" s="338"/>
      </tp>
      <tp t="s">
        <v>#N/A Requesting Data...4203272862</v>
        <stp/>
        <stp>BDP|980575772465495456</stp>
        <tr r="V196" s="89"/>
      </tp>
      <tp t="s">
        <v>#N/A N/A</v>
        <stp/>
        <stp>BDH|750098233638556863</stp>
        <tr r="AN10" s="338"/>
        <tr r="AN33" s="338"/>
        <tr r="AN11" s="338"/>
      </tp>
      <tp t="s">
        <v>#N/A Requesting Data...4006769993</v>
        <stp/>
        <stp>BDP|400489739133855744</stp>
        <tr r="AF24" s="1"/>
      </tp>
      <tp t="s">
        <v>#N/A Requesting Data...4030526150</v>
        <stp/>
        <stp>BDP|103387833183780070</stp>
        <tr r="Z108" s="89"/>
        <tr r="AA108" s="89"/>
      </tp>
      <tp t="s">
        <v>#N/A N/A</v>
        <stp/>
        <stp>BDH|457331543456851289</stp>
        <tr r="AN30" s="338"/>
        <tr r="AN29" s="338"/>
      </tp>
      <tp>
        <v>87.094999999999999</v>
        <stp/>
        <stp>BDP|6244681688337820540|22</stp>
        <stp>KBWB EQUITY</stp>
        <stp>LAST_PRICE</stp>
        <tr r="I1" s="1"/>
      </tp>
      <tp>
        <v>17.18</v>
        <stp/>
        <stp>BDP|11593899381746563402|22</stp>
        <stp>RIOT Equity</stp>
        <stp>LAST_PRICE</stp>
        <tr r="I33" s="1"/>
      </tp>
      <tp>
        <v>0.4</v>
        <stp/>
        <stp>BDP|6830662576007075756|22</stp>
        <stp>QQQ US 01/26/26 C630 Equity</stp>
        <stp>bid</stp>
        <tr r="K211" s="89"/>
      </tp>
      <tp>
        <v>0.01</v>
        <stp/>
        <stp>BDP|5446023781941606213|22</stp>
        <stp>QQQ US 01/16/26 C635 Equity</stp>
        <stp>ask</stp>
        <tr r="L203" s="89"/>
      </tp>
      <tp>
        <v>17.600000000000001</v>
        <stp/>
        <stp>BDP|7303697284640564666|22</stp>
        <stp>TSM US 06/18/26 C380 Equity</stp>
        <stp>ask</stp>
        <tr r="Q26" s="2"/>
        <tr r="L14" s="89"/>
      </tp>
      <tp>
        <v>21.25</v>
        <stp/>
        <stp>BDP|3151677417243031834|22</stp>
        <stp>TSM US 07/17/26 C380 Equity</stp>
        <stp>ask</stp>
        <tr r="L20" s="89"/>
      </tp>
      <tp t="s">
        <v>#N/A Requesting Data...4175323478</v>
        <stp/>
        <stp>BDP|800460114691746600</stp>
        <tr r="O197" s="89"/>
      </tp>
      <tp t="s">
        <v>#N/A Requesting Data...4061045454</v>
        <stp/>
        <stp>BDP|450712038053400567</stp>
        <tr r="AG12" s="1"/>
      </tp>
      <tp>
        <v>135.25</v>
        <stp/>
        <stp>BDP|7820913280735072569|22</stp>
        <stp>1OG6P 24700 Index</stp>
        <stp>ask</stp>
        <tr r="L153" s="89"/>
      </tp>
      <tp t="s">
        <v>#N/A Requesting Data...4080344971</v>
        <stp/>
        <stp>BDP|908193390539320353</stp>
        <tr r="AA62" s="89"/>
        <tr r="Z62" s="89"/>
      </tp>
      <tp t="s">
        <v>#N/A Requesting Data...3924611613</v>
        <stp/>
        <stp>BDP|310378113498032857</stp>
        <tr r="F9" s="446"/>
      </tp>
      <tp>
        <v>-0.61450636386871338</v>
        <stp/>
        <stp>BDP|3113404587360388424|22</stp>
        <stp>MSFT US 03/20/26 P465 Equity</stp>
        <stp>DELTA_MID_RT</stp>
        <tr r="AF22" s="2"/>
      </tp>
      <tp t="s">
        <v>USD</v>
        <stp/>
        <stp>BDP|7916740187460441225|22</stp>
        <stp>TSM US 01/16/26 P325 Equity</stp>
        <stp>QUOTED_CURRENCY_REALTIME</stp>
        <tr r="F196" s="89"/>
      </tp>
      <tp>
        <v>-0.20702411234378815</v>
        <stp/>
        <stp>BDP|5551973401497312809|22</stp>
        <stp>AVGO US 06/18/26 P270 Equity</stp>
        <stp>DELTA_MID_RT</stp>
        <tr r="W225" s="89"/>
      </tp>
      <tp>
        <v>41.1</v>
        <stp/>
        <stp>BDP|4064819158649726562|22</stp>
        <stp>TSM US 03/20/26 C300 Equity</stp>
        <stp>mid</stp>
        <tr r="L27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Data...4091021307</v>
        <stp/>
        <stp>BDP|630836919334916088</stp>
        <tr r="X10" s="338"/>
      </tp>
      <tp t="s">
        <v>#N/A N/A</v>
        <stp/>
        <stp>BDP|894652130481491978</stp>
        <tr r="AC15" s="2"/>
        <tr r="AC14" s="2"/>
        <tr r="AC16" s="2"/>
        <tr r="AC17" s="2"/>
      </tp>
      <tp t="s">
        <v>#N/A Requesting Data...3987147596</v>
        <stp/>
        <stp>BDP|270487313100359854</stp>
        <tr r="V17" s="338"/>
      </tp>
      <tp>
        <v>689.13499999999999</v>
        <stp/>
        <stp>BDP|13189918054944550299|22</stp>
        <stp>SPY Equity</stp>
        <stp>LAST_PRICE</stp>
        <tr r="X3" s="1"/>
      </tp>
      <tp>
        <v>-6.3150890171527863E-2</v>
        <stp/>
        <stp>BDP|3178362372691625299|22</stp>
        <stp>MRVL US 03/20/26 P80 Equity</stp>
        <stp>theta_mid_rt</stp>
        <tr r="AN20" s="2"/>
      </tp>
      <tp>
        <v>114.25</v>
        <stp/>
        <stp>BDP|11864909502198122066|22</stp>
        <stp>W US Equity</stp>
        <stp>LAST_PRICE</stp>
        <tr r="S40" s="89"/>
      </tp>
      <tp t="s">
        <v>USD</v>
        <stp/>
        <stp>BDP|5899528920965095514|22</stp>
        <stp>QQQ US 01/15/26 P622 Equity</stp>
        <stp>QUOTED_CURRENCY_REALTIME</stp>
        <tr r="F69" s="89"/>
      </tp>
      <tp>
        <v>348.625</v>
        <stp/>
        <stp>BDP|14332915070053504036|22</stp>
        <stp>SOXX Equity</stp>
        <stp>LAST PRICE</stp>
        <tr r="I13" s="338"/>
      </tp>
      <tp>
        <v>0.01</v>
        <stp/>
        <stp>BDP|3663508821472831217|22</stp>
        <stp>QQQ US 01/16/26 C633 Equity</stp>
        <stp>ask</stp>
        <tr r="L204" s="89"/>
      </tp>
      <tp>
        <v>8.5</v>
        <stp/>
        <stp>BDP|9488167050605200857|22</stp>
        <stp>TSM US 01/16/26 C335 Equity</stp>
        <stp>ask</stp>
        <tr r="L195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Data...4006107109</v>
        <stp/>
        <stp>BDP|127253274771311898</stp>
        <tr r="AG11" s="338"/>
      </tp>
      <tp t="s">
        <v>#N/A Requesting Data...3937208553</v>
        <stp/>
        <stp>BDP|827675090525898604</stp>
        <tr r="AF41" s="338"/>
        <tr r="AF42" s="338"/>
      </tp>
      <tp t="s">
        <v>#N/A Requesting Data...4036024602</v>
        <stp/>
        <stp>BDP|782705090920373269</stp>
        <tr r="D129" s="89"/>
      </tp>
      <tp t="s">
        <v>USD</v>
        <stp/>
        <stp>BDP|3262944486371544022|22</stp>
        <stp>QQQ US 01/21/26 P616 Equity</stp>
        <stp>QUOTED_CURRENCY_REALTIME</stp>
        <tr r="F81" s="89"/>
      </tp>
      <tp t="s">
        <v>#N/A Requesting Data...3881997455</v>
        <stp/>
        <stp>BDP|404252579678701218</stp>
        <tr r="T18" s="2"/>
      </tp>
      <tp t="s">
        <v>#N/A Requesting Data...4231693324</v>
        <stp/>
        <stp>BDP|747191926384069867</stp>
        <tr r="L15" s="252"/>
        <tr r="L15" s="252"/>
      </tp>
      <tp t="s">
        <v>#N/A Requesting Data...4075971016</v>
        <stp/>
        <stp>BDP|250232642990829947</stp>
        <tr r="D12" s="2"/>
      </tp>
      <tp t="s">
        <v>#N/A Requesting Data...4106205218</v>
        <stp/>
        <stp>BDP|176347289857022339</stp>
        <tr r="S17" s="252"/>
      </tp>
      <tp t="s">
        <v>#N/A Requesting Data...3983935007</v>
        <stp/>
        <stp>BDP|209347099407616211</stp>
        <tr r="Z197" s="89"/>
        <tr r="AA197" s="89"/>
      </tp>
      <tp t="s">
        <v>#N/A Requesting Data...4063548002</v>
        <stp/>
        <stp>BDP|278537766618564487</stp>
        <tr r="U17" s="338"/>
      </tp>
      <tp t="s">
        <v>#N/A Requesting Data...4121866534</v>
        <stp/>
        <stp>BDP|985943877960620174</stp>
        <tr r="V7" s="89"/>
        <tr r="AD13" s="2"/>
      </tp>
      <tp t="s">
        <v>#N/A Requesting Data...3892579830</v>
        <stp/>
        <stp>BDP|987924063845804559</stp>
        <tr r="E4" s="1"/>
      </tp>
      <tp t="s">
        <v>#N/A Requesting Data...4176312911</v>
        <stp/>
        <stp>BDP|581870374928108840</stp>
        <tr r="X51" s="338"/>
      </tp>
      <tp t="s">
        <v>#N/A N/A</v>
        <stp/>
        <stp>BDH|155551394972526169</stp>
        <tr r="AP37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636.4</v>
        <stp/>
        <stp>BDP|3305523752982270676|22</stp>
        <stp>META EQUITY</stp>
        <stp>LAST_PRICE</stp>
        <tr r="C9" s="1"/>
      </tp>
      <tp>
        <v>-1.9095465540885925E-2</v>
        <stp/>
        <stp>BDP|4448489992068111945|22</stp>
        <stp>AMAT US 01/23/26 P290 Equity</stp>
        <stp>DELTA_MID_RT</stp>
        <tr r="AF6" s="2"/>
        <tr r="W55" s="89"/>
      </tp>
      <tp t="s">
        <v>USD</v>
        <stp/>
        <stp>BDP|8829835796450133949|22</stp>
        <stp>QQQ US 01/26/26 C630 Equity</stp>
        <stp>QUOTED_CURRENCY_REALTIME</stp>
        <tr r="F211" s="89"/>
      </tp>
      <tp>
        <v>-3.3503754530102015E-3</v>
        <stp/>
        <stp>BDP|11616585170366627845|22</stp>
        <stp>ASML US 01/23/26 P1200 Equity</stp>
        <stp>DELTA_MID_RT</stp>
        <tr r="W49" s="89"/>
      </tp>
      <tp t="s">
        <v>#N/A Requesting Data...4029300354</v>
        <stp/>
        <stp>BDP|887987616640012698</stp>
        <tr r="AB12" s="1"/>
      </tp>
      <tp t="s">
        <v>#N/A N/A</v>
        <stp/>
        <stp>BDP|247193226988173586</stp>
        <tr r="Q13" s="338"/>
      </tp>
      <tp t="s">
        <v>#N/A Requesting Data...4207245001</v>
        <stp/>
        <stp>BDP|364330932177526925</stp>
        <tr r="S37" s="338"/>
      </tp>
      <tp t="s">
        <v>#N/A Requesting Data...4125371258</v>
        <stp/>
        <stp>BDP|308105164449948089</stp>
        <tr r="K26" s="1"/>
      </tp>
      <tp t="s">
        <v>#N/A N/A</v>
        <stp/>
        <stp>BDH|706409496672081171</stp>
        <tr r="AM48" s="338"/>
        <tr r="AM47" s="338"/>
        <tr r="AM44" s="338"/>
        <tr r="AR53" s="338"/>
        <tr r="AR10" s="338"/>
      </tp>
      <tp t="s">
        <v>#N/A Requesting Data...4216516661</v>
        <stp/>
        <stp>BDP|629699598025628435</stp>
        <tr r="D82" s="89"/>
      </tp>
      <tp>
        <v>33.715000000000003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BDP|6365657359185998135|22</stp>
        <stp>QQQ US 01/26/26 P615 Equity</stp>
        <stp>QUOTED_CURRENCY_REALTIME</stp>
        <tr r="F213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Data...4215328247</v>
        <stp/>
        <stp>BDP|865618064141370815</stp>
        <tr r="N12" s="252"/>
        <tr r="N12" s="252"/>
      </tp>
      <tp t="s">
        <v>#N/A N/A</v>
        <stp/>
        <stp>BDP|692490859580483882</stp>
        <tr r="AA211" s="89"/>
        <tr r="Z211" s="89"/>
      </tp>
      <tp t="s">
        <v>#N/A Requesting Data...4084183157</v>
        <stp/>
        <stp>BDP|757266498405781787</stp>
        <tr r="X3" s="1"/>
      </tp>
      <tp t="s">
        <v>#N/A Requesting Data...4077892518</v>
        <stp/>
        <stp>BDP|321567796020124549</stp>
        <tr r="F43" s="446"/>
      </tp>
      <tp t="s">
        <v>#N/A Requesting Data...3906828328</v>
        <stp/>
        <stp>BDP|748281786590893378</stp>
        <tr r="AA160" s="89"/>
        <tr r="Z160" s="89"/>
      </tp>
      <tp t="s">
        <v>#N/A N/A</v>
        <stp/>
        <stp>BDP|854587986095168176</stp>
        <tr r="T213" s="89"/>
      </tp>
      <tp t="s">
        <v>USD</v>
        <stp/>
        <stp>BDP|1731871426539960425|22</stp>
        <stp>QQQ US 01/15/26 P623 Equity</stp>
        <stp>QUOTED_CURRENCY_REALTIME</stp>
        <tr r="F68" s="89"/>
      </tp>
      <tp>
        <v>42.9298</v>
        <stp/>
        <stp>BDP|16955313478604069014|22</stp>
        <stp>XLU Equity</stp>
        <stp>LAST PRICE</stp>
        <tr r="I42" s="338"/>
      </tp>
      <tp t="s">
        <v>#N/A N/A</v>
        <stp/>
        <stp>BDH|393683202708461633</stp>
        <tr r="AR9" s="338"/>
      </tp>
      <tp t="s">
        <v>#N/A Requesting Data...4201860290</v>
        <stp/>
        <stp>BDP|938081193165986446</stp>
        <tr r="U46" s="338"/>
      </tp>
      <tp>
        <v>104.71</v>
        <stp/>
        <stp>BDP|12455594618882884319|22</stp>
        <stp>GDX Equity</stp>
        <stp>LAST_PRICE</stp>
        <tr r="I16" s="1"/>
      </tp>
      <tp t="s">
        <v>#N/A Requesting Data...3930098745</v>
        <stp/>
        <stp>BDP|345620769730348823</stp>
        <tr r="G20" s="446"/>
      </tp>
      <tp t="s">
        <v>#N/A Requesting Data...4141384196</v>
        <stp/>
        <stp>BDP|493910466490440711</stp>
        <tr r="O63" s="89"/>
        <tr r="T21" s="2"/>
      </tp>
      <tp t="s">
        <v>#N/A Requesting Data...4264004473</v>
        <stp/>
        <stp>BDP|771655587750732627</stp>
        <tr r="AI19" s="1"/>
        <tr r="AI20" s="1"/>
      </tp>
      <tp t="s">
        <v>#N/A Requesting Data...4134848465</v>
        <stp/>
        <stp>BDP|602924412615549500</stp>
        <tr r="V178" s="89"/>
      </tp>
      <tp>
        <v>133.75</v>
        <stp/>
        <stp>BDP|3417945712509211367|22</stp>
        <stp>1OG6P 24700 Index</stp>
        <stp>bid</stp>
        <tr r="K153" s="89"/>
      </tp>
      <tp t="s">
        <v>USD</v>
        <stp/>
        <stp>BDP|5876029209403858680|22</stp>
        <stp>TSM US 06/18/26 C340 Equity</stp>
        <stp>QUOTED_CURRENCY_REALTIME</stp>
        <tr r="F13" s="89"/>
        <tr r="G25" s="2"/>
      </tp>
      <tp>
        <v>-1.7869360744953156E-2</v>
        <stp/>
        <stp>BDP|1593024835823764098|22</stp>
        <stp>AMAT US 01/23/26 P280 Equity</stp>
        <stp>DELTA_MID_RT</stp>
        <tr r="AF7" s="2"/>
        <tr r="W56" s="89"/>
      </tp>
      <tp>
        <v>96.28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Data...4288313253</v>
        <stp/>
        <stp>BDP|410104351027872819</stp>
        <tr r="AB24" s="1"/>
      </tp>
      <tp t="s">
        <v>#N/A Requesting Data...3959066137</v>
        <stp/>
        <stp>BDP|764078797243992127</stp>
        <tr r="D56" s="89"/>
      </tp>
      <tp t="s">
        <v>#N/A Requesting Data...4026321919</v>
        <stp/>
        <stp>BDP|237201852408926413</stp>
        <tr r="U35" s="338"/>
      </tp>
      <tp t="s">
        <v>#N/A Requesting Data...3967205894</v>
        <stp/>
        <stp>BDP|410647168382881996</stp>
        <tr r="V54" s="338"/>
      </tp>
      <tp t="s">
        <v>#N/A Requesting Data...4269027950</v>
        <stp/>
        <stp>BDP|981114986491900309</stp>
        <tr r="F8" s="252"/>
      </tp>
      <tp t="s">
        <v>#N/A Requesting Data...3957648204</v>
        <stp/>
        <stp>BDP|612746655750406928</stp>
        <tr r="S16" s="338"/>
        <tr r="S38" s="338"/>
      </tp>
      <tp t="s">
        <v>#N/A N/A</v>
        <stp/>
        <stp>BDH|271779285584770062</stp>
        <tr r="AS11" s="338"/>
      </tp>
      <tp t="s">
        <v>#N/A N/A</v>
        <stp/>
        <stp>BDP|184898238610112004</stp>
        <tr r="AA237" s="89"/>
        <tr r="Z237" s="89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F197" s="89"/>
      </tp>
      <tp>
        <v>330.52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84.34</v>
        <stp/>
        <stp>BDP|15428137786848034213|22</stp>
        <stp>MRVL Equity</stp>
        <stp>LAST PRICE</stp>
        <tr r="G37" s="338"/>
      </tp>
      <tp>
        <v>0.9</v>
        <stp/>
        <stp>BDP|9263322211361926051|22</stp>
        <stp>EWT US 01/16/26 C66.2 Equity</stp>
        <stp>bid</stp>
        <tr r="K178" s="89"/>
      </tp>
      <tp>
        <v>39.634999999999998</v>
        <stp/>
        <stp>BDP|15189910301226923788|22</stp>
        <stp>FXI Equity</stp>
        <stp>LAST_PRICE</stp>
        <tr r="H9" s="252"/>
        <tr r="H9" s="252"/>
      </tp>
      <tp>
        <v>0.1079002320766449</v>
        <stp/>
        <stp>BDP|15371550534426313083|22</stp>
        <stp>QQQ US 01/26/26 C630 Equity</stp>
        <stp>DELTA_MID_RT</stp>
        <tr r="W211" s="89"/>
      </tp>
      <tp>
        <v>-3.8300000596791506E-3</v>
        <stp/>
        <stp>BDP|14709293869565824739|22</stp>
        <stp>TSM US 01/16/26 P325 Equity</stp>
        <stp>DELTA_MID_RT</stp>
        <tr r="W196" s="89"/>
      </tp>
      <tp>
        <v>84.34</v>
        <stp/>
        <stp>BDP|14735743812855208855|22</stp>
        <stp>MRVL Equity</stp>
        <stp>LAST_PRICE</stp>
        <tr r="I32" s="1"/>
      </tp>
      <tp>
        <v>16.149999999999999</v>
        <stp/>
        <stp>BDP|2947614605786602114|22</stp>
        <stp>GDX US 09/18/26 C105 Equity</stp>
        <stp>ask</stp>
        <tr r="Q11" s="2"/>
      </tp>
      <tp>
        <v>185.09</v>
        <stp/>
        <stp>BDP|18083567340910719726|22</stp>
        <stp>NVDA Equity</stp>
        <stp>LAST PRICE</stp>
        <tr r="G14" s="338"/>
        <tr r="G35" s="338"/>
      </tp>
      <tp>
        <v>5.45</v>
        <stp/>
        <stp>BDP|1603579272794795324|22</stp>
        <stp>MRVL US 03/20/26 P80 Equity</stp>
        <stp>mid</stp>
        <tr r="L20" s="2"/>
      </tp>
      <tp>
        <v>3.4</v>
        <stp/>
        <stp>BDP|3218463650849211028|22</stp>
        <stp>COPX US 04/17/26 C95 Equity</stp>
        <stp>bid</stp>
        <tr r="K34" s="89"/>
      </tp>
      <tp>
        <v>1.8</v>
        <stp/>
        <stp>BDP|7310662461570855423|22</stp>
        <stp>QQQ US 01/26/26 P615 Equity</stp>
        <stp>bid</stp>
        <tr r="K213" s="89"/>
      </tp>
      <tp>
        <v>1.01</v>
        <stp/>
        <stp>BDP|7681200647090738046|22</stp>
        <stp>QQQ US 01/16/26 P622 Equity</stp>
        <stp>bid</stp>
        <tr r="K205" s="89"/>
      </tp>
      <tp t="s">
        <v>#N/A Real Time</v>
        <stp/>
        <stp>BDP|8340553546063687451|22</stp>
        <stp>4OK5C 21650 Index</stp>
        <stp>DELTA_MID_RT</stp>
        <tr r="W116" s="89"/>
      </tp>
      <tp>
        <v>185.09</v>
        <stp/>
        <stp>BDP|10556089213855348182|22</stp>
        <stp>NVDA Equity</stp>
        <stp>LAST_PRICE</stp>
        <tr r="I30" s="1"/>
        <tr r="I31" s="1"/>
      </tp>
      <tp t="s">
        <v>USD</v>
        <stp/>
        <stp>BDP|4232577079069091557|22</stp>
        <stp>GDX US 09/18/26 C105 Equity</stp>
        <stp>QUOTED_CURRENCY_REALTIME</stp>
        <tr r="G11" s="2"/>
      </tp>
      <tp>
        <v>0.48789972066879272</v>
        <stp/>
        <stp>BDP|3367401678798717289|22</stp>
        <stp>W US 05/15/26 C125 Equity</stp>
        <stp>DELTA_MID_RT</stp>
        <tr r="W40" s="89"/>
      </tp>
      <tp>
        <v>105.16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53.83</v>
        <stp/>
        <stp>BDP|11210988692762470107|22</stp>
        <stp>XLF Equity</stp>
        <stp>LAST_PRICE</stp>
        <tr r="I34" s="1"/>
      </tp>
      <tp>
        <v>3.4509999677538872E-3</v>
        <stp/>
        <stp>BDP|12492272964442043253|22</stp>
        <stp>QQQ US 01/16/26 C635 Equity</stp>
        <stp>DELTA_MID_RT</stp>
        <tr r="W203" s="89"/>
      </tp>
      <tp>
        <v>7</v>
        <stp/>
        <stp>BDP|1916337441106548061|22</stp>
        <stp>COPX US 04/17/26 C85 Equity</stp>
        <stp>ask</stp>
        <tr r="L33" s="89"/>
      </tp>
      <tp t="s">
        <v>#N/A Real Time</v>
        <stp/>
        <stp>BDP|7909497283026172618|22</stp>
        <stp>4OK5C 21300 Index</stp>
        <stp>DELTA_MID_RT</stp>
        <tr r="W115" s="89"/>
      </tp>
      <tp>
        <v>-9.5466719940304756E-3</v>
        <stp/>
        <stp>BDP|5598166511208398697|22</stp>
        <stp>ASHR US 02/20/26 C35 Equity</stp>
        <stp>theta_mid_rt</stp>
        <tr r="AN8" s="2"/>
      </tp>
      <tp>
        <v>180.04499999999999</v>
        <stp/>
        <stp>BDP|16076910053857732698|22</stp>
        <stp>BABA Equity</stp>
        <stp>LAST_PRICE</stp>
        <tr r="I12" s="1"/>
      </tp>
      <tp>
        <v>0.81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67.349999999999994</v>
        <stp/>
        <stp>BDP|16675559367525942243|22</stp>
        <stp>TTE Equity</stp>
        <stp>LAST PRICE</stp>
        <tr r="I29" s="338"/>
      </tp>
      <tp>
        <v>0.53360068798065186</v>
        <stp/>
        <stp>BDP|16687792746206833445|22</stp>
        <stp>TSM US 06/18/26 C340 Equity</stp>
        <stp>DELTA_MID_RT</stp>
        <tr r="AF25" s="2"/>
        <tr r="W13" s="89"/>
      </tp>
      <tp>
        <v>4122.576</v>
        <stp/>
        <stp>BDP|8077747707676540560|22</stp>
        <stp>SHCOMP Index</stp>
        <stp>LAST_PRICE</stp>
        <tr r="H20" s="252"/>
        <tr r="H20" s="252"/>
      </tp>
      <tp>
        <v>0.7</v>
        <stp/>
        <stp>BDP|9553145545070053911|22</stp>
        <stp>QQQ US 01/15/26 P622 Equity</stp>
        <stp>bid</stp>
        <tr r="K69" s="89"/>
      </tp>
      <tp>
        <v>106.2</v>
        <stp/>
        <stp>BDP|11576966289528241643|22</stp>
        <stp>HOOD Equity</stp>
        <stp>LAST PRICE</stp>
        <tr r="L5" s="446"/>
        <tr r="L6" s="446"/>
      </tp>
      <tp>
        <v>0.54396730661392212</v>
        <stp/>
        <stp>BDP|15150595801257451367|22</stp>
        <stp>TSM US 07/17/26 C340 Equity</stp>
        <stp>DELTA_MID_RT</stp>
        <tr r="W19" s="89"/>
      </tp>
      <tp>
        <v>360.76499999999999</v>
        <stp/>
        <stp>BDP|13530810646219131800|22</stp>
        <stp>LITE Equity</stp>
        <stp>LAST_PRICE</stp>
        <tr r="I27" s="1"/>
      </tp>
      <tp>
        <v>0.01</v>
        <stp/>
        <stp>BDP|4962749215526977152|22</stp>
        <stp>TSM US 01/16/26 P325 Equity</stp>
        <stp>ask</stp>
        <tr r="L196" s="89"/>
      </tp>
      <tp>
        <v>0.01</v>
        <stp/>
        <stp>BDP|4848892117196030665|22</stp>
        <stp>QQQ US 01/21/26 P616 Equity</stp>
        <stp>ask</stp>
        <tr r="L76" s="89"/>
        <tr r="L81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287.04000000000002</v>
        <stp/>
        <stp>BDP|13659659385475398852|22</stp>
        <stp>ACN Equity</stp>
        <stp>LAST PRICE</stp>
        <tr r="L8" s="446"/>
      </tp>
      <tp>
        <v>5.5</v>
        <stp/>
        <stp>BDP|8734482328934403813|22</stp>
        <stp>MRVL US 03/20/26 P80 Equity</stp>
        <stp>ask</stp>
        <tr r="L62" s="89"/>
        <tr r="Q20" s="2"/>
      </tp>
      <tp>
        <v>2.2000000000000002</v>
        <stp/>
        <stp>BDP|8993060904794494053|22</stp>
        <stp>NFLX US 03/20/26 P80 Equity</stp>
        <stp>bid</stp>
        <tr r="K188" s="89"/>
      </tp>
      <tp>
        <v>1.53</v>
        <stp/>
        <stp>BDP|7163798778722749172|22</stp>
        <stp>QQQ US 01/16/26 P622 Equity</stp>
        <stp>ask</stp>
        <tr r="L205" s="89"/>
      </tp>
      <tp>
        <v>11.72</v>
        <stp/>
        <stp>BDP|5153940913904664797|22</stp>
        <stp>GDX US 09/18/26 C115 Equity</stp>
        <stp>mid</stp>
        <tr r="L12" s="2"/>
      </tp>
      <tp>
        <v>330.52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-9.7928561270236969E-2</v>
        <stp/>
        <stp>BDP|13660853806395269308|22</stp>
        <stp>QQQ US 01/21/26 P616 Equity</stp>
        <stp>DELTA_MID_RT</stp>
        <tr r="W76" s="89"/>
        <tr r="W81" s="89"/>
      </tp>
      <tp>
        <v>82.45</v>
        <stp/>
        <stp>BDP|3517880411788471110|22</stp>
        <stp>COPX EQUITY</stp>
        <stp>LAST_PRICE</stp>
        <tr r="I9" s="1"/>
      </tp>
      <tp>
        <v>0.49498611688613892</v>
        <stp/>
        <stp>BDP|1115882164603689622|22</stp>
        <stp>META US 07/17/26 C670 Equity</stp>
        <stp>DELTA_MID_RT</stp>
        <tr r="W233" s="89"/>
        <tr r="AF15" s="2"/>
      </tp>
      <tp>
        <v>15.22</v>
        <stp/>
        <stp>BDP|9235179415749059917|22</stp>
        <stp>GDX US 09/18/26 C105 Equity</stp>
        <stp>mid</stp>
        <tr r="L11" s="2"/>
      </tp>
      <tp>
        <v>0.20278985798358917</v>
        <stp/>
        <stp>BDP|9935221880457496648|22</stp>
        <stp>META US 04/17/26 C750 Equity</stp>
        <stp>DELTA_MID_RT</stp>
        <tr r="W169" s="89"/>
      </tp>
      <tp>
        <v>5178.58</v>
        <stp/>
        <stp>BDP|13402169581729532440|22</stp>
        <stp>BKNG Equity</stp>
        <stp>LAST PRICE</stp>
        <tr r="G12" s="338"/>
      </tp>
      <tp>
        <v>-0.77941399812698364</v>
        <stp/>
        <stp>BDP|15758321286058819892|22</stp>
        <stp>QQQ US 01/16/26 P622 Equity</stp>
        <stp>DELTA_MID_RT</stp>
        <tr r="W205" s="89"/>
      </tp>
      <tp>
        <v>0.35523086786270142</v>
        <stp/>
        <stp>BDP|17478839230977938286|22</stp>
        <stp>TSM US 06/18/26 C380 Equity</stp>
        <stp>DELTA_MID_RT</stp>
        <tr r="AF26" s="2"/>
        <tr r="W14" s="89"/>
      </tp>
      <tp>
        <v>0.77912956476211548</v>
        <stp/>
        <stp>BDP|16089778845299134572|22</stp>
        <stp>TSM US 03/20/26 C300 Equity</stp>
        <stp>DELTA_MID_RT</stp>
        <tr r="AF27" s="2"/>
      </tp>
      <tp>
        <v>0.44864070415496826</v>
        <stp/>
        <stp>BDP|4089992193290453877|22</stp>
        <stp>LITE US 03/20/26 C420 Equity</stp>
        <stp>DELTA_MID_RT</stp>
        <tr r="W8" s="89"/>
      </tp>
      <tp>
        <v>7.45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12" s="2"/>
      </tp>
      <tp>
        <v>225.53100000000001</v>
        <stp/>
        <stp>BDP|18434337130911834676|22</stp>
        <stp>CRM Equity</stp>
        <stp>LAST PRICE</stp>
        <tr r="G31" s="338"/>
        <tr r="G32" s="338"/>
        <tr r="L9" s="446"/>
      </tp>
      <tp>
        <v>332.44</v>
        <stp/>
        <stp>BDP|13113113388917834281|22</stp>
        <stp>TSM Equity</stp>
        <stp>LAST_PRICE</stp>
        <tr r="I29" s="1"/>
      </tp>
      <tp>
        <v>-0.29424107074737549</v>
        <stp/>
        <stp>BDP|14052482222999807241|22</stp>
        <stp>QQQ US 01/26/26 P615 Equity</stp>
        <stp>DELTA_MID_RT</stp>
        <tr r="W213" s="89"/>
      </tp>
      <tp>
        <v>-0.55367797613143921</v>
        <stp/>
        <stp>BDP|16744070427508501583|22</stp>
        <stp>QQQ US 01/15/26 P622 Equity</stp>
        <stp>DELTA_MID_RT</stp>
        <tr r="W69" s="89"/>
      </tp>
      <tp>
        <v>331.18</v>
        <stp/>
        <stp>BDP|16760158171648826820|22</stp>
        <stp>GOOG Equity</stp>
        <stp>LAST_PRICE</stp>
        <tr r="I18" s="1"/>
      </tp>
      <tp>
        <v>7.8</v>
        <stp/>
        <stp>BDP|4235437341860435959|22</stp>
        <stp>COPX US 07/17/26 C95 Equity</stp>
        <stp>ask</stp>
        <tr r="L27" s="89"/>
      </tp>
      <tp>
        <v>0.24</v>
        <stp/>
        <stp>BDP|9704315770915911503|22</stp>
        <stp>ASHR US 02/20/26 C35 Equity</stp>
        <stp>bid</stp>
        <tr r="P8" s="2"/>
      </tp>
      <tp>
        <v>-0.2855151891708374</v>
        <stp/>
        <stp>BDP|4306646786803793992|22</stp>
        <stp>META US 04/17/26 P590 Equity</stp>
        <stp>DELTA_MID_RT</stp>
        <tr r="W171" s="89"/>
      </tp>
      <tp t="s">
        <v>#N/A N/A</v>
        <stp/>
        <stp>BDP|9153761627908789010|22</stp>
        <stp>TSM US 01/16/26 P325 Equity</stp>
        <stp>bid</stp>
        <tr r="K196" s="89"/>
      </tp>
      <tp>
        <v>11.25</v>
        <stp/>
        <stp>BDP|7029302373160148016|22</stp>
        <stp>GDX US 09/18/26 C115 Equity</stp>
        <stp>bid</stp>
        <tr r="P12" s="2"/>
      </tp>
      <tp t="s">
        <v>#N/A Real Time</v>
        <stp/>
        <stp>BDP|3703572431849033805|22</stp>
        <stp>3OF5C    22500 Index</stp>
        <stp>DELTA_MID_RT</stp>
        <tr r="W109" s="89"/>
      </tp>
      <tp>
        <v>22.645</v>
        <stp/>
        <stp>BDP|12167170999494993919|22</stp>
        <stp>KHC Equity</stp>
        <stp>LAST_PRICE</stp>
        <tr r="I35" s="1"/>
      </tp>
      <tp>
        <v>5843</v>
        <stp/>
        <stp>BDP|18259571086573127790|22</stp>
        <stp>HCTA Index</stp>
        <stp>LAST PRICE</stp>
        <tr r="L12" s="446"/>
      </tp>
      <tp>
        <v>2.1800000000000002</v>
        <stp/>
        <stp>BDP|5295851568697877083|22</stp>
        <stp>MRVL US 03/20/26 P70 Equity</stp>
        <stp>bid</stp>
        <tr r="K63" s="89"/>
        <tr r="P21" s="2"/>
      </tp>
      <tp>
        <v>0.98</v>
        <stp/>
        <stp>BDP|6711845542581076228|22</stp>
        <stp>QQQ US 01/23/26 P615 Equity</stp>
        <stp>bid</stp>
        <tr r="K75" s="89"/>
      </tp>
      <tp>
        <v>0.28000000000000003</v>
        <stp/>
        <stp>BDP|8465872380432047250|22</stp>
        <stp>ASHR US 02/20/26 C35 Equity</stp>
        <stp>ask</stp>
        <tr r="Q8" s="2"/>
      </tp>
      <tp>
        <v>332.44</v>
        <stp/>
        <stp>BDP|18226792745994375460|22</stp>
        <stp>TSM Equity</stp>
        <stp>LAST PRICE</stp>
        <tr r="G13" s="338"/>
        <tr r="G34" s="338"/>
      </tp>
      <tp>
        <v>3.9510000497102737E-3</v>
        <stp/>
        <stp>BDP|11292885437955738515|22</stp>
        <stp>QQQ US 01/16/26 C633 Equity</stp>
        <stp>DELTA_MID_RT</stp>
        <tr r="W204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0.38112169504165649</v>
        <stp/>
        <stp>BDP|18231477560940764707|22</stp>
        <stp>TSM US 07/17/26 C380 Equity</stp>
        <stp>DELTA_MID_RT</stp>
        <tr r="W20" s="89"/>
      </tp>
      <tp>
        <v>9.9</v>
        <stp/>
        <stp>BDP|8402589100676091799|22</stp>
        <stp>COPX US 07/17/26 C85 Equity</stp>
        <stp>bid</stp>
        <tr r="K26" s="89"/>
      </tp>
      <tp>
        <v>4723.71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P&amp;L'!$B$12:$B$36</c:f>
              <c:strCache>
                <c:ptCount val="25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1OH6</c:v>
                </c:pt>
                <c:pt idx="4">
                  <c:v>GDX</c:v>
                </c:pt>
                <c:pt idx="5">
                  <c:v>COPX</c:v>
                </c:pt>
                <c:pt idx="6">
                  <c:v>GOOG</c:v>
                </c:pt>
                <c:pt idx="7">
                  <c:v>AMZN</c:v>
                </c:pt>
                <c:pt idx="8">
                  <c:v>AMZN</c:v>
                </c:pt>
                <c:pt idx="9">
                  <c:v>META</c:v>
                </c:pt>
                <c:pt idx="10">
                  <c:v>META</c:v>
                </c:pt>
                <c:pt idx="11">
                  <c:v>MSFT</c:v>
                </c:pt>
                <c:pt idx="12">
                  <c:v>000660 KP</c:v>
                </c:pt>
                <c:pt idx="13">
                  <c:v>SNDK</c:v>
                </c:pt>
                <c:pt idx="14">
                  <c:v>EWY</c:v>
                </c:pt>
                <c:pt idx="15">
                  <c:v>LITE</c:v>
                </c:pt>
                <c:pt idx="16">
                  <c:v>AVGO</c:v>
                </c:pt>
                <c:pt idx="17">
                  <c:v>TSM</c:v>
                </c:pt>
                <c:pt idx="18">
                  <c:v>NVDA</c:v>
                </c:pt>
                <c:pt idx="19">
                  <c:v>NVDA</c:v>
                </c:pt>
                <c:pt idx="20">
                  <c:v>MRVL</c:v>
                </c:pt>
                <c:pt idx="21">
                  <c:v>RIOT</c:v>
                </c:pt>
                <c:pt idx="22">
                  <c:v>XLF</c:v>
                </c:pt>
                <c:pt idx="23">
                  <c:v>KHC</c:v>
                </c:pt>
                <c:pt idx="24">
                  <c:v>XLP</c:v>
                </c:pt>
              </c:strCache>
            </c:strRef>
          </c:cat>
          <c:val>
            <c:numRef>
              <c:f>'Master P&amp;L'!$J$12:$J$36</c:f>
              <c:numCache>
                <c:formatCode>0.00%</c:formatCode>
                <c:ptCount val="25"/>
                <c:pt idx="0">
                  <c:v>6.7439378668405769E-2</c:v>
                </c:pt>
                <c:pt idx="1">
                  <c:v>6.2238106975596175E-3</c:v>
                </c:pt>
                <c:pt idx="2">
                  <c:v>-4.4470797509621462E-4</c:v>
                </c:pt>
                <c:pt idx="3">
                  <c:v>6.1344273880099554E-3</c:v>
                </c:pt>
                <c:pt idx="4">
                  <c:v>3.3764438740250702E-2</c:v>
                </c:pt>
                <c:pt idx="5">
                  <c:v>-1.8101702989162805E-2</c:v>
                </c:pt>
                <c:pt idx="6">
                  <c:v>8.526706863999145E-3</c:v>
                </c:pt>
                <c:pt idx="7">
                  <c:v>1.6255241883186944E-2</c:v>
                </c:pt>
                <c:pt idx="8">
                  <c:v>5.1740357478833321E-3</c:v>
                </c:pt>
                <c:pt idx="9">
                  <c:v>3.8240668232837338E-2</c:v>
                </c:pt>
                <c:pt idx="10">
                  <c:v>4.2289970333899696E-3</c:v>
                </c:pt>
                <c:pt idx="11">
                  <c:v>5.9895071040958481E-3</c:v>
                </c:pt>
                <c:pt idx="12">
                  <c:v>2.0270270270270174E-2</c:v>
                </c:pt>
                <c:pt idx="13">
                  <c:v>-2.3782640786770171E-2</c:v>
                </c:pt>
                <c:pt idx="14">
                  <c:v>2.6802697561818523E-3</c:v>
                </c:pt>
                <c:pt idx="15">
                  <c:v>-4.621454585586604E-3</c:v>
                </c:pt>
                <c:pt idx="16">
                  <c:v>5.231143552311357E-3</c:v>
                </c:pt>
                <c:pt idx="17">
                  <c:v>1.9379369557218196E-2</c:v>
                </c:pt>
                <c:pt idx="18">
                  <c:v>9.6552476543749766E-3</c:v>
                </c:pt>
                <c:pt idx="19">
                  <c:v>2.6543878656555275E-3</c:v>
                </c:pt>
                <c:pt idx="20">
                  <c:v>2.1683827983040693E-2</c:v>
                </c:pt>
                <c:pt idx="21">
                  <c:v>-4.0579710144927894E-3</c:v>
                </c:pt>
                <c:pt idx="22">
                  <c:v>6.9210624766180562E-3</c:v>
                </c:pt>
                <c:pt idx="23">
                  <c:v>1.0937500000000044E-2</c:v>
                </c:pt>
                <c:pt idx="24">
                  <c:v>4.2455118874329401E-4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28</xdr:col>
      <xdr:colOff>500060</xdr:colOff>
      <xdr:row>8</xdr:row>
      <xdr:rowOff>202407</xdr:rowOff>
    </xdr:from>
    <xdr:to>
      <xdr:col>34</xdr:col>
      <xdr:colOff>357185</xdr:colOff>
      <xdr:row>48</xdr:row>
      <xdr:rowOff>51050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26123" y="1833563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19</xdr:col>
      <xdr:colOff>535781</xdr:colOff>
      <xdr:row>9</xdr:row>
      <xdr:rowOff>23812</xdr:rowOff>
    </xdr:from>
    <xdr:to>
      <xdr:col>28</xdr:col>
      <xdr:colOff>404811</xdr:colOff>
      <xdr:row>44</xdr:row>
      <xdr:rowOff>68035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44562" y="1869281"/>
          <a:ext cx="4786312" cy="75213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19</xdr:col>
      <xdr:colOff>245080</xdr:colOff>
      <xdr:row>42</xdr:row>
      <xdr:rowOff>107156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86875" y="2250281"/>
          <a:ext cx="4066986" cy="67746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44.510881481481" createdVersion="8" refreshedVersion="8" minRefreshableVersion="3" recordCount="22" xr:uid="{C35D4399-4CEF-409A-AF8E-A02DC4C552E4}">
  <cacheSource type="worksheet">
    <worksheetSource name="Tabelad"/>
  </cacheSource>
  <cacheFields count="34">
    <cacheField name="Ticker" numFmtId="172">
      <sharedItems containsBlank="1" count="182">
        <s v="BABA"/>
        <s v="BIDU"/>
        <s v="ASHR"/>
        <s v="1OH6"/>
        <s v="GDX"/>
        <s v="COPX"/>
        <s v="GOOG"/>
        <s v="AMZN"/>
        <s v="META"/>
        <s v="MSFT"/>
        <s v="000660 KP"/>
        <s v="SNDK"/>
        <s v="EWY"/>
        <s v="LITE"/>
        <s v="AVGO"/>
        <s v="TSM"/>
        <s v="NVDA"/>
        <s v="MRVL"/>
        <s v="RIOT"/>
        <s v="XLF"/>
        <s v="KHC"/>
        <s v="XLP"/>
        <s v="000660 KS" u="1"/>
        <s v="KMH6" u="1"/>
        <s v="AMAT" u="1"/>
        <s v="GDX " u="1"/>
        <s v="QQQE" u="1"/>
        <s v="QQQ" u="1"/>
        <s v="RSP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5750"/>
    </cacheField>
    <cacheField name="Price Today" numFmtId="43">
      <sharedItems containsSemiMixedTypes="0" containsString="0" containsNumber="1" minValue="17.035" maxValue="755000"/>
    </cacheField>
    <cacheField name="% Chg" numFmtId="10">
      <sharedItems containsSemiMixedTypes="0" containsString="0" containsNumber="1" minValue="-2.5414430768616936E-2" maxValue="6.5512539277879922E-2"/>
    </cacheField>
    <cacheField name="Price Yest" numFmtId="43">
      <sharedItems containsSemiMixedTypes="0" containsString="0" containsNumber="1" minValue="17.25" maxValue="740000"/>
    </cacheField>
    <cacheField name="FX" numFmtId="168">
      <sharedItems containsSemiMixedTypes="0" containsString="0" containsNumber="1" minValue="1" maxValue="1468.4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261050" maxValue="4891992"/>
    </cacheField>
    <cacheField name="D1 Exp %" numFmtId="198">
      <sharedItems containsSemiMixedTypes="0" containsString="0" containsNumber="1" minValue="-9.4361233203449043E-4" maxValue="2.0415930560642496E-3"/>
    </cacheField>
    <cacheField name="D1 P&amp;L bps" numFmtId="170">
      <sharedItems containsSemiMixedTypes="0" containsString="0" containsNumber="1" minValue="-4.9393945808484621E-2" maxValue="0.52308604275537007"/>
    </cacheField>
    <cacheField name="Options Exp USD (delta adj)" numFmtId="166">
      <sharedItems containsSemiMixedTypes="0" containsString="0" containsNumber="1" minValue="-562786.5117624402" maxValue="9353272.0890760422"/>
    </cacheField>
    <cacheField name="Option Exp %" numFmtId="10">
      <sharedItems containsSemiMixedTypes="0" containsString="0" containsNumber="1" minValue="-2.3486976970952096E-4" maxValue="3.9034355224900619E-3"/>
    </cacheField>
    <cacheField name="Options P&amp;L bps" numFmtId="170">
      <sharedItems containsSemiMixedTypes="0" containsString="0" containsNumber="1" minValue="-8.7640074181129665E-2" maxValue="0.67660223936265107"/>
    </cacheField>
    <cacheField name="Exp" numFmtId="166">
      <sharedItems containsSemiMixedTypes="0" containsString="0" containsNumber="1" minValue="-2261050" maxValue="12497487.089076042"/>
    </cacheField>
    <cacheField name="Exp %" numFmtId="173">
      <sharedItems containsSemiMixedTypes="0" containsString="0" containsNumber="1" minValue="-9.4361233203449043E-4" maxValue="5.2156223598301583E-3"/>
    </cacheField>
    <cacheField name="P&amp;L bps" numFmtId="170">
      <sharedItems containsSemiMixedTypes="0" containsString="0" containsNumber="1" minValue="-0.12875578898267664" maxValue="0.86888873545291601"/>
    </cacheField>
    <cacheField name="xx" numFmtId="166">
      <sharedItems containsSemiMixedTypes="0" containsString="0" containsNumber="1" minValue="2.3425661915376192" maxValue="70330.616554153225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8756.900429725643"/>
    </cacheField>
    <cacheField name="Beta Adj" numFmtId="170">
      <sharedItems containsSemiMixedTypes="0" containsString="0" containsNumber="1" minValue="-7.8225977418456383E-2" maxValue="1.3146004284147927"/>
    </cacheField>
    <cacheField name="Expo Beta Adj" numFmtId="10">
      <sharedItems containsMixedTypes="1" containsNumber="1" minValue="-9.4636905966095355E-4" maxValue="7.675851078261348E-3"/>
    </cacheField>
    <cacheField name="Vol 10d" numFmtId="43">
      <sharedItems containsSemiMixedTypes="0" containsString="0" containsNumber="1" minValue="13.26408733973131" maxValue="113.97760694280279"/>
    </cacheField>
    <cacheField name="Beta Adj2" numFmtId="43">
      <sharedItems containsMixedTypes="1" containsNumber="1" minValue="0.36644059419631958" maxValue="2.0538508892059326"/>
    </cacheField>
    <cacheField name="Daily P&amp;L" numFmtId="166">
      <sharedItems containsSemiMixedTypes="0" containsString="0" containsNumber="1" minValue="-11094.053443274806" maxValue="117486.95956099086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3717170000000002E-3" maxValue="1.8413040000000002E-2"/>
    </cacheField>
    <cacheField name="Column4" numFmtId="170">
      <sharedItems containsMixedTypes="1" containsNumber="1" minValue="-4.3561522970152873E-2" maxValue="0.37054260657788179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m/>
    <s v="USD"/>
    <s v="Long"/>
    <m/>
    <n v="3378"/>
    <n v="179.72"/>
    <n v="6.5512539277879922E-2"/>
    <n v="168.67"/>
    <n v="1"/>
    <n v="1"/>
    <n v="607094.16"/>
    <n v="2.5336084389205021E-4"/>
    <n v="0.15577772785483848"/>
    <n v="0"/>
    <n v="0"/>
    <n v="0"/>
    <n v="607094.16"/>
    <n v="2.5336084389205021E-4"/>
    <n v="0.15577772785483848"/>
    <n v="6666.3813320721129"/>
    <m/>
    <n v="1182.3"/>
    <n v="0.1052309777266314"/>
    <n v="2.1629194309574689E-4"/>
    <n v="66.454453567555873"/>
    <n v="0.85369127988815308"/>
    <n v="34988.223957532762"/>
    <m/>
    <s v="20/02/2026"/>
    <e v="#VALUE!"/>
    <e v="#VALUE!"/>
    <s v="12/06/2025"/>
  </r>
  <r>
    <x v="1"/>
    <x v="0"/>
    <m/>
    <s v="USD"/>
    <s v="Long"/>
    <m/>
    <n v="3510"/>
    <n v="162.36000000000001"/>
    <n v="4.9297510475732054E-4"/>
    <n v="162.28"/>
    <n v="1"/>
    <n v="1"/>
    <n v="569883.60000000009"/>
    <n v="2.3783162370766273E-4"/>
    <n v="1.1718729919078584E-3"/>
    <n v="0"/>
    <n v="0"/>
    <n v="0"/>
    <n v="569883.60000000009"/>
    <n v="2.3783162370766273E-4"/>
    <n v="1.1718729919078584E-3"/>
    <n v="7379.1700726779991"/>
    <m/>
    <n v="1228.5"/>
    <n v="8.7949664107523404E-2"/>
    <n v="2.4623167690744348E-4"/>
    <n v="59.167683581476382"/>
    <n v="1.0353193283081055"/>
    <n v="263.20678350671301"/>
    <m/>
    <s v="26/02/2026"/>
    <e v="#VALUE!"/>
    <e v="#VALUE!"/>
    <s v="#N/A Field Not Applicable"/>
  </r>
  <r>
    <x v="2"/>
    <x v="0"/>
    <m/>
    <s v="USD"/>
    <s v="Long"/>
    <m/>
    <m/>
    <n v="33.674999999999997"/>
    <n v="-1.6305959086866384E-3"/>
    <n v="33.729999999999997"/>
    <n v="1"/>
    <n v="1"/>
    <n v="0"/>
    <n v="0"/>
    <n v="0"/>
    <n v="1804681.7770600314"/>
    <n v="7.53154499118447E-4"/>
    <n v="-1.1953632869616935E-2"/>
    <n v="1804681.7770600314"/>
    <n v="7.53154499118447E-4"/>
    <n v="-1.1953632869616935E-2"/>
    <n v="35577.789250185604"/>
    <m/>
    <n v="18756.900429725643"/>
    <n v="7.033560648172836E-2"/>
    <n v="8.6225360881194899E-4"/>
    <n v="14.942082999236911"/>
    <n v="1.1448562145233154"/>
    <n v="0"/>
    <m/>
    <s v="#N/A N/A"/>
    <n v="-2.3717170000000002E-3"/>
    <n v="-1.7862693291857062E-2"/>
    <s v="19/12/2025"/>
  </r>
  <r>
    <x v="3"/>
    <x v="1"/>
    <m/>
    <s v="USD"/>
    <s v="Short"/>
    <m/>
    <m/>
    <n v="25572"/>
    <n v="3.9652938636096646E-3"/>
    <n v="25471"/>
    <n v="1"/>
    <n v="20"/>
    <n v="0"/>
    <n v="0"/>
    <n v="0"/>
    <n v="0"/>
    <n v="0"/>
    <n v="-6.4160880974318379E-2"/>
    <n v="0"/>
    <n v="0"/>
    <n v="-6.4160880974318379E-2"/>
    <n v="2.3425661915376192"/>
    <m/>
    <n v="0"/>
    <n v="0"/>
    <e v="#VALUE!"/>
    <n v="17.60223388671875"/>
    <s v="#N/A Field Not Applicable"/>
    <n v="0"/>
    <m/>
    <s v="#N/A Field Not Applicable"/>
    <e v="#VALUE!"/>
    <e v="#VALUE!"/>
    <s v="#N/A Field Not Applicable"/>
  </r>
  <r>
    <x v="4"/>
    <x v="2"/>
    <m/>
    <s v="USD"/>
    <m/>
    <m/>
    <n v="14800"/>
    <n v="103.04"/>
    <n v="1.7277125086385681E-2"/>
    <n v="101.29"/>
    <n v="1"/>
    <n v="1"/>
    <n v="1524992"/>
    <n v="6.3643053336013872E-4"/>
    <n v="0.10808942482339312"/>
    <n v="1186213.0895614624"/>
    <n v="4.9504668173234979E-4"/>
    <n v="0.35348163253055653"/>
    <n v="2711205.0895614624"/>
    <n v="1.1314772150924884E-3"/>
    <n v="0.46157105735394965"/>
    <n v="11627.349116847827"/>
    <m/>
    <n v="9209.2564183473569"/>
    <n v="0.23462070009396099"/>
    <n v="1.1205228600258885E-3"/>
    <n v="33.177258467343727"/>
    <n v="0.99031853675842285"/>
    <n v="24277.263863329066"/>
    <m/>
    <s v="#N/A N/A"/>
    <n v="-9.8747520000000004E-5"/>
    <n v="-1.1173056892688981E-3"/>
    <s v="22/12/2025"/>
  </r>
  <r>
    <x v="5"/>
    <x v="2"/>
    <m/>
    <s v="USD"/>
    <m/>
    <m/>
    <n v="6000"/>
    <n v="81.997399999999999"/>
    <n v="-2.349172323448856E-2"/>
    <n v="83.97"/>
    <n v="1"/>
    <n v="1"/>
    <n v="491984.39999999997"/>
    <n v="2.0532166339027865E-4"/>
    <n v="-4.9393945808484621E-2"/>
    <n v="0"/>
    <n v="0"/>
    <n v="0"/>
    <n v="491984.39999999997"/>
    <n v="2.0532166339027865E-4"/>
    <n v="-4.9393945808484621E-2"/>
    <n v="14611.220026488645"/>
    <m/>
    <n v="2099.9999999999995"/>
    <n v="3.6979226698371628E-2"/>
    <n v="2.1090484278658646E-4"/>
    <n v="28.816619610629925"/>
    <n v="1.0271923542022705"/>
    <n v="-11094.053443274806"/>
    <m/>
    <s v="#N/A N/A"/>
    <e v="#VALUE!"/>
    <e v="#VALUE!"/>
    <s v="30/12/2025"/>
  </r>
  <r>
    <x v="6"/>
    <x v="3"/>
    <m/>
    <s v="USD"/>
    <s v="Long"/>
    <m/>
    <n v="14800"/>
    <n v="330.54"/>
    <n v="6.5777452950850357E-3"/>
    <n v="328.38"/>
    <n v="1"/>
    <n v="1"/>
    <n v="4891992"/>
    <n v="2.0415930560642496E-3"/>
    <n v="0.13341323292487536"/>
    <n v="0"/>
    <n v="0"/>
    <n v="0"/>
    <n v="4891992"/>
    <n v="2.0415930560642496E-3"/>
    <n v="0.13341323292487536"/>
    <n v="3624.6204786107583"/>
    <m/>
    <n v="5179.9999999999991"/>
    <n v="0.28835971233307928"/>
    <n v="2.0802639351251398E-3"/>
    <n v="22.598800400622405"/>
    <n v="1.0189415216445923"/>
    <n v="29965.079968452228"/>
    <m/>
    <s v="04/02/2026"/>
    <n v="1.8149679999999998E-2"/>
    <n v="0.37054260657788179"/>
    <s v="08/12/2025"/>
  </r>
  <r>
    <x v="7"/>
    <x v="3"/>
    <m/>
    <s v="USD"/>
    <s v="Long"/>
    <m/>
    <n v="11435"/>
    <n v="232.54"/>
    <n v="5.3175392330637727E-3"/>
    <n v="231.31"/>
    <n v="1"/>
    <n v="1"/>
    <n v="2659094.9"/>
    <n v="1.1097298775745871E-3"/>
    <n v="5.8698191683870762E-2"/>
    <n v="0"/>
    <n v="0"/>
    <n v="0"/>
    <n v="2659094.9"/>
    <n v="1.1097298775745871E-3"/>
    <n v="5.8698191683870762E-2"/>
    <n v="5152.1546959662855"/>
    <m/>
    <n v="4002.25"/>
    <n v="0.19043920096625469"/>
    <n v="1.4195777895651145E-3"/>
    <n v="27.457377484686841"/>
    <n v="1.2792102098464966"/>
    <n v="13183.819695015969"/>
    <m/>
    <s v="06/02/2026"/>
    <n v="8.3870239999999999E-3"/>
    <n v="9.3073311167351236E-2"/>
    <s v="#N/A Field Not Applicable"/>
  </r>
  <r>
    <x v="8"/>
    <x v="3"/>
    <m/>
    <s v="USD"/>
    <s v="Long"/>
    <m/>
    <n v="6000"/>
    <n v="633.85"/>
    <n v="3.4080527277473127E-2"/>
    <n v="612.96"/>
    <n v="1"/>
    <n v="1"/>
    <n v="3803100"/>
    <n v="1.5871617434202565E-3"/>
    <n v="0.52308604275537007"/>
    <n v="1476850.5413681269"/>
    <n v="6.1633948095211422E-4"/>
    <n v="0.19906816849713715"/>
    <n v="5279950.5413681269"/>
    <n v="2.2035012243723706E-3"/>
    <n v="0.72215421125250723"/>
    <n v="1890.1665267807841"/>
    <m/>
    <n v="2915.4889792203899"/>
    <n v="0.34799879546268808"/>
    <n v="2.6762981765916806E-3"/>
    <n v="25.268788897491778"/>
    <n v="1.2145662307739258"/>
    <n v="117486.95956099086"/>
    <m/>
    <s v="28/01/2026"/>
    <e v="#VALUE!"/>
    <e v="#VALUE!"/>
    <s v="15/12/2025"/>
  </r>
  <r>
    <x v="9"/>
    <x v="3"/>
    <m/>
    <s v="USD"/>
    <s v="Long"/>
    <m/>
    <n v="3500"/>
    <n v="445.06"/>
    <n v="2.139109680034279E-3"/>
    <n v="444.11"/>
    <n v="1"/>
    <n v="1"/>
    <n v="1557710"/>
    <n v="6.5008485691755871E-4"/>
    <n v="1.387634507867868E-2"/>
    <n v="1395113.0288779738"/>
    <n v="5.8222766353298078E-4"/>
    <n v="1.7632348257870092E-2"/>
    <n v="2952823.0288779736"/>
    <n v="1.2323125204505394E-3"/>
    <n v="3.1508693336548772E-2"/>
    <n v="2691.9562598301354"/>
    <m/>
    <n v="2322.1319824457164"/>
    <n v="0.13053325575677485"/>
    <n v="1.2601568278435224E-3"/>
    <n v="16.948071673773306"/>
    <n v="1.0225951671600342"/>
    <n v="3116.6757662381533"/>
    <m/>
    <s v="28/01/2026"/>
    <e v="#VALUE!"/>
    <e v="#VALUE!"/>
    <s v="19/02/2026"/>
  </r>
  <r>
    <x v="10"/>
    <x v="4"/>
    <m/>
    <s v="KRW"/>
    <s v="Long"/>
    <m/>
    <n v="2400"/>
    <n v="755000"/>
    <n v="2.0270270270270174E-2"/>
    <n v="740000"/>
    <n v="1468.45"/>
    <n v="1"/>
    <n v="1233954.1693622526"/>
    <n v="5.1497064256677107E-4"/>
    <n v="0.10231204819207373"/>
    <n v="0"/>
    <n v="0"/>
    <n v="0"/>
    <n v="1233954.1693622526"/>
    <n v="5.1497064256677107E-4"/>
    <n v="0.10231204819207373"/>
    <n v="2330.2299214938412"/>
    <m/>
    <n v="0.57203173414144148"/>
    <n v="7.6768025485365307E-2"/>
    <n v="8.1845108176165028E-4"/>
    <n v="23.85162"/>
    <n v="1.589316"/>
    <n v="22979.64481183036"/>
    <m/>
    <s v="29/01/2026"/>
    <e v="#VALUE!"/>
    <e v="#VALUE!"/>
    <s v="27/11/2025"/>
  </r>
  <r>
    <x v="11"/>
    <x v="4"/>
    <m/>
    <s v="USD"/>
    <s v="Long"/>
    <m/>
    <m/>
    <n v="488.55"/>
    <n v="-2.5414430768616936E-2"/>
    <n v="501.29"/>
    <n v="1"/>
    <n v="1"/>
    <n v="0"/>
    <n v="0"/>
    <n v="0"/>
    <n v="297657.54396244884"/>
    <n v="1.242225201592469E-4"/>
    <n v="-4.9662708702640126E-2"/>
    <n v="297657.54396244884"/>
    <n v="1.242225201592469E-4"/>
    <n v="-4.9662708702640126E-2"/>
    <n v="2452.3222863575888"/>
    <m/>
    <n v="213.24355825781819"/>
    <n v="7.2147400738935594E-2"/>
    <e v="#VALUE!"/>
    <n v="92.926661795553755"/>
    <s v="#N/A N/A"/>
    <n v="0"/>
    <m/>
    <s v="29/01/2026"/>
    <n v="9.2760559999999995E-3"/>
    <n v="1.1522950534583031E-2"/>
    <s v="#N/A N/A"/>
  </r>
  <r>
    <x v="12"/>
    <x v="4"/>
    <m/>
    <s v="USD"/>
    <s v="Long"/>
    <m/>
    <n v="42000"/>
    <n v="115.4"/>
    <n v="-2.2479681826040876E-3"/>
    <n v="115.66"/>
    <n v="1"/>
    <n v="1"/>
    <n v="4846800"/>
    <n v="2.0227329121004704E-3"/>
    <n v="-4.557283857418578E-2"/>
    <n v="0"/>
    <n v="0"/>
    <n v="0"/>
    <n v="4846800"/>
    <n v="2.0227329121004704E-3"/>
    <n v="-4.557283857418578E-2"/>
    <n v="10381.993526863085"/>
    <m/>
    <n v="14700"/>
    <n v="0.35715512078069034"/>
    <n v="1.8806303096236608E-3"/>
    <n v="28.251292586903848"/>
    <n v="0.92974722385406494"/>
    <n v="-10235.819358592438"/>
    <m/>
    <s v="#N/A N/A"/>
    <n v="-6.0528549999999996E-4"/>
    <n v="-1.2243309020671892E-2"/>
    <s v="16/12/2025"/>
  </r>
  <r>
    <x v="13"/>
    <x v="5"/>
    <m/>
    <s v="USD"/>
    <s v="Long"/>
    <m/>
    <n v="1200"/>
    <n v="354.23"/>
    <n v="-2.2652025162785527E-2"/>
    <n v="362.44"/>
    <n v="1"/>
    <n v="1"/>
    <n v="425076"/>
    <n v="1.77398534155323E-4"/>
    <n v="-4.1115714801546965E-2"/>
    <n v="898532.25704669964"/>
    <n v="3.7498777934147874E-4"/>
    <n v="-8.7640074181129665E-2"/>
    <n v="1323608.2570466995"/>
    <n v="5.5238631349680163E-4"/>
    <n v="-0.12875578898267664"/>
    <n v="3382.2150947124751"/>
    <m/>
    <n v="1307.8025293350217"/>
    <n v="0.3934979382520144"/>
    <n v="1.1160787364794854E-3"/>
    <n v="113.97760694280279"/>
    <n v="2.0204677581787109"/>
    <n v="-9234.733729016114"/>
    <m/>
    <s v="03/02/2026"/>
    <e v="#VALUE!"/>
    <e v="#VALUE!"/>
    <s v="#N/A N/A"/>
  </r>
  <r>
    <x v="14"/>
    <x v="6"/>
    <m/>
    <s v="USD"/>
    <s v="Long"/>
    <m/>
    <n v="7000"/>
    <n v="329.57499999999999"/>
    <n v="2.3570559610703867E-3"/>
    <n v="328.8"/>
    <n v="1"/>
    <n v="1"/>
    <n v="2307025"/>
    <n v="9.6279924827485919E-4"/>
    <n v="2.2640352496791138E-2"/>
    <n v="576196.18401303887"/>
    <n v="2.4046607766565003E-4"/>
    <n v="-2.3475019869945565E-3"/>
    <n v="2883221.1840130389"/>
    <n v="1.2032653259405092E-3"/>
    <n v="2.0292850509796581E-2"/>
    <n v="3635.2334157627251"/>
    <m/>
    <n v="3061.9052246212959"/>
    <n v="0.39407376964267277"/>
    <n v="2.4292019815970096E-3"/>
    <n v="52.400581803140057"/>
    <n v="2.0188415050506592"/>
    <n v="5085.102565967426"/>
    <m/>
    <s v="06/03/2026"/>
    <n v="1.5784679999999999E-2"/>
    <n v="0.18993158125066636"/>
    <s v="22/12/2025"/>
  </r>
  <r>
    <x v="15"/>
    <x v="6"/>
    <m/>
    <s v="USD"/>
    <s v="Long"/>
    <m/>
    <n v="9500"/>
    <n v="330.97"/>
    <n v="1.4871826321599446E-2"/>
    <n v="326.12"/>
    <n v="1"/>
    <n v="1"/>
    <n v="3144215.0000000005"/>
    <n v="1.3121868373400969E-3"/>
    <n v="0.19228649609026494"/>
    <n v="9353272.0890760422"/>
    <n v="3.9034355224900619E-3"/>
    <n v="0.67660223936265107"/>
    <n v="12497487.089076042"/>
    <n v="5.2156223598301583E-3"/>
    <n v="0.86888873545291601"/>
    <n v="3619.9113303320541"/>
    <m/>
    <n v="13216.063332557675"/>
    <n v="1.3146004284147927"/>
    <n v="7.675851078261348E-3"/>
    <n v="40.328086282921802"/>
    <n v="1.4717037677764893"/>
    <n v="43188.221332157991"/>
    <m/>
    <s v="17/04/2026"/>
    <e v="#VALUE!"/>
    <e v="#VALUE!"/>
    <s v="17/03/2026"/>
  </r>
  <r>
    <x v="16"/>
    <x v="6"/>
    <m/>
    <s v="USD"/>
    <s v="Long"/>
    <m/>
    <n v="23008"/>
    <n v="184.57"/>
    <n v="6.8186777220160533E-3"/>
    <n v="183.32"/>
    <n v="1"/>
    <n v="1"/>
    <n v="4246586.5599999996"/>
    <n v="1.7722436244523227E-3"/>
    <n v="0.12002516825948982"/>
    <n v="0"/>
    <n v="0"/>
    <n v="0"/>
    <n v="4246586.5599999996"/>
    <n v="1.7722436244523227E-3"/>
    <n v="0.12002516825948982"/>
    <n v="6491.2068754402126"/>
    <m/>
    <n v="8052.7999999999984"/>
    <n v="0.3951530777861777"/>
    <n v="3.2938263322582003E-3"/>
    <n v="35.674831368247538"/>
    <n v="1.8585629463195801"/>
    <n v="26958.073695341467"/>
    <m/>
    <s v="25/02/2026"/>
    <n v="7.1459609999999993E-3"/>
    <n v="0.12664383822834943"/>
    <s v="04/12/2025"/>
  </r>
  <r>
    <x v="17"/>
    <x v="6"/>
    <m/>
    <s v="USD"/>
    <s v="Short"/>
    <m/>
    <n v="-49"/>
    <n v="83.62"/>
    <n v="1.2961841308298139E-2"/>
    <n v="82.55"/>
    <n v="1"/>
    <n v="1"/>
    <n v="-4097.38"/>
    <n v="-1.7099747007060793E-6"/>
    <n v="-2.1880805187222163E-4"/>
    <n v="-562786.5117624402"/>
    <n v="-2.3486976970952096E-4"/>
    <n v="-1.9301683004177242E-2"/>
    <n v="-566883.89176244021"/>
    <n v="-2.3657974441022706E-4"/>
    <n v="-1.9520491056049465E-2"/>
    <n v="14327.697357091605"/>
    <m/>
    <n v="-2372.7500851094724"/>
    <n v="-3.7531172121833767E-2"/>
    <n v="-4.680440623753734E-4"/>
    <n v="25.382509201974667"/>
    <n v="1.9783775806427002"/>
    <n v="-49.145055766577286"/>
    <m/>
    <s v="05/03/2026"/>
    <n v="1.8413040000000002E-2"/>
    <n v="-4.3561522970152873E-2"/>
    <s v="09/01/2026"/>
  </r>
  <r>
    <x v="18"/>
    <x v="7"/>
    <m/>
    <s v="USD"/>
    <s v="Long"/>
    <m/>
    <n v="24092"/>
    <n v="17.035"/>
    <n v="-1.2463768115942075E-2"/>
    <n v="17.25"/>
    <n v="1"/>
    <n v="1"/>
    <n v="410407.22000000003"/>
    <n v="1.7127675812033888E-4"/>
    <n v="-2.1616966830568143E-2"/>
    <n v="0"/>
    <n v="0"/>
    <n v="0"/>
    <n v="410407.22000000003"/>
    <n v="1.7127675812033888E-4"/>
    <n v="-2.1616966830568143E-2"/>
    <n v="70330.616554153225"/>
    <m/>
    <n v="8432.2000000000007"/>
    <n v="0.11471481525255467"/>
    <n v="3.5177692196576744E-4"/>
    <n v="107.16206122673681"/>
    <n v="2.0538508892059326"/>
    <n v="-4855.2465565248858"/>
    <m/>
    <s v="24/02/2026"/>
    <n v="1.5652200000000002E-2"/>
    <n v="2.6808580734511683E-2"/>
    <s v="12/10/2017"/>
  </r>
  <r>
    <x v="19"/>
    <x v="8"/>
    <m/>
    <s v="USD"/>
    <s v="Long"/>
    <m/>
    <n v="45750"/>
    <n v="53.725000000000001"/>
    <n v="4.9569771791995176E-3"/>
    <n v="53.46"/>
    <n v="1"/>
    <n v="1"/>
    <n v="2457918.75"/>
    <n v="1.0257722932437584E-3"/>
    <n v="5.0596492826355803E-2"/>
    <n v="0"/>
    <n v="0"/>
    <n v="0"/>
    <n v="2457918.75"/>
    <n v="1.0257722932437584E-3"/>
    <n v="5.0596492826355803E-2"/>
    <n v="22300.270879478827"/>
    <m/>
    <n v="16012.5"/>
    <n v="0.10817843279770023"/>
    <n v="1.0256687207401466E-3"/>
    <n v="16.873675923628145"/>
    <n v="0.99989902973175049"/>
    <n v="11364.149720580557"/>
    <m/>
    <s v="#N/A N/A"/>
    <n v="1.8706E-3"/>
    <n v="1.9188096517417746E-2"/>
    <s v="22/12/2025"/>
  </r>
  <r>
    <x v="20"/>
    <x v="8"/>
    <m/>
    <s v="USD"/>
    <s v="Short"/>
    <m/>
    <n v="-10000"/>
    <n v="22.535"/>
    <n v="6.0267857142857206E-3"/>
    <n v="22.4"/>
    <n v="1"/>
    <n v="1"/>
    <n v="-225350"/>
    <n v="-9.4046146270083557E-5"/>
    <n v="-5.6340047687869661E-3"/>
    <n v="0"/>
    <n v="0"/>
    <n v="0"/>
    <n v="-225350"/>
    <n v="-9.4046146270083557E-5"/>
    <n v="-5.6340047687869661E-3"/>
    <n v="53165.389527401821"/>
    <m/>
    <n v="-3500"/>
    <n v="-2.5707907038972001E-2"/>
    <n v="-3.4462325721083402E-5"/>
    <n v="43.736668533157811"/>
    <n v="0.36644059419631958"/>
    <n v="-1265.4172283974758"/>
    <m/>
    <s v="11/02/2026"/>
    <e v="#VALUE!"/>
    <e v="#VALUE!"/>
    <s v="28/11/2025"/>
  </r>
  <r>
    <x v="21"/>
    <x v="8"/>
    <m/>
    <s v="USD"/>
    <s v="Short"/>
    <m/>
    <n v="-27500"/>
    <n v="82.22"/>
    <n v="-2.6686074721009589E-3"/>
    <n v="82.44"/>
    <n v="1"/>
    <n v="1"/>
    <n v="-2261050"/>
    <n v="-9.4361233203449043E-4"/>
    <n v="2.5248688037896722E-2"/>
    <n v="0"/>
    <n v="0"/>
    <n v="0"/>
    <n v="-2261050"/>
    <n v="-9.4361233203449043E-4"/>
    <n v="2.5248688037896722E-2"/>
    <n v="14571.662040865971"/>
    <m/>
    <n v="-9625"/>
    <n v="-7.8225977418456383E-2"/>
    <n v="-9.4636905966095355E-4"/>
    <n v="13.26408733973131"/>
    <n v="1.002921462059021"/>
    <n v="5670.9438754108151"/>
    <m/>
    <s v="#N/A N/A"/>
    <n v="3.6388620000000002E-4"/>
    <n v="-3.4336750577716904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4" firstHeaderRow="0" firstDataRow="1" firstDataCol="1"/>
  <pivotFields count="34">
    <pivotField axis="axisRow" showAll="0">
      <items count="183">
        <item m="1" x="179"/>
        <item m="1" x="175"/>
        <item m="1" x="155"/>
        <item m="1" x="81"/>
        <item m="1" x="136"/>
        <item x="2"/>
        <item m="1" x="99"/>
        <item m="1" x="60"/>
        <item m="1" x="101"/>
        <item m="1" x="80"/>
        <item m="1" x="112"/>
        <item x="4"/>
        <item m="1" x="180"/>
        <item m="1" x="173"/>
        <item m="1" x="178"/>
        <item m="1" x="85"/>
        <item m="1" x="151"/>
        <item m="1" x="47"/>
        <item m="1" x="34"/>
        <item x="8"/>
        <item m="1" x="48"/>
        <item x="9"/>
        <item m="1" x="93"/>
        <item m="1" x="120"/>
        <item x="16"/>
        <item m="1" x="181"/>
        <item m="1" x="28"/>
        <item m="1" x="35"/>
        <item m="1" x="73"/>
        <item x="15"/>
        <item m="1" x="45"/>
        <item m="1" x="44"/>
        <item m="1" x="33"/>
        <item x="19"/>
        <item x="21"/>
        <item m="1" x="177"/>
        <item m="1" x="176"/>
        <item m="1" x="43"/>
        <item m="1" x="61"/>
        <item m="1" x="167"/>
        <item m="1" x="37"/>
        <item m="1" x="27"/>
        <item m="1" x="53"/>
        <item m="1" x="54"/>
        <item m="1" x="55"/>
        <item m="1" x="65"/>
        <item m="1" x="59"/>
        <item m="1" x="74"/>
        <item m="1" x="174"/>
        <item m="1" x="89"/>
        <item m="1" x="133"/>
        <item m="1" x="117"/>
        <item m="1" x="56"/>
        <item m="1" x="165"/>
        <item m="1" x="115"/>
        <item m="1" x="171"/>
        <item m="1" x="110"/>
        <item m="1" x="172"/>
        <item m="1" x="161"/>
        <item m="1" x="170"/>
        <item m="1" x="166"/>
        <item x="7"/>
        <item m="1" x="168"/>
        <item m="1" x="169"/>
        <item m="1" x="153"/>
        <item m="1" x="164"/>
        <item m="1" x="96"/>
        <item m="1" x="141"/>
        <item x="14"/>
        <item m="1" x="139"/>
        <item m="1" x="148"/>
        <item m="1" x="70"/>
        <item m="1" x="87"/>
        <item m="1" x="154"/>
        <item m="1" x="51"/>
        <item m="1" x="147"/>
        <item m="1" x="163"/>
        <item m="1" x="162"/>
        <item m="1" x="107"/>
        <item m="1" x="108"/>
        <item x="12"/>
        <item m="1" x="62"/>
        <item m="1" x="160"/>
        <item m="1" x="22"/>
        <item m="1" x="158"/>
        <item m="1" x="157"/>
        <item m="1" x="123"/>
        <item m="1" x="95"/>
        <item m="1" x="156"/>
        <item m="1" x="159"/>
        <item x="17"/>
        <item m="1" x="149"/>
        <item m="1" x="106"/>
        <item m="1" x="49"/>
        <item m="1" x="90"/>
        <item m="1" x="152"/>
        <item m="1" x="63"/>
        <item m="1" x="116"/>
        <item m="1" x="150"/>
        <item m="1" x="57"/>
        <item m="1" x="134"/>
        <item m="1" x="135"/>
        <item m="1" x="121"/>
        <item m="1" x="64"/>
        <item m="1" x="146"/>
        <item m="1" x="102"/>
        <item m="1" x="145"/>
        <item m="1" x="143"/>
        <item m="1" x="144"/>
        <item m="1" x="142"/>
        <item m="1" x="138"/>
        <item m="1" x="77"/>
        <item m="1" x="24"/>
        <item m="1" x="140"/>
        <item m="1" x="137"/>
        <item m="1" x="119"/>
        <item m="1" x="29"/>
        <item m="1" x="126"/>
        <item m="1" x="127"/>
        <item m="1" x="67"/>
        <item m="1" x="130"/>
        <item m="1" x="122"/>
        <item m="1" x="111"/>
        <item m="1" x="124"/>
        <item m="1" x="132"/>
        <item m="1" x="129"/>
        <item m="1" x="131"/>
        <item m="1" x="97"/>
        <item m="1" x="72"/>
        <item m="1" x="128"/>
        <item m="1" x="86"/>
        <item m="1" x="125"/>
        <item m="1" x="103"/>
        <item m="1" x="104"/>
        <item m="1" x="91"/>
        <item m="1" x="68"/>
        <item m="1" x="113"/>
        <item m="1" x="52"/>
        <item m="1" x="98"/>
        <item m="1" x="88"/>
        <item m="1" x="92"/>
        <item m="1" x="94"/>
        <item m="1" x="69"/>
        <item m="1" x="114"/>
        <item m="1" x="118"/>
        <item m="1" x="109"/>
        <item m="1" x="100"/>
        <item m="1" x="26"/>
        <item m="1" x="105"/>
        <item m="1" x="78"/>
        <item m="1" x="84"/>
        <item m="1" x="66"/>
        <item x="5"/>
        <item m="1" x="76"/>
        <item m="1" x="83"/>
        <item m="1" x="82"/>
        <item m="1" x="79"/>
        <item m="1" x="75"/>
        <item m="1" x="71"/>
        <item m="1" x="58"/>
        <item m="1" x="50"/>
        <item m="1" x="46"/>
        <item m="1" x="38"/>
        <item x="13"/>
        <item m="1" x="36"/>
        <item m="1" x="39"/>
        <item m="1" x="30"/>
        <item m="1" x="42"/>
        <item m="1" x="40"/>
        <item x="18"/>
        <item m="1" x="41"/>
        <item m="1" x="25"/>
        <item x="1"/>
        <item x="0"/>
        <item x="6"/>
        <item m="1" x="32"/>
        <item x="3"/>
        <item m="1" x="23"/>
        <item m="1" x="31"/>
        <item x="10"/>
        <item x="20"/>
        <item x="11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2">
    <i>
      <x/>
    </i>
    <i r="1">
      <x v="5"/>
    </i>
    <i r="1">
      <x v="172"/>
    </i>
    <i r="1">
      <x v="173"/>
    </i>
    <i>
      <x v="2"/>
    </i>
    <i r="1">
      <x v="176"/>
    </i>
    <i>
      <x v="5"/>
    </i>
    <i r="1">
      <x v="11"/>
    </i>
    <i r="1">
      <x v="152"/>
    </i>
    <i>
      <x v="13"/>
    </i>
    <i r="1">
      <x v="24"/>
    </i>
    <i r="1">
      <x v="29"/>
    </i>
    <i r="1">
      <x v="68"/>
    </i>
    <i r="1">
      <x v="90"/>
    </i>
    <i>
      <x v="14"/>
    </i>
    <i r="1">
      <x v="80"/>
    </i>
    <i r="1">
      <x v="179"/>
    </i>
    <i r="1">
      <x v="181"/>
    </i>
    <i>
      <x v="21"/>
    </i>
    <i r="1">
      <x v="163"/>
    </i>
    <i>
      <x v="23"/>
    </i>
    <i r="1">
      <x v="169"/>
    </i>
    <i>
      <x v="2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532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6" totalsRowShown="0" headerRowDxfId="1726" dataDxfId="1724" headerRowBorderDxfId="1725" tableBorderDxfId="1723">
  <autoFilter ref="B11:AI36" xr:uid="{488A667B-27C2-4003-A53C-C52DE885F6F5}"/>
  <sortState xmlns:xlrd2="http://schemas.microsoft.com/office/spreadsheetml/2017/richdata2" ref="B12:AI36">
    <sortCondition ref="C11:C36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>
      <calculatedColumnFormula array="1">_xll.BDP(B12&amp;" EQUITY","PX_YEST_CLOSE")</calculatedColumnFormula>
    </tableColumn>
    <tableColumn id="9" xr3:uid="{A2F51CF4-C965-4A1F-975F-FCDA401F7124}" name="FX" dataDxfId="1708">
      <calculatedColumnFormula array="1">_xll.BDP(E12&amp;" Curncy","PX_LAST")</calculatedColumnFormula>
    </tableColumn>
    <tableColumn id="10" xr3:uid="{0525E66F-8EF5-4CCF-835F-559F3DAE7E58}" name="Mult" dataDxfId="1707" totalsRowDxfId="1706" dataCellStyle="Comma"/>
    <tableColumn id="11" xr3:uid="{8FC681CE-75F1-4027-AD99-551C42A97619}" name="D1 Exp USD" dataDxfId="1705">
      <calculatedColumnFormula>IFERROR(IF(((I12/L12)*H12*M12)&lt;&gt;0,((I12/L12)*H12*M12),0),"-")</calculatedColumnFormula>
    </tableColumn>
    <tableColumn id="12" xr3:uid="{BE55CED1-1EEB-46EA-A2E5-D244B7925B83}" name="D1 Exp %" dataDxfId="1704">
      <calculatedColumnFormula>IFERROR(IF(Tabelad[[#This Row],[D1 Exp USD]]&lt;&gt;0,N12/$AE$7,0),"-")</calculatedColumnFormula>
    </tableColumn>
    <tableColumn id="13" xr3:uid="{622A85AF-E726-48C1-A6C0-2A26A6E13A5C}" name="D1 P&amp;L bps" dataDxfId="1703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2" totalsRowDxfId="1701">
      <calculatedColumnFormula>IF(SUM(SUMIFS(Options!$AL$4:$AL$27, Options!$D$4:$D$27, B12), SUMIFS(Options!$AL$4:$AL$27, Options!$D$4:$D$27, B12 &amp; " US"))=0,0,SUM(SUMIFS(Options!$AL$4:$AL$27, Options!$D$4:$D$27, B12), SUMIFS(Options!$AL$4:$AL$27, Options!$D$4:$D$27, B12 &amp; " US")))</calculatedColumnFormula>
    </tableColumn>
    <tableColumn id="15" xr3:uid="{F6743957-5F8D-4443-94E6-3E6136CB024F}" name="Option Exp %" dataDxfId="1700" totalsRowDxfId="1699" dataCellStyle="Percent">
      <calculatedColumnFormula>Q12/$AE$7</calculatedColumnFormula>
    </tableColumn>
    <tableColumn id="16" xr3:uid="{48C8F341-ED13-4859-B6ED-AB346A494BEF}" name="Options P&amp;L bps" dataDxfId="1698" totalsRowDxfId="1697">
      <calculatedColumnFormula>IF(SUM(SUMIFS(Options!$AK$4:$AK$27, Options!$D$4:$D$27, B12), SUMIFS(Options!$AK$4:$AK$27, Options!$D$4:$D$27, B12 &amp; " US"))=0,0,SUM(SUMIFS(Options!$AK$4:$AK$27, Options!$D$4:$D$27, B12), SUMIFS(Options!AK$4:$AK$27, Options!$D$4:$D$27, B12 &amp; " US")))</calculatedColumnFormula>
    </tableColumn>
    <tableColumn id="17" xr3:uid="{4E94A772-CD12-4BE4-A04C-0E1B9CF86096}" name="Exp" dataDxfId="1696" totalsRowDxfId="1695">
      <calculatedColumnFormula>N12+Q12</calculatedColumnFormula>
    </tableColumn>
    <tableColumn id="18" xr3:uid="{56683745-C1CE-4341-A873-C851B97E4432}" name="Exp %" dataDxfId="1694" totalsRowDxfId="1693">
      <calculatedColumnFormula>T12/$AE$7</calculatedColumnFormula>
    </tableColumn>
    <tableColumn id="19" xr3:uid="{AD790890-4299-4C9E-A460-9342E2B4BE92}" name="P&amp;L bps" dataDxfId="1692" totalsRowDxfId="1691">
      <calculatedColumnFormula>P12+S12</calculatedColumnFormula>
    </tableColumn>
    <tableColumn id="20" xr3:uid="{A3132FF2-B491-42D2-B6D5-98FB024D0411}" name="xx" dataDxfId="1690" totalsRowDxfId="1689">
      <calculatedColumnFormula>$W$10/(I12/L12*M12)</calculatedColumnFormula>
    </tableColumn>
    <tableColumn id="21" xr3:uid="{68119C5E-24ED-4841-8DFC-985A70CC957B}" name="Ticker2" dataDxfId="1688" totalsRowDxfId="1687"/>
    <tableColumn id="22" xr3:uid="{EAB0ADAA-AF64-4574-AD5E-BAD2211681D1}" name="xx2" dataDxfId="1686" totalsRowDxfId="1685">
      <calculatedColumnFormula>Tabelad[[#This Row],[Exp %]]*$Y$10*$AD$7/Tabelad[[#This Row],[Price Today]]</calculatedColumnFormula>
    </tableColumn>
    <tableColumn id="23" xr3:uid="{160D9866-3FEF-4C23-ADDC-0615A4FD8D8A}" name="Beta Adj" dataDxfId="1684">
      <calculatedColumnFormula>Tabelad[[#This Row],[Vol 10d]]/16*Tabelad[[#This Row],[Exp %]]*100</calculatedColumnFormula>
    </tableColumn>
    <tableColumn id="27" xr3:uid="{5FC9F15D-E683-4C75-83A6-A027ED24C573}" name="Expo Beta Adj" dataDxfId="1683" totalsRowDxfId="1682">
      <calculatedColumnFormula>Tabelad[[#This Row],[Exp %]]*Tabelad[[#This Row],[Beta Adj2]]</calculatedColumnFormula>
    </tableColumn>
    <tableColumn id="24" xr3:uid="{02F0D998-EE72-4509-80A1-181D260811AE}" name="Vol 10d" dataDxfId="1681">
      <calculatedColumnFormula>_xll.BDP($B12&amp;" Equity","volatility_10d")</calculatedColumnFormula>
    </tableColumn>
    <tableColumn id="25" xr3:uid="{06753197-209B-42CE-8324-F5BF4E6BBC8C}" name="Beta Adj2" dataDxfId="1680" totalsRowDxfId="1679">
      <calculatedColumnFormula>_xll.BDP(B12&amp;" EQUITY","eqy_beta")</calculatedColumnFormula>
    </tableColumn>
    <tableColumn id="26" xr3:uid="{E0099784-2515-472D-A708-E950C7C1F961}" name="Daily P&amp;L" dataDxfId="1678" totalsRowDxfId="1677">
      <calculatedColumnFormula>Tabelad[[#This Row],[D1 P&amp;L bps]]*$AD$5/10000</calculatedColumnFormula>
    </tableColumn>
    <tableColumn id="28" xr3:uid="{E8C15306-AE60-46ED-BE32-1873B2B613BE}" name="VALUE" dataDxfId="1676" totalsRowDxfId="1675"/>
    <tableColumn id="30" xr3:uid="{3553EED7-0690-4464-BFF1-737C1D716FE2}" name="Report Date2" dataDxfId="1674" totalsRowDxfId="1673">
      <calculatedColumnFormula>_xll.BDP(B12&amp;" Equity","EXPECTED_REPORT_DT")</calculatedColumnFormula>
    </tableColumn>
    <tableColumn id="31" xr3:uid="{5102101F-2C4E-4C70-B272-6AB453BA1BFE}" name="Column3" dataDxfId="1672" totalsRowDxfId="1671">
      <calculatedColumnFormula>_xll.BDP(B12&amp;" Index","CHG_PCT_1D_PRE_FROM_REGULAR")/100</calculatedColumnFormula>
    </tableColumn>
    <tableColumn id="32" xr3:uid="{78144925-541C-4BB9-B1CE-5128912D0AEA}" name="Column4" dataDxfId="1670">
      <calculatedColumnFormula>(T12*AG12)/$AD$7*10000</calculatedColumnFormula>
    </tableColumn>
    <tableColumn id="34" xr3:uid="{F48AA587-E15F-424C-9278-DC54512DF635}" name="Column5" dataDxfId="1669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8" dataDxfId="1667" totalsRowBorderDxfId="1666">
  <autoFilter ref="F3:G136" xr:uid="{50594F44-C7EB-4454-89DA-F08A9C91DB54}"/>
  <tableColumns count="2">
    <tableColumn id="1" xr3:uid="{C2C1762E-B58F-491C-8249-F5F204F351C6}" name="De (Lote)" totalsRowFunction="count" dataDxfId="1665"/>
    <tableColumn id="2" xr3:uid="{2A11C67E-26BC-4BE0-826C-B31A77595F54}" name="Para (Ticker Daniel)" totalsRowFunction="count" dataDxfId="16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2022</v>
      </c>
    </row>
    <row r="3" spans="2:12">
      <c r="B3" t="s">
        <v>2021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2010</v>
      </c>
      <c r="D5" t="s">
        <v>2009</v>
      </c>
    </row>
    <row r="6" spans="2:12">
      <c r="B6" t="s">
        <v>2003</v>
      </c>
      <c r="C6" s="397">
        <v>0.41</v>
      </c>
      <c r="D6" s="394">
        <f>C6^2</f>
        <v>0.16809999999999997</v>
      </c>
    </row>
    <row r="7" spans="2:12">
      <c r="B7" t="s">
        <v>2001</v>
      </c>
      <c r="C7" s="397">
        <v>0.25</v>
      </c>
      <c r="D7" s="394">
        <f>C7^2</f>
        <v>6.25E-2</v>
      </c>
    </row>
    <row r="8" spans="2:12">
      <c r="B8" t="s">
        <v>1999</v>
      </c>
      <c r="C8" s="392">
        <f>SQRT(D6+D7+2*C10)</f>
        <v>0.35791060336346558</v>
      </c>
    </row>
    <row r="9" spans="2:12">
      <c r="B9" t="s">
        <v>1997</v>
      </c>
      <c r="C9" s="396">
        <v>-0.5</v>
      </c>
    </row>
    <row r="10" spans="2:12">
      <c r="B10" t="s">
        <v>1995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2010</v>
      </c>
      <c r="D15" t="s">
        <v>2009</v>
      </c>
      <c r="J15" s="401">
        <f>J14/5.19</f>
        <v>53179190.751445085</v>
      </c>
    </row>
    <row r="16" spans="2:12">
      <c r="B16" t="s">
        <v>2020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2019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1999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1997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1995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2018</v>
      </c>
      <c r="U23">
        <f>0.89-0.24</f>
        <v>0.65</v>
      </c>
    </row>
    <row r="24" spans="1:21">
      <c r="C24" t="s">
        <v>2010</v>
      </c>
      <c r="D24" t="s">
        <v>2009</v>
      </c>
      <c r="U24">
        <f>U23/2</f>
        <v>0.32500000000000001</v>
      </c>
    </row>
    <row r="25" spans="1:21">
      <c r="A25" s="399">
        <v>0.82</v>
      </c>
      <c r="B25" t="s">
        <v>2017</v>
      </c>
      <c r="C25" s="397">
        <v>0.3</v>
      </c>
      <c r="D25" s="394">
        <f>C25^2</f>
        <v>0.09</v>
      </c>
      <c r="I25" t="s">
        <v>2016</v>
      </c>
      <c r="J25">
        <v>21</v>
      </c>
    </row>
    <row r="26" spans="1:21">
      <c r="A26">
        <f>1-A25</f>
        <v>0.18000000000000005</v>
      </c>
      <c r="B26" t="s">
        <v>2015</v>
      </c>
      <c r="C26" s="397">
        <v>0.4</v>
      </c>
      <c r="D26" s="394">
        <f>C26^2</f>
        <v>0.16000000000000003</v>
      </c>
      <c r="I26" t="s">
        <v>2014</v>
      </c>
      <c r="J26">
        <v>1</v>
      </c>
      <c r="R26" s="398"/>
    </row>
    <row r="27" spans="1:21">
      <c r="B27" t="s">
        <v>2013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2012</v>
      </c>
      <c r="C28" s="396">
        <v>0.3</v>
      </c>
    </row>
    <row r="29" spans="1:21">
      <c r="B29" t="s">
        <v>2011</v>
      </c>
      <c r="C29">
        <f>C28*C25*C26</f>
        <v>3.5999999999999997E-2</v>
      </c>
    </row>
    <row r="31" spans="1:21">
      <c r="C31" t="s">
        <v>2010</v>
      </c>
      <c r="D31" t="s">
        <v>2009</v>
      </c>
      <c r="F31" t="s">
        <v>2008</v>
      </c>
      <c r="G31" t="s">
        <v>2007</v>
      </c>
      <c r="H31" t="s">
        <v>2006</v>
      </c>
      <c r="I31" t="s">
        <v>2005</v>
      </c>
      <c r="J31" t="s">
        <v>2004</v>
      </c>
    </row>
    <row r="32" spans="1:21">
      <c r="B32" t="s">
        <v>2003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2002</v>
      </c>
      <c r="Q32" s="43">
        <v>0.36620000000000003</v>
      </c>
    </row>
    <row r="33" spans="2:17">
      <c r="B33" t="s">
        <v>2001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2000</v>
      </c>
    </row>
    <row r="34" spans="2:17">
      <c r="B34" t="s">
        <v>1999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1998</v>
      </c>
    </row>
    <row r="35" spans="2:17">
      <c r="B35" t="s">
        <v>1997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1996</v>
      </c>
      <c r="Q35" s="43">
        <v>0.27179999999999999</v>
      </c>
    </row>
    <row r="36" spans="2:17">
      <c r="B36" t="s">
        <v>1995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1994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1993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1992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1991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1990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1989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1988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5.9764705882352734E-2</v>
      </c>
      <c r="B6" s="145">
        <f>H6-J6</f>
        <v>10.625000000000004</v>
      </c>
      <c r="C6" s="145">
        <f>L6-H6</f>
        <v>0.63499999999999801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33.715000000000003</v>
      </c>
      <c r="I6" s="153">
        <f>H6/J6-1</f>
        <v>0.46015591165006509</v>
      </c>
      <c r="J6" s="149" cm="1">
        <f t="array" ref="J6">IF(ISTEXT($E6),_xll.BDH($E6,"PX_LAST",J$2,J$2,"Fill=P","CDR=US"),"")</f>
        <v>23.09</v>
      </c>
      <c r="K6" s="153">
        <f t="shared" ref="K6:K20" si="0">H6/L6-1</f>
        <v>-1.8486171761280867E-2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6.4384296536445618E-2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7985.92</v>
      </c>
      <c r="I7" s="153">
        <f t="shared" ref="I7:I20" si="1">H7/J7-1</f>
        <v>0.5338630649526257</v>
      </c>
      <c r="J7" s="143" cm="1">
        <f t="array" ref="J7">IF(ISTEXT($E7),_xll.BDH($E7,"PX_LAST",J$2,J$2,"Fill=P","CDR=US"),"")</f>
        <v>5206.41</v>
      </c>
      <c r="K7" s="153">
        <f t="shared" si="0"/>
        <v>-1.1320530470351642E-2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17.04418402823941</v>
      </c>
      <c r="Q7" s="153">
        <f>$P7/T7-1</f>
        <v>0.26229839127860832</v>
      </c>
      <c r="R7" s="153">
        <f>$P7/U7-1</f>
        <v>0.1279915262024065</v>
      </c>
      <c r="S7" s="144" cm="1">
        <f t="array" ref="S7">_xll.BDP($E7,S$2)</f>
        <v>10.86234924771599</v>
      </c>
      <c r="T7" s="150">
        <f>MEDIAN(_xll.BDH($E7," best pe ratio","-7ay",""," be997=1gy","array=true"," dts=h"  ))</f>
        <v>13.502500000000001</v>
      </c>
      <c r="U7" s="151">
        <f>T7+W7</f>
        <v>15.110205734986174</v>
      </c>
      <c r="V7" s="151">
        <f>T7-W7</f>
        <v>11.894794265013829</v>
      </c>
      <c r="W7" s="150">
        <f>STDEV(_xll.BDH($E7," best pe ratio","-7ay",""," be997=1gy","array=true"," dts=h"  ))</f>
        <v>1.6077057349861732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4723.71</v>
      </c>
      <c r="I8" s="154">
        <f t="shared" si="1"/>
        <v>0.4702965674373436</v>
      </c>
      <c r="J8" s="140" cm="1">
        <f t="array" ref="J8">IF(ISTEXT($E8),_xll.BDH($E8,"PX_LAST",J$2,J$2,"Fill=P","CDR=US"),"")</f>
        <v>3212.76</v>
      </c>
      <c r="K8" s="154">
        <f t="shared" si="0"/>
        <v>-2.341346630941743E-2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16.928183136794047</v>
      </c>
      <c r="Q8" s="154">
        <f>P8/T8-1</f>
        <v>0.24147872368406342</v>
      </c>
      <c r="R8" s="154">
        <f>$P8/U8-1</f>
        <v>0.10517159371701434</v>
      </c>
      <c r="S8" s="141" cm="1">
        <f t="array" ref="S8">_xll.BDP($E8,S$2)</f>
        <v>10.806957335130619</v>
      </c>
      <c r="T8" s="146">
        <f>MEDIAN(_xll.BDH($E8," best pe ratio","-7ay",""," be997=1gy","array=true"," dts=h"  ))</f>
        <v>13.6355</v>
      </c>
      <c r="U8" s="147">
        <f>T8+W8</f>
        <v>15.317244157406932</v>
      </c>
      <c r="V8" s="147">
        <f>T8-W8</f>
        <v>11.953755842593068</v>
      </c>
      <c r="W8" s="146">
        <f>STDEV(_xll.BDH($E8," best pe ratio","-7ay",""," be997=1gy","array=true"," dts=h"  ))</f>
        <v>1.6817441574069329</v>
      </c>
    </row>
    <row r="9" spans="1:26">
      <c r="A9" s="2">
        <f>C9/B9</f>
        <v>0.19782517774989564</v>
      </c>
      <c r="B9" s="145">
        <f>H9-J9</f>
        <v>11.954999999999998</v>
      </c>
      <c r="C9" s="145">
        <f>L9-H9</f>
        <v>2.365000000000002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39.634999999999998</v>
      </c>
      <c r="I9" s="153">
        <f t="shared" si="1"/>
        <v>0.4319002890173409</v>
      </c>
      <c r="J9" s="149" cm="1">
        <f t="array" ref="J9">IF(ISTEXT($E9),_xll.BDH($E9,"PX_LAST",J$2,J$2,"Fill=P","CDR=US"),"")</f>
        <v>27.68</v>
      </c>
      <c r="K9" s="153">
        <f t="shared" si="0"/>
        <v>-5.6309523809523809E-2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36811.67</v>
      </c>
      <c r="I10" s="153">
        <f t="shared" si="1"/>
        <v>0.50407524202622955</v>
      </c>
      <c r="J10" s="143" cm="1">
        <f t="array" ref="J10">IF(ISTEXT($E10),_xll.BDH($E10,"PX_LAST",J$2,J$2,"Fill=P","CDR=US"),"")</f>
        <v>24474.62</v>
      </c>
      <c r="K10" s="153">
        <f t="shared" si="0"/>
        <v>-5.2137293525420736E-2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27587.439999999999</v>
      </c>
      <c r="O10" t="str" cm="1">
        <f t="array" ref="O10">_xll.BDP(E10,O$2)</f>
        <v>22/01/2025</v>
      </c>
      <c r="P10" s="144" cm="1">
        <f t="array" ref="P10">_xll.BDP($E10,P$2)</f>
        <v>11.220084057678084</v>
      </c>
      <c r="Q10" s="153">
        <f>P10/T10-1</f>
        <v>0.23092022749671814</v>
      </c>
      <c r="R10" s="153">
        <f>$P10/U10-1</f>
        <v>6.2112966299316508E-2</v>
      </c>
      <c r="S10" s="144" cm="1">
        <f t="array" ref="S10">_xll.BDP($E10,S$2)</f>
        <v>11.229903040926235</v>
      </c>
      <c r="T10" s="150">
        <f>MEDIAN(_xll.BDH($E10," best pe ratio","-7ay",""," be997=1gy","array=true"," dts=h"  ))</f>
        <v>9.1151999999999997</v>
      </c>
      <c r="U10" s="151">
        <f>T10+W10</f>
        <v>10.563927203310431</v>
      </c>
      <c r="V10" s="151">
        <f>T10-W10</f>
        <v>7.6664727966895674</v>
      </c>
      <c r="W10" s="150">
        <f>STDEV(_xll.BDH($E10," best pe ratio","-7ay",""," be997=1gy","array=true"," dts=h"  ))</f>
        <v>1.4487272033104321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15001.29</v>
      </c>
      <c r="I11" s="154">
        <f t="shared" si="1"/>
        <v>0.3244768766223447</v>
      </c>
      <c r="J11" s="140" cm="1">
        <f t="array" ref="J11">IF(ISTEXT($E11),_xll.BDH($E11,"PX_LAST",J$2,J$2,"Fill=P","CDR=US"),"")</f>
        <v>11326.2</v>
      </c>
      <c r="K11" s="154">
        <f t="shared" si="0"/>
        <v>-4.8117942004910041E-2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13.522035479673399</v>
      </c>
      <c r="Q11" s="154">
        <f>P11/T11-1</f>
        <v>0.17074913892530663</v>
      </c>
      <c r="R11" s="154">
        <f>$P11/U11-1</f>
        <v>3.7242305047003654E-2</v>
      </c>
      <c r="S11" s="141" cm="1">
        <f t="array" ref="S11">_xll.BDP($E11,S$2)</f>
        <v>12.206543932330591</v>
      </c>
      <c r="T11" s="146">
        <f>MEDIAN(_xll.BDH($E11," best pe ratio","-7ay",""," be997=1gy","array=true"," dts=h"  ))</f>
        <v>11.549899999999999</v>
      </c>
      <c r="U11" s="147">
        <f>T11+W11</f>
        <v>13.036525230293837</v>
      </c>
      <c r="V11" s="147">
        <f>T11-W11</f>
        <v>10.063274769706162</v>
      </c>
      <c r="W11" s="146">
        <f>STDEV(_xll.BDH($E11," best pe ratio","-7ay",""," be997=1gy","array=true"," dts=h"  ))</f>
        <v>1.4866252302938383</v>
      </c>
    </row>
    <row r="12" spans="1:26">
      <c r="A12" s="2">
        <f>C12/B12</f>
        <v>0.81400159645631753</v>
      </c>
      <c r="B12" s="145">
        <f>H12-J12</f>
        <v>8.8946999999999967</v>
      </c>
      <c r="C12" s="145">
        <f>L12-H12</f>
        <v>7.2403000000000048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36.124699999999997</v>
      </c>
      <c r="I12" s="153">
        <f t="shared" si="1"/>
        <v>0.32665075284612555</v>
      </c>
      <c r="J12" s="149" cm="1">
        <f t="array" ref="J12">IF(ISTEXT($E12),_xll.BDH($E12,"PX_LAST",J$2,J$2,"Fill=P","CDR=US"),"")</f>
        <v>27.23</v>
      </c>
      <c r="K12" s="153">
        <f t="shared" si="0"/>
        <v>-0.16696183558169042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6058.4961000000003</v>
      </c>
      <c r="I13" s="153">
        <f t="shared" si="1"/>
        <v>0.44940063411468079</v>
      </c>
      <c r="J13" s="143" cm="1">
        <f t="array" ref="J13">IF(ISTEXT($E13),_xll.BDH($E13,"PX_LAST",J$2,J$2,"Fill=P","CDR=US"),"")</f>
        <v>4180.0010000000002</v>
      </c>
      <c r="K13" s="153">
        <f t="shared" si="0"/>
        <v>-0.1187771496011476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5762.44</v>
      </c>
      <c r="I14" s="154">
        <f t="shared" si="1"/>
        <v>0.55814475416884091</v>
      </c>
      <c r="J14" s="140" cm="1">
        <f t="array" ref="J14">IF(ISTEXT($E14),_xll.BDH($E14,"PX_LAST",J$2,J$2,"Fill=P","CDR=US"),"")</f>
        <v>3698.27</v>
      </c>
      <c r="K14" s="154">
        <f t="shared" si="0"/>
        <v>-0.14191432902585976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27.770731578307895</v>
      </c>
      <c r="Q14" s="154">
        <f>P14/T14-1</f>
        <v>2.5474886434801558E-2</v>
      </c>
      <c r="R14" s="154">
        <f>$P14/U14-1</f>
        <v>-0.27980341792901409</v>
      </c>
      <c r="S14" s="141" cm="1">
        <f t="array" ref="S14">_xll.BDP($E14,S$2)</f>
        <v>9.5028446636573047</v>
      </c>
      <c r="T14" s="146">
        <f>MEDIAN(_xll.BDH($E14," best pe ratio","-7ay",""," be997=1gy","array=true"," dts=h"  ))</f>
        <v>27.080849999999998</v>
      </c>
      <c r="U14" s="147">
        <f>T14+W14</f>
        <v>38.559932481838246</v>
      </c>
      <c r="V14" s="147">
        <f>T14-W14</f>
        <v>15.601767518161752</v>
      </c>
      <c r="W14" s="146">
        <f>STDEV(_xll.BDH($E14," best pe ratio","-7ay",""," be997=1gy","array=true"," dts=h"  ))</f>
        <v>11.479082481838246</v>
      </c>
    </row>
    <row r="15" spans="1:26">
      <c r="A15" s="2">
        <f>C15/B15</f>
        <v>0.21421384811401384</v>
      </c>
      <c r="B15" s="145">
        <f>H15-J15</f>
        <v>19.839999999999996</v>
      </c>
      <c r="C15" s="145">
        <f>L15-H15</f>
        <v>4.2500027465820338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63.12</v>
      </c>
      <c r="I15" s="153">
        <f t="shared" si="1"/>
        <v>0.45841035120147855</v>
      </c>
      <c r="J15" s="149" cm="1">
        <f t="array" ref="J15">IF(ISTEXT($E15),_xll.BDH($E15,"PX_LAST",J$2,J$2,"Fill=P","CDR=US"),"")</f>
        <v>43.28</v>
      </c>
      <c r="K15" s="153">
        <f t="shared" si="0"/>
        <v>-6.3084497154746733E-2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689.10389999999995</v>
      </c>
      <c r="I16" s="153">
        <f t="shared" si="1"/>
        <v>0.52433345352147565</v>
      </c>
      <c r="J16" s="143" cm="1">
        <f t="array" ref="J16">IF(ISTEXT($E16),_xll.BDH($E16,"PX_LAST",J$2,J$2,"Fill=P","CDR=US"),"")</f>
        <v>452.06900000000002</v>
      </c>
      <c r="K16" s="153">
        <f t="shared" si="0"/>
        <v>-5.4924731784466441E-2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495.49200000000002</v>
      </c>
      <c r="O16" t="str" cm="1">
        <f t="array" ref="O16">_xll.BDP(E16,O$2)</f>
        <v>23/01/2025</v>
      </c>
      <c r="P16" s="144" cm="1">
        <f t="array" ref="P16">_xll.BDP($E16,P$2)</f>
        <v>14.200986338039812</v>
      </c>
      <c r="Q16" s="153">
        <f>P16/T16-1</f>
        <v>0.15639444464673891</v>
      </c>
      <c r="R16" s="153">
        <f>$P16/U16-1</f>
        <v>-4.2664405055902965E-2</v>
      </c>
      <c r="S16" s="144" cm="1">
        <f t="array" ref="S16">_xll.BDP($E16,S$2)</f>
        <v>11.439406609828829</v>
      </c>
      <c r="T16" s="150">
        <f>MEDIAN(_xll.BDH($E16," best pe ratio","-7ay",""," be997=1gy","array=true"," dts=h"  ))</f>
        <v>12.2804</v>
      </c>
      <c r="U16" s="151">
        <f>T16+W16</f>
        <v>14.833864334553516</v>
      </c>
      <c r="V16" s="151">
        <f>T16-W16</f>
        <v>9.7269356654464847</v>
      </c>
      <c r="W16" s="150">
        <f>STDEV(_xll.BDH($E16," best pe ratio","-7ay",""," be997=1gy","array=true"," dts=h"  ))</f>
        <v>2.553464334553516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86.08</v>
      </c>
      <c r="I17" s="154">
        <f t="shared" si="1"/>
        <v>0.48721492743607464</v>
      </c>
      <c r="J17" s="140" cm="1">
        <f t="array" ref="J17">IF(ISTEXT($E17),_xll.BDH($E17,"PX_LAST",J$2,J$2,"Fill=P","CDR=US"),"")</f>
        <v>57.88</v>
      </c>
      <c r="K17" s="154">
        <f t="shared" si="0"/>
        <v>-6.0159406048695296E-2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14.197664469890563</v>
      </c>
      <c r="Q17" s="154">
        <f>P17/T17-1</f>
        <v>0.15628400969895528</v>
      </c>
      <c r="R17" s="154">
        <f>$P17/U17-1</f>
        <v>-4.2783939639525981E-2</v>
      </c>
      <c r="S17" s="141" cm="1">
        <f t="array" ref="S17">_xll.BDP($E17,S$2)</f>
        <v>11.439406609828829</v>
      </c>
      <c r="T17" s="146">
        <f>MEDIAN(_xll.BDH($E17," best pe ratio","-7ay",""," be997=1gy","array=true"," dts=h"  ))</f>
        <v>12.278700000000001</v>
      </c>
      <c r="U17" s="147">
        <f>T17+W17</f>
        <v>14.83224640479175</v>
      </c>
      <c r="V17" s="147">
        <f>T17-W17</f>
        <v>9.7251535952082513</v>
      </c>
      <c r="W17" s="146">
        <f>STDEV(_xll.BDH($E17," best pe ratio","-7ay",""," be997=1gy","array=true"," dts=h"  ))</f>
        <v>2.5535464047917484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26629.96</v>
      </c>
      <c r="I18" s="153">
        <f t="shared" si="1"/>
        <v>0.45940699650519989</v>
      </c>
      <c r="J18" s="143" cm="1">
        <f t="array" ref="J18">IF(ISTEXT($E18),_xll.BDH($E18,"PX_LAST",J$2,J$2,"Fill=P","CDR=US"),"")</f>
        <v>18247.11</v>
      </c>
      <c r="K18" s="153">
        <f t="shared" si="0"/>
        <v>-2.7459075065810024E-2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12.936370176188552</v>
      </c>
      <c r="Q18" s="153">
        <f>P18/T18-1</f>
        <v>0.1898576347186911</v>
      </c>
      <c r="R18" s="153">
        <f>$P18/U18-1</f>
        <v>3.3153122679798974E-2</v>
      </c>
      <c r="S18" s="144" cm="1">
        <f t="array" ref="S18">_xll.BDP($E18,S$2)</f>
        <v>10.508360092098391</v>
      </c>
      <c r="T18" s="150">
        <f>MEDIAN(_xll.BDH($E18," best pe ratio","-7ay",""," be997=1gy","array=true"," dts=h"  ))</f>
        <v>10.872199999999999</v>
      </c>
      <c r="U18" s="151">
        <f>T18+W18</f>
        <v>12.521251586245139</v>
      </c>
      <c r="V18" s="151">
        <f>T18-W18</f>
        <v>9.2231484137548598</v>
      </c>
      <c r="W18" s="150">
        <f>STDEV(_xll.BDH($E18," best pe ratio","-7ay",""," be997=1gy","array=true"," dts=h"  ))</f>
        <v>1.6490515862451403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9114.2999999999993</v>
      </c>
      <c r="I19" s="153">
        <f t="shared" si="1"/>
        <v>0.42654341470133406</v>
      </c>
      <c r="J19" s="143" cm="1">
        <f t="array" ref="J19">IF(ISTEXT($E19),_xll.BDH($E19,"PX_LAST",J$2,J$2,"Fill=P","CDR=US"),"")</f>
        <v>6389.08</v>
      </c>
      <c r="K19" s="153">
        <f t="shared" si="0"/>
        <v>-6.7133664475993893E-2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11.767823446765384</v>
      </c>
      <c r="Q19" s="153">
        <f>P19/T19-1</f>
        <v>0.32308959173004692</v>
      </c>
      <c r="R19" s="153">
        <f>$P19/U19-1</f>
        <v>0.16246166843876497</v>
      </c>
      <c r="S19" s="144" cm="1">
        <f t="array" ref="S19">_xll.BDP($E19,S$2)</f>
        <v>11.021296018814027</v>
      </c>
      <c r="T19" s="150">
        <f>MEDIAN(_xll.BDH($E19," best pe ratio","-7ay",""," be997=1gy","array=true"," dts=h"  ))</f>
        <v>8.8941999999999997</v>
      </c>
      <c r="U19" s="151">
        <f>T19+W19</f>
        <v>10.123192674877673</v>
      </c>
      <c r="V19" s="151">
        <f>T19-W19</f>
        <v>7.6652073251223261</v>
      </c>
      <c r="W19" s="150">
        <f>STDEV(_xll.BDH($E19," best pe ratio","-7ay",""," be997=1gy","array=true"," dts=h"  ))</f>
        <v>1.2289926748776732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4122.576</v>
      </c>
      <c r="I20" s="153">
        <f t="shared" si="1"/>
        <v>0.49970861262504007</v>
      </c>
      <c r="J20" s="143" cm="1">
        <f t="array" ref="J20">IF(ISTEXT($E20),_xll.BDH($E20,"PX_LAST",J$2,J$2,"Fill=P","CDR=US"),"")</f>
        <v>2748.9180000000001</v>
      </c>
      <c r="K20" s="153">
        <f t="shared" si="0"/>
        <v>-1.6294961470970426E-2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15.721141767716626</v>
      </c>
      <c r="Q20" s="153">
        <f>P20/T20-1</f>
        <v>0.28736247166424755</v>
      </c>
      <c r="R20" s="153">
        <f>$P20/U20-1</f>
        <v>0.15618530314956969</v>
      </c>
      <c r="S20" s="144" cm="1">
        <f t="array" ref="S20">_xll.BDP($E20,S$2)</f>
        <v>9.6600139719531715</v>
      </c>
      <c r="T20" s="150">
        <f>MEDIAN(_xll.BDH($E20," best pe ratio","-7ay",""," be997=1gy","array=true"," dts=h"  ))</f>
        <v>12.2119</v>
      </c>
      <c r="U20" s="151">
        <f>T20+W20</f>
        <v>13.597423981165122</v>
      </c>
      <c r="V20" s="151">
        <f>T20-W20</f>
        <v>10.826376018834878</v>
      </c>
      <c r="W20" s="150">
        <f>STDEV(_xll.BDH($E20," best pe ratio","-7ay",""," be997=1gy","array=true"," dts=h"  ))</f>
        <v>1.385523981165121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1.0012212830514039E-2</v>
      </c>
      <c r="AP1" s="23"/>
    </row>
    <row r="2" spans="1:47" outlineLevel="1">
      <c r="D2" s="7" t="s">
        <v>66</v>
      </c>
      <c r="E2" s="265">
        <f>D4+E4</f>
        <v>8.1191350614908189E-3</v>
      </c>
      <c r="Q2" s="179">
        <f ca="1">WORKDAY(Q3,-126)</f>
        <v>45868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46044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46014</v>
      </c>
      <c r="AN3" s="180">
        <f ca="1">WORKDAY($Q$3,-66)</f>
        <v>45952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9.065673946002429E-3</v>
      </c>
      <c r="E4" s="265">
        <f>SUM(E8:E24)</f>
        <v>-9.4653888451161035E-4</v>
      </c>
      <c r="Q4" s="181" t="str">
        <f ca="1">YEAR($Q$2)&amp;TEXT(MONTH($Q$2),"00")&amp;TEXT(DAY($Q$2),"00")</f>
        <v>20250730</v>
      </c>
      <c r="X4" s="182"/>
    </row>
    <row r="5" spans="1:47" outlineLevel="1">
      <c r="C5" s="7" t="s">
        <v>91</v>
      </c>
      <c r="D5" s="265">
        <f>SUM(D22:D23)</f>
        <v>1.1293351651403532E-3</v>
      </c>
      <c r="Q5" s="181" t="str">
        <f ca="1">YEAR(TODAY())&amp;TEXT(MONTH(TODAY()),"00")&amp;TEXT(DAY(TODAY()),"00")</f>
        <v>20260122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446.77</v>
      </c>
      <c r="H8" s="188" cm="1">
        <f t="array" ref="H8">G8/_xll.BDP(B8&amp;" Equity", "PREV_CLOSE_VAL")-1</f>
        <v>5.9895071040958481E-3</v>
      </c>
      <c r="I8" s="187" cm="1">
        <f t="array" ref="I8">_xll.BDP(C8&amp;" Equity","LAST PRICE")</f>
        <v>96.28</v>
      </c>
      <c r="J8" s="188" cm="1">
        <f t="array" ref="J8">I8/_xll.BDP(C8&amp;" Equity", "PREV_CLOSE_VAL")-1</f>
        <v>9.2243186582807724E-3</v>
      </c>
      <c r="K8" s="189">
        <f t="shared" ref="K8:K18" si="1">G8/I8</f>
        <v>4.6403199002908186</v>
      </c>
      <c r="L8" s="188" cm="1">
        <f t="array" ref="L8">K8/(_xll.BDP(B8&amp;" Equity", "PREV_CLOSE_VAL")/_xll.BDP(C8&amp;" Equity", "PREV_CLOSE_VAL"))-1</f>
        <v>-3.2052453497014577E-3</v>
      </c>
      <c r="M8" s="188"/>
      <c r="N8" s="190">
        <f t="shared" ref="N8:N18" si="2">ABS(L8/O8)</f>
        <v>0.289769360825196</v>
      </c>
      <c r="O8" s="191">
        <f t="shared" ref="O8:O18" si="3">P8/15.87/100</f>
        <v>1.1061367359798364E-2</v>
      </c>
      <c r="P8" s="192" cm="1">
        <f t="array" ref="P8">_xll.BDP($A8&amp;" Index","VOLATILITY_30D")</f>
        <v>17.554390000000001</v>
      </c>
      <c r="Q8" s="192" cm="1">
        <f t="array" aca="1" ref="Q8" ca="1">(_xll.BDP(($B8&amp; " Equity"),"CORR_COEF", "BETA_OVERRIDE_REL_INDEX",($C8&amp; " Equity"),"BETA_OVERRIDE_END_DT",$Q$5,"BETA_OVERRIDE_START_DT",$Q$4))*100</f>
        <v>72.650102879318311</v>
      </c>
      <c r="R8" s="188"/>
      <c r="S8" s="188" cm="1">
        <f t="array" ref="S8">_xll.BDP($A8&amp;" Index","CHG_PCT_2D")/100</f>
        <v>-1.7475169999999998E-2</v>
      </c>
      <c r="T8" s="188" cm="1">
        <f t="array" ref="T8">_xll.BDP($A8&amp;" Index","CHG_PCT_5D")/100</f>
        <v>1.7167730000000003E-2</v>
      </c>
      <c r="U8" s="188" cm="1">
        <f t="array" ref="U8">K8/_xll.BDP($A8&amp;" Index","HIGH_52WEEK")-1</f>
        <v>-3.9390572539473534E-2</v>
      </c>
      <c r="V8" s="188" cm="1">
        <f t="array" ref="V8">K8/_xll.BDP($A8&amp;" Index","LOW_52WEEK")-1</f>
        <v>0.22147754381243678</v>
      </c>
      <c r="W8" s="188"/>
      <c r="X8" s="192" cm="1">
        <f t="array" ref="X8">_xll.BDP($A8&amp;" Index","RSI_14D")</f>
        <v>57.325530000000001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6.1858100753047651E-2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2.3212510095992935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1.4956401224230476E-2</v>
      </c>
      <c r="AN8" s="194">
        <f ca="1">IF(ISTEXT(B8),AP8/_xll.BDH(B8 &amp;  " Equity","BEST_EPS",$AN$3,$AN$3,"BEST_FPERIOD_OVERRIDE=1BF","CDR=US","Fill=p")-1,"")</f>
        <v>6.7930489731437671E-2</v>
      </c>
      <c r="AO8" s="196">
        <f t="shared" ref="AO8:AO18" ca="1" si="7">G8/AP8</f>
        <v>25.419321802457894</v>
      </c>
      <c r="AP8" s="196" cm="1">
        <f t="array" aca="1" ref="AP8" ca="1">IF(ISTEXT(B8),_xll.BDH(B8 &amp;  " Equity","BEST_EPS",$Q$3,$Q$3,"BEST_FPERIOD_OVERRIDE=1BF","CDR=US","Fill=p"),"")</f>
        <v>17.576000000000001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9.4653888451161035E-4</v>
      </c>
      <c r="E9" s="255">
        <f>SUMIF(Tabelad[Ticker],PAIR_Monitor!C9,Tabelad[Exp %])</f>
        <v>-9.4653888451161035E-4</v>
      </c>
      <c r="F9" s="254"/>
      <c r="G9" s="187" cm="1">
        <f t="array" ref="G9">_xll.BDP(B9&amp;" Equity","LAST PRICE")</f>
        <v>446.77</v>
      </c>
      <c r="H9" s="188" cm="1">
        <f t="array" ref="H9">G9/_xll.BDP(B9&amp;" Equity", "PREV_CLOSE_VAL")-1</f>
        <v>5.9895071040958481E-3</v>
      </c>
      <c r="I9" s="187" cm="1">
        <f t="array" ref="I9">_xll.BDP(C9&amp;" Equity","LAST PRICE")</f>
        <v>82.474999999999994</v>
      </c>
      <c r="J9" s="188" cm="1">
        <f t="array" ref="J9">I9/_xll.BDP(C9&amp;" Equity", "PREV_CLOSE_VAL")-1</f>
        <v>4.2455118874329401E-4</v>
      </c>
      <c r="K9" s="189">
        <f t="shared" si="1"/>
        <v>5.4170354652925132</v>
      </c>
      <c r="L9" s="188" cm="1">
        <f t="array" ref="L9">K9/(_xll.BDP(B9&amp;" Equity", "PREV_CLOSE_VAL")/_xll.BDP(C9&amp;" Equity", "PREV_CLOSE_VAL"))-1</f>
        <v>5.562594309326041E-3</v>
      </c>
      <c r="M9" s="188"/>
      <c r="N9" s="190">
        <f t="shared" si="2"/>
        <v>0.3450869034172922</v>
      </c>
      <c r="O9" s="191">
        <f t="shared" si="3"/>
        <v>1.6119401386263391E-2</v>
      </c>
      <c r="P9" s="192" cm="1">
        <f t="array" ref="P9">_xll.BDP($A9&amp;" Index","VOLATILITY_30D")</f>
        <v>25.581489999999999</v>
      </c>
      <c r="Q9" s="192" cm="1">
        <f t="array" aca="1" ref="Q9" ca="1">(_xll.BDP(($B9&amp; " Equity"),"CORR_COEF", "BETA_OVERRIDE_REL_INDEX",($C9&amp; " Equity"),"BETA_OVERRIDE_END_DT",$Q$5,"BETA_OVERRIDE_START_DT",$Q$4))*100</f>
        <v>-8.304855611991556</v>
      </c>
      <c r="R9" s="188"/>
      <c r="S9" s="188" cm="1">
        <f t="array" ref="S9">_xll.BDP($A9&amp;" Index","CHG_PCT_2D")/100</f>
        <v>-2.3851279999999999E-2</v>
      </c>
      <c r="T9" s="188" cm="1">
        <f t="array" ref="T9">_xll.BDP($A9&amp;" Index","CHG_PCT_5D")/100</f>
        <v>-2.8307850000000002E-2</v>
      </c>
      <c r="U9" s="188" cm="1">
        <f t="array" ref="U9">K9/_xll.BDP($A9&amp;" Index","HIGH_52WEEK")-1</f>
        <v>-0.23398290008576261</v>
      </c>
      <c r="V9" s="188" cm="1">
        <f t="array" ref="V9">K9/_xll.BDP($A9&amp;" Index","LOW_52WEEK")-1</f>
        <v>0.223177093137092</v>
      </c>
      <c r="W9" s="188"/>
      <c r="X9" s="192" cm="1">
        <f t="array" ref="X9">_xll.BDP($A9&amp;" Index","RSI_14D")</f>
        <v>25.356100000000001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-2.2195764387633043E-2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2.3212510095992935</v>
      </c>
      <c r="AI9" s="196" cm="1">
        <f t="array" ref="AI9">(_xll.BDP(C9&amp;" Equity","SHORT_INT")/_xll.BDP(C9&amp;" Equity","VOLUME_AVG_90D"))</f>
        <v>3.8526263430802592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1.4956401224230476E-2</v>
      </c>
      <c r="AN9" s="194">
        <f ca="1">IF(ISTEXT(B9),AP9/_xll.BDH(B9 &amp;  " Equity","BEST_EPS",$AN$3,$AN$3,"BEST_FPERIOD_OVERRIDE=1BF","CDR=US","Fill=p")-1,"")</f>
        <v>6.7930489731437671E-2</v>
      </c>
      <c r="AO9" s="196">
        <f t="shared" ca="1" si="7"/>
        <v>25.419321802457894</v>
      </c>
      <c r="AP9" s="196" cm="1">
        <f t="array" aca="1" ref="AP9" ca="1">IF(ISTEXT(B9),_xll.BDH(B9 &amp;  " Equity","BEST_EPS",$Q$3,$Q$3,"BEST_FPERIOD_OVERRIDE=1BF","CDR=US","Fill=p"),"")</f>
        <v>17.576000000000001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636.4</v>
      </c>
      <c r="H10" s="257" cm="1">
        <f t="array" ref="H10">G10/_xll.BDP(B10&amp;" Equity", "PREV_CLOSE_VAL")-1</f>
        <v>3.8240668232837338E-2</v>
      </c>
      <c r="I10" s="256" cm="1">
        <f t="array" ref="I10">_xll.BDP(C10&amp;" Equity","LAST PRICE")</f>
        <v>689.13499999999999</v>
      </c>
      <c r="J10" s="257" cm="1">
        <f t="array" ref="J10">I10/_xll.BDP(C10&amp;" Equity", "PREV_CLOSE_VAL")-1</f>
        <v>5.449372629121596E-3</v>
      </c>
      <c r="K10" s="258">
        <f t="shared" si="1"/>
        <v>0.92347653217439252</v>
      </c>
      <c r="L10" s="257" cm="1">
        <f t="array" ref="L10">K10/(_xll.BDP(B10&amp;" Equity", "PREV_CLOSE_VAL")/_xll.BDP(C10&amp;" Equity", "PREV_CLOSE_VAL"))-1</f>
        <v>3.2613572096594545E-2</v>
      </c>
      <c r="M10" s="257"/>
      <c r="N10" s="190">
        <f t="shared" si="2"/>
        <v>3.1665599425696724</v>
      </c>
      <c r="O10" s="191">
        <f t="shared" si="3"/>
        <v>1.0299369880277251E-2</v>
      </c>
      <c r="P10" s="259" cm="1">
        <f t="array" ref="P10">_xll.BDP($A10&amp;" Index","VOLATILITY_30D")</f>
        <v>16.345099999999999</v>
      </c>
      <c r="Q10" s="259" cm="1">
        <f t="array" aca="1" ref="Q10" ca="1">(_xll.BDP(($B10&amp; " Equity"),"CORR_COEF", "BETA_OVERRIDE_REL_INDEX",($C10&amp; " Equity"),"BETA_OVERRIDE_END_DT",$Q$5,"BETA_OVERRIDE_START_DT",$Q$4))*100</f>
        <v>51.221556272392753</v>
      </c>
      <c r="R10" s="257"/>
      <c r="S10" s="257" cm="1">
        <f t="array" ref="S10">_xll.BDP($A10&amp;" Index","CHG_PCT_2D")/100</f>
        <v>3.0565799999999997E-3</v>
      </c>
      <c r="T10" s="257" cm="1">
        <f t="array" ref="T10">_xll.BDP($A10&amp;" Index","CHG_PCT_5D")/100</f>
        <v>-2.7752039999999999E-3</v>
      </c>
      <c r="U10" s="257" cm="1">
        <f t="array" ref="U10">K10/_xll.BDP($A10&amp;" Index","HIGH_52WEEK")-1</f>
        <v>-0.24923659024072808</v>
      </c>
      <c r="V10" s="257" cm="1">
        <f t="array" ref="V10">K10/_xll.BDP($A10&amp;" Index","LOW_52WEEK")-1</f>
        <v>3.6600774719535378E-2</v>
      </c>
      <c r="W10" s="257"/>
      <c r="X10" s="259" cm="1">
        <f t="array" ref="X10">_xll.BDP($A10&amp;" Index","RSI_14D")</f>
        <v>31.312670000000001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-0.16047587984146139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1.9907508893572208</v>
      </c>
      <c r="AI10" s="262" cm="1">
        <f t="array" ref="AI10">(_xll.BDP(C10&amp;" Equity","SHORT_INT")/_xll.BDP(C10&amp;" Equity","VOLUME_AVG_90D"))</f>
        <v>1.2582628974826184</v>
      </c>
      <c r="AJ10" s="262" cm="1">
        <f t="array" ref="AJ10">(_xll.BDP(B10&amp;" Equity","SHORT_INT"))/((_xll.BDP(B10&amp;" Equity","EQY_FREE_FLOAT_PCT"))*(_xll.BDP(B10&amp;" Equity","EQY_SH_OUT_TOT_MULT_SH")))/100</f>
        <v>1.3150293338585555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2.1512483850614439E-2</v>
      </c>
      <c r="AN10" s="260">
        <f ca="1">IF(ISTEXT(B10),AP10/_xll.BDH(B10 &amp;  " Equity","BEST_EPS",$AN$3,$AN$3,"BEST_FPERIOD_OVERRIDE=1BF","CDR=US","Fill=p")-1,"")</f>
        <v>-1.8759560160466315E-2</v>
      </c>
      <c r="AO10" s="262">
        <f t="shared" ca="1" si="7"/>
        <v>18.718197594046881</v>
      </c>
      <c r="AP10" s="262" cm="1">
        <f t="array" aca="1" ref="AP10" ca="1">IF(ISTEXT(B10),_xll.BDH(B10 &amp;  " Equity","BEST_EPS",$Q$3,$Q$3,"BEST_FPERIOD_OVERRIDE=1BF","CDR=US","Fill=p"),"")</f>
        <v>33.999000000000002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636.4</v>
      </c>
      <c r="H11" s="257" cm="1">
        <f t="array" ref="H11">G11/_xll.BDP(B11&amp;" Equity", "PREV_CLOSE_VAL")-1</f>
        <v>3.8240668232837338E-2</v>
      </c>
      <c r="I11" s="256" cm="1">
        <f t="array" ref="I11">_xll.BDP(C11&amp;" Equity","LAST PRICE")</f>
        <v>249.268</v>
      </c>
      <c r="J11" s="257" cm="1">
        <f t="array" ref="J11">I11/_xll.BDP(C11&amp;" Equity", "PREV_CLOSE_VAL")-1</f>
        <v>6.5334140924691031E-3</v>
      </c>
      <c r="K11" s="258">
        <f t="shared" si="1"/>
        <v>2.5530754047852109</v>
      </c>
      <c r="L11" s="257" cm="1">
        <f t="array" ref="L11">K11/(_xll.BDP(B11&amp;" Equity", "PREV_CLOSE_VAL")/_xll.BDP(C11&amp;" Equity", "PREV_CLOSE_VAL"))-1</f>
        <v>3.150144217413442E-2</v>
      </c>
      <c r="M11" s="257"/>
      <c r="N11" s="190">
        <f t="shared" si="2"/>
        <v>2.1869895915055277</v>
      </c>
      <c r="O11" s="191">
        <f t="shared" si="3"/>
        <v>1.4404020163831128E-2</v>
      </c>
      <c r="P11" s="259" cm="1">
        <f t="array" ref="P11">_xll.BDP($A11&amp;" Index","VOLATILITY_30D")</f>
        <v>22.859179999999999</v>
      </c>
      <c r="Q11" s="259" cm="1">
        <f t="array" aca="1" ref="Q11" ca="1">(_xll.BDP(($B11&amp; " Equity"),"CORR_COEF", "BETA_OVERRIDE_REL_INDEX",($C11&amp; " Equity"),"BETA_OVERRIDE_END_DT",$Q$5,"BETA_OVERRIDE_START_DT",$Q$4))*100</f>
        <v>19.336806666925419</v>
      </c>
      <c r="R11" s="257"/>
      <c r="S11" s="257" cm="1">
        <f t="array" ref="S11">_xll.BDP($A11&amp;" Index","CHG_PCT_2D")/100</f>
        <v>1.0742389999999999E-2</v>
      </c>
      <c r="T11" s="257" cm="1">
        <f t="array" ref="T11">_xll.BDP($A11&amp;" Index","CHG_PCT_5D")/100</f>
        <v>2.947495E-2</v>
      </c>
      <c r="U11" s="257" cm="1">
        <f t="array" ref="U11">K11/_xll.BDP($A11&amp;" Index","HIGH_52WEEK")-1</f>
        <v>-0.3312880366732468</v>
      </c>
      <c r="V11" s="257" cm="1">
        <f t="array" ref="V11">K11/_xll.BDP($A11&amp;" Index","LOW_52WEEK")-1</f>
        <v>0.16640034940046644</v>
      </c>
      <c r="W11" s="257"/>
      <c r="X11" s="259" cm="1">
        <f t="array" ref="X11">_xll.BDP($A11&amp;" Index","RSI_14D")</f>
        <v>55.44744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-0.16017256421539117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1.9907508893572208</v>
      </c>
      <c r="AI11" s="262" cm="1">
        <f t="array" ref="AI11">(_xll.BDP(C11&amp;" Equity","SHORT_INT")/_xll.BDP(C11&amp;" Equity","VOLUME_AVG_90D"))</f>
        <v>2.329768618551022</v>
      </c>
      <c r="AJ11" s="262" cm="1">
        <f t="array" ref="AJ11">(_xll.BDP(B11&amp;" Equity","SHORT_INT"))/((_xll.BDP(B11&amp;" Equity","EQY_FREE_FLOAT_PCT"))*(_xll.BDP(B11&amp;" Equity","EQY_SH_OUT_TOT_MULT_SH")))/100</f>
        <v>1.3150293338585555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2.1512483850614439E-2</v>
      </c>
      <c r="AN11" s="260">
        <f ca="1">IF(ISTEXT(B11),AP11/_xll.BDH(B11 &amp;  " Equity","BEST_EPS",$AN$3,$AN$3,"BEST_FPERIOD_OVERRIDE=1BF","CDR=US","Fill=p")-1,"")</f>
        <v>-1.8759560160466315E-2</v>
      </c>
      <c r="AO11" s="262">
        <f t="shared" ca="1" si="7"/>
        <v>18.718197594046881</v>
      </c>
      <c r="AP11" s="262" cm="1">
        <f t="array" aca="1" ref="AP11" ca="1">IF(ISTEXT(B11),_xll.BDH(B11 &amp;  " Equity","BEST_EPS",$Q$3,$Q$3,"BEST_FPERIOD_OVERRIDE=1BF","CDR=US","Fill=p"),"")</f>
        <v>33.999000000000002</v>
      </c>
      <c r="AR11" s="260">
        <f ca="1">IF(ISTEXT(C11),AU11/_xll.BDH(C11 &amp;  " Equity","BEST_EPS",$AM$3,$AM$3,"BEST_FPERIOD_OVERRIDE=1BF","CDR=US","Fill=p")-1,"")</f>
        <v>7.5694855115315818E-3</v>
      </c>
      <c r="AS11" s="260">
        <f ca="1">IF(ISTEXT(C11),AU11/_xll.BDH(C11 &amp;  " Equity","BEST_EPS",$AN$3,$AN$3,"BEST_FPERIOD_OVERRIDE=1BF","CDR=US","Fill=p")-1,"")</f>
        <v>5.0690675875678215E-2</v>
      </c>
      <c r="AT11" s="262">
        <f t="shared" ca="1" si="8"/>
        <v>29.260241812419299</v>
      </c>
      <c r="AU11" s="262" cm="1">
        <f t="array" aca="1" ref="AU11" ca="1">IF(ISTEXT(C11),_xll.BDH(C11 &amp;  " Equity","BEST_EPS",$Q$3,$Q$3,"BEST_FPERIOD_OVERRIDE=1BF","CDR=US","Fill=p"),"")</f>
        <v>8.5190000000000001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5178.58</v>
      </c>
      <c r="H12" s="188" cm="1">
        <f t="array" ref="H12">G12/_xll.BDP(B12&amp;" Equity", "PREV_CLOSE_VAL")-1</f>
        <v>2.899134520229163E-3</v>
      </c>
      <c r="I12" s="187" cm="1">
        <f t="array" ref="I12">_xll.BDP(C12&amp;" Equity","LAST PRICE")</f>
        <v>135.99</v>
      </c>
      <c r="J12" s="188" cm="1">
        <f t="array" ref="J12">I12/_xll.BDP(C12&amp;" Equity", "PREV_CLOSE_VAL")-1</f>
        <v>1.7965416573096915E-2</v>
      </c>
      <c r="K12" s="189">
        <f t="shared" si="1"/>
        <v>38.080594161335391</v>
      </c>
      <c r="L12" s="188" cm="1">
        <f t="array" ref="L12">K12/(_xll.BDP(B12&amp;" Equity", "PREV_CLOSE_VAL")/_xll.BDP(C12&amp;" Equity", "PREV_CLOSE_VAL"))-1</f>
        <v>-1.4800386936117294E-2</v>
      </c>
      <c r="M12" s="188"/>
      <c r="N12" s="190">
        <f t="shared" si="2"/>
        <v>1.0821538418976102</v>
      </c>
      <c r="O12" s="191">
        <f t="shared" si="3"/>
        <v>1.3676786389413989E-2</v>
      </c>
      <c r="P12" s="192" cm="1">
        <f t="array" ref="P12">_xll.BDP($A12&amp;" Index","VOLATILITY_30D")</f>
        <v>21.70506</v>
      </c>
      <c r="Q12" s="192" cm="1">
        <f t="array" aca="1" ref="Q12" ca="1">(_xll.BDP(($B12&amp; " Equity"),"CORR_COEF", "BETA_OVERRIDE_REL_INDEX",($C12&amp; " Equity"),"BETA_OVERRIDE_END_DT",$Q$5,"BETA_OVERRIDE_START_DT",$Q$4))*100</f>
        <v>69.526979147852273</v>
      </c>
      <c r="R12" s="188"/>
      <c r="S12" s="188" cm="1">
        <f t="array" ref="S12">_xll.BDP($A12&amp;" Index","CHG_PCT_2D")/100</f>
        <v>5.1847310000000006E-3</v>
      </c>
      <c r="T12" s="188" cm="1">
        <f t="array" ref="T12">_xll.BDP($A12&amp;" Index","CHG_PCT_5D")/100</f>
        <v>-1.3039739999999999E-2</v>
      </c>
      <c r="U12" s="188" cm="1">
        <f t="array" ref="U12">K12/_xll.BDP($A12&amp;" Index","HIGH_52WEEK")-1</f>
        <v>-0.17555734179119953</v>
      </c>
      <c r="V12" s="188" cm="1">
        <f t="array" ref="V12">K12/_xll.BDP($A12&amp;" Index","LOW_52WEEK")-1</f>
        <v>0.21857316401154514</v>
      </c>
      <c r="W12" s="188"/>
      <c r="X12" s="192" cm="1">
        <f t="array" ref="X12">_xll.BDP($A12&amp;" Index","RSI_14D")</f>
        <v>41.925820000000002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-1.6259515336207953E-2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2.658553787291976</v>
      </c>
      <c r="AI12" s="196" cm="1">
        <f t="array" ref="AI12">(_xll.BDP(C12&amp;" Equity","SHORT_INT")/_xll.BDP(C12&amp;" Equity","VOLUME_AVG_90D"))</f>
        <v>3.7563151753542678</v>
      </c>
      <c r="AJ12" s="196" cm="1">
        <f t="array" ref="AJ12">(_xll.BDP(B12&amp;" Equity","SHORT_INT"))/((_xll.BDP(B12&amp;" Equity","EQY_FREE_FLOAT_PCT"))*(_xll.BDP(B12&amp;" Equity","EQY_SH_OUT_TOT_MULT_SH")))/100</f>
        <v>2.0740878313054392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1.5312078521154682E-2</v>
      </c>
      <c r="AN12" s="194">
        <f ca="1">IF(ISTEXT(B12),AP12/_xll.BDH(B12 &amp;  " Equity","BEST_EPS",$AN$3,$AN$3,"BEST_FPERIOD_OVERRIDE=1BF","CDR=US","Fill=p")-1,"")</f>
        <v>6.7956843966699099E-2</v>
      </c>
      <c r="AO12" s="196">
        <f t="shared" ca="1" si="7"/>
        <v>19.269421684415768</v>
      </c>
      <c r="AP12" s="196" cm="1">
        <f t="array" aca="1" ref="AP12" ca="1">IF(ISTEXT(B12),_xll.BDH(B12 &amp;  " Equity","BEST_EPS",$Q$3,$Q$3,"BEST_FPERIOD_OVERRIDE=1BF","CDR=US","Fill=p"),"")</f>
        <v>268.74599999999998</v>
      </c>
      <c r="AR12" s="194">
        <f ca="1">IF(ISTEXT(C12),AU12/_xll.BDH(C12 &amp;  " Equity","BEST_EPS",$AM$3,$AM$3,"BEST_FPERIOD_OVERRIDE=1BF","CDR=US","Fill=p")-1,"")</f>
        <v>1.495948472885944E-2</v>
      </c>
      <c r="AS12" s="194">
        <f ca="1">IF(ISTEXT(C12),AU12/_xll.BDH(C12 &amp;  " Equity","BEST_EPS",$AN$3,$AN$3,"BEST_FPERIOD_OVERRIDE=1BF","CDR=US","Fill=p")-1,"")</f>
        <v>4.2466922748612967E-2</v>
      </c>
      <c r="AT12" s="196">
        <f t="shared" ca="1" si="8"/>
        <v>27.838280450358244</v>
      </c>
      <c r="AU12" s="196" cm="1">
        <f t="array" aca="1" ref="AU12" ca="1">IF(ISTEXT(C12),_xll.BDH(C12 &amp;  " Equity","BEST_EPS",$Q$3,$Q$3,"BEST_FPERIOD_OVERRIDE=1BF","CDR=US","Fill=p"),"")</f>
        <v>4.8849999999999998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5.1982548920254971E-3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332.44</v>
      </c>
      <c r="H13" s="257" cm="1">
        <f t="array" ref="H13">G13/_xll.BDP(B13&amp;" Equity", "PREV_CLOSE_VAL")-1</f>
        <v>1.9379369557218196E-2</v>
      </c>
      <c r="I13" s="256" cm="1">
        <f t="array" ref="I13">_xll.BDP(C13&amp;" Equity","LAST PRICE")</f>
        <v>348.625</v>
      </c>
      <c r="J13" s="257" cm="1">
        <f t="array" ref="J13">I13/_xll.BDP(C13&amp;" Equity", "PREV_CLOSE_VAL")-1</f>
        <v>1.3931177112656012E-3</v>
      </c>
      <c r="K13" s="258">
        <f t="shared" si="1"/>
        <v>0.9535747579777698</v>
      </c>
      <c r="L13" s="257" cm="1">
        <f t="array" ref="L13">K13/(_xll.BDP(B13&amp;" Equity", "PREV_CLOSE_VAL")/_xll.BDP(C13&amp;" Equity", "PREV_CLOSE_VAL"))-1</f>
        <v>1.7961229738687523E-2</v>
      </c>
      <c r="M13" s="257"/>
      <c r="N13" s="190">
        <f t="shared" si="2"/>
        <v>1.192222225278637</v>
      </c>
      <c r="O13" s="191">
        <f t="shared" si="3"/>
        <v>1.5065337114051671E-2</v>
      </c>
      <c r="P13" s="259" cm="1">
        <f t="array" ref="P13">_xll.BDP($A13&amp;" Index","VOLATILITY_30D")</f>
        <v>23.90869</v>
      </c>
      <c r="Q13" s="259" cm="1">
        <f t="array" aca="1" ref="Q13" ca="1">(_xll.BDP(($B13&amp; " Equity"),"CORR_COEF", "BETA_OVERRIDE_REL_INDEX",($C13&amp; " Equity"),"BETA_OVERRIDE_END_DT",$Q$5,"BETA_OVERRIDE_START_DT",$Q$4))*100</f>
        <v>74.168223474569089</v>
      </c>
      <c r="R13" s="257"/>
      <c r="S13" s="257" cm="1">
        <f t="array" ref="S13">_xll.BDP($A13&amp;" Index","CHG_PCT_2D")/100</f>
        <v>-3.4073220000000001E-2</v>
      </c>
      <c r="T13" s="257" cm="1">
        <f t="array" ref="T13">_xll.BDP($A13&amp;" Index","CHG_PCT_5D")/100</f>
        <v>-7.5369140000000001E-2</v>
      </c>
      <c r="U13" s="257" cm="1">
        <f t="array" ref="U13">K13/_xll.BDP($A13&amp;" Index","HIGH_52WEEK")-1</f>
        <v>-0.10315937966464483</v>
      </c>
      <c r="V13" s="257" cm="1">
        <f t="array" ref="V13">K13/_xll.BDP($A13&amp;" Index","LOW_52WEEK")-1</f>
        <v>0.11464027817389799</v>
      </c>
      <c r="W13" s="257"/>
      <c r="X13" s="259" cm="1">
        <f t="array" ref="X13">_xll.BDP($A13&amp;" Index","RSI_14D")</f>
        <v>37.15316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5.9527508864188672E-2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1.8251437174141103</v>
      </c>
      <c r="AI13" s="262" cm="1">
        <f t="array" ref="AI13">(_xll.BDP(C13&amp;" Equity","SHORT_INT")/_xll.BDP(C13&amp;" Equity","VOLUME_AVG_90D"))</f>
        <v>1.1382767156321714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0.14533729504847126</v>
      </c>
      <c r="AN13" s="260">
        <f ca="1">IF(ISTEXT(B13),AP13/_xll.BDH(B13 &amp;  " Equity","BEST_EPS",$AN$3,$AN$3,"BEST_FPERIOD_OVERRIDE=1BF","CDR=US","Fill=p")-1,"")</f>
        <v>0.17543778951469768</v>
      </c>
      <c r="AO13" s="262">
        <f t="shared" ca="1" si="7"/>
        <v>0.76524493408498173</v>
      </c>
      <c r="AP13" s="262" cm="1">
        <f t="array" aca="1" ref="AP13" ca="1">IF(ISTEXT(B13),_xll.BDH(B13 &amp;  " Equity","BEST_EPS",$Q$3,$Q$3,"BEST_FPERIOD_OVERRIDE=1BF","CDR=US","Fill=p"),"")</f>
        <v>434.423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1.8931031095246694E-3</v>
      </c>
      <c r="E14" s="263"/>
      <c r="F14" s="254"/>
      <c r="G14" s="256" cm="1">
        <f t="array" ref="G14">_xll.BDP(B14&amp;" Equity","LAST PRICE")</f>
        <v>185.09</v>
      </c>
      <c r="H14" s="257" cm="1">
        <f t="array" ref="H14">G14/_xll.BDP(B14&amp;" Equity", "PREV_CLOSE_VAL")-1</f>
        <v>9.6552476543749766E-3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1.4012142764650422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1.0985587192214339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4.0880076055955339E-2</v>
      </c>
      <c r="AN14" s="260">
        <f ca="1">IF(ISTEXT(B14),AP14/_xll.BDH(B14 &amp;  " Equity","BEST_EPS",$AN$3,$AN$3,"BEST_FPERIOD_OVERRIDE=1BF","CDR=US","Fill=p")-1,"")</f>
        <v>0.2930656318542264</v>
      </c>
      <c r="AO14" s="262">
        <f t="shared" ca="1" si="7"/>
        <v>24.150574112734866</v>
      </c>
      <c r="AP14" s="262" cm="1">
        <f t="array" aca="1" ref="AP14" ca="1">IF(ISTEXT(B14),_xll.BDH(B14 &amp;  " Equity","BEST_EPS",$Q$3,$Q$3,"BEST_FPERIOD_OVERRIDE=1BF","CDR=US","Fill=p"),"")</f>
        <v>7.6639999999999997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325.61</v>
      </c>
      <c r="H15" s="188" cm="1">
        <f t="array" ref="H15">G15/_xll.BDP(B15&amp;" Equity", "PREV_CLOSE_VAL")-1</f>
        <v>1.0145105755043904E-3</v>
      </c>
      <c r="I15" s="187" cm="1">
        <f t="array" ref="I15">_xll.BDP(C15&amp;" Equity","LAST PRICE")</f>
        <v>200.30500000000001</v>
      </c>
      <c r="J15" s="188" cm="1">
        <f t="array" ref="J15">I15/_xll.BDP(C15&amp;" Equity", "PREV_CLOSE_VAL")-1</f>
        <v>4.5386158475426708E-3</v>
      </c>
      <c r="K15" s="189">
        <f t="shared" si="1"/>
        <v>1.6255710042185667</v>
      </c>
      <c r="L15" s="188" cm="1">
        <f t="array" ref="L15">K15/(_xll.BDP(B15&amp;" Equity", "PREV_CLOSE_VAL")/_xll.BDP(C15&amp;" Equity", "PREV_CLOSE_VAL"))-1</f>
        <v>-3.5081829771820283E-3</v>
      </c>
      <c r="M15" s="188"/>
      <c r="N15" s="190">
        <f t="shared" si="2"/>
        <v>0.21630823911211727</v>
      </c>
      <c r="O15" s="191">
        <f t="shared" si="3"/>
        <v>1.6218443604284812E-2</v>
      </c>
      <c r="P15" s="192" cm="1">
        <f t="array" ref="P15">_xll.BDP($A15&amp;" Index","VOLATILITY_30D")</f>
        <v>25.738669999999999</v>
      </c>
      <c r="Q15" s="192" cm="1">
        <f t="array" aca="1" ref="Q15" ca="1">(_xll.BDP(($B15&amp; " Equity"),"CORR_COEF", "BETA_OVERRIDE_REL_INDEX",($C15&amp; " Equity"),"BETA_OVERRIDE_END_DT",$Q$5,"BETA_OVERRIDE_START_DT",$Q$4))*100</f>
        <v>46.701682817824924</v>
      </c>
      <c r="R15" s="188"/>
      <c r="S15" s="188" cm="1">
        <f t="array" ref="S15">_xll.BDP($A15&amp;" Index","CHG_PCT_2D")/100</f>
        <v>-1.8282220000000002E-2</v>
      </c>
      <c r="T15" s="188" cm="1">
        <f t="array" ref="T15">_xll.BDP($A15&amp;" Index","CHG_PCT_5D")/100</f>
        <v>-6.7421149999999999E-3</v>
      </c>
      <c r="U15" s="188" cm="1">
        <f t="array" ref="U15">K15/_xll.BDP($A15&amp;" Index","HIGH_52WEEK")-1</f>
        <v>-0.22011398925403514</v>
      </c>
      <c r="V15" s="188" cm="1">
        <f t="array" ref="V15">K15/_xll.BDP($A15&amp;" Index","LOW_52WEEK")-1</f>
        <v>-3.5058118307800257E-3</v>
      </c>
      <c r="W15" s="188"/>
      <c r="X15" s="192" cm="1">
        <f t="array" ref="X15">_xll.BDP($A15&amp;" Index","RSI_14D")</f>
        <v>26.57685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-0.18721449789071665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3.5253910958310199</v>
      </c>
      <c r="AI15" s="196" cm="1">
        <f t="array" ref="AI15">(_xll.BDP(C15&amp;" Equity","SHORT_INT")/_xll.BDP(C15&amp;" Equity","VOLUME_AVG_90D"))</f>
        <v>3.0921972390171355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1.0553488725229654E-2</v>
      </c>
      <c r="AN15" s="194">
        <f ca="1">IF(ISTEXT(B15),AP15/_xll.BDH(B15 &amp;  " Equity","BEST_EPS",$AN$3,$AN$3,"BEST_FPERIOD_OVERRIDE=1BF","CDR=US","Fill=p")-1,"")</f>
        <v>2.8514025191252568E-2</v>
      </c>
      <c r="AO15" s="196">
        <f t="shared" ca="1" si="7"/>
        <v>24.463561232156273</v>
      </c>
      <c r="AP15" s="196" cm="1">
        <f t="array" aca="1" ref="AP15" ca="1">IF(ISTEXT(B15),_xll.BDH(B15 &amp;  " Equity","BEST_EPS",$Q$3,$Q$3,"BEST_FPERIOD_OVERRIDE=1BF","CDR=US","Fill=p"),"")</f>
        <v>13.31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525.91999999999996</v>
      </c>
      <c r="H16" s="188" cm="1">
        <f t="array" ref="H16">G16/_xll.BDP(B16&amp;" Equity", "PREV_CLOSE_VAL")-1</f>
        <v>-3.1275470553672191E-3</v>
      </c>
      <c r="I16" s="187" cm="1">
        <f t="array" ref="I16">_xll.BDP(C16&amp;" Equity","LAST PRICE")</f>
        <v>200.30500000000001</v>
      </c>
      <c r="J16" s="188" cm="1">
        <f t="array" ref="J16">I16/_xll.BDP(C16&amp;" Equity", "PREV_CLOSE_VAL")-1</f>
        <v>4.5386158475426708E-3</v>
      </c>
      <c r="K16" s="189">
        <f t="shared" si="1"/>
        <v>2.6255959661516184</v>
      </c>
      <c r="L16" s="188" cm="1">
        <f t="array" ref="L16">K16/(_xll.BDP(B16&amp;" Equity", "PREV_CLOSE_VAL")/_xll.BDP(C16&amp;" Equity", "PREV_CLOSE_VAL"))-1</f>
        <v>-7.6315263365379638E-3</v>
      </c>
      <c r="M16" s="188"/>
      <c r="N16" s="190">
        <f t="shared" si="2"/>
        <v>0.54590535099971416</v>
      </c>
      <c r="O16" s="191">
        <f t="shared" si="3"/>
        <v>1.397957781978576E-2</v>
      </c>
      <c r="P16" s="192" cm="1">
        <f t="array" ref="P16">_xll.BDP($A16&amp;" Index","VOLATILITY_30D")</f>
        <v>22.185590000000001</v>
      </c>
      <c r="Q16" s="192" cm="1">
        <f t="array" aca="1" ref="Q16" ca="1">(_xll.BDP(($B16&amp; " Equity"),"CORR_COEF", "BETA_OVERRIDE_REL_INDEX",($C16&amp; " Equity"),"BETA_OVERRIDE_END_DT",$Q$5,"BETA_OVERRIDE_START_DT",$Q$4))*100</f>
        <v>65.192120719041881</v>
      </c>
      <c r="R16" s="188"/>
      <c r="S16" s="188" cm="1">
        <f t="array" ref="S16">_xll.BDP($A16&amp;" Index","CHG_PCT_2D")/100</f>
        <v>-2.4360469999999999E-2</v>
      </c>
      <c r="T16" s="188" cm="1">
        <f t="array" ref="T16">_xll.BDP($A16&amp;" Index","CHG_PCT_5D")/100</f>
        <v>-2.7008359999999999E-2</v>
      </c>
      <c r="U16" s="188" cm="1">
        <f t="array" ref="U16">K16/_xll.BDP($A16&amp;" Index","HIGH_52WEEK")-1</f>
        <v>-0.20895769828763355</v>
      </c>
      <c r="V16" s="188" cm="1">
        <f t="array" ref="V16">K16/_xll.BDP($A16&amp;" Index","LOW_52WEEK")-1</f>
        <v>-7.6325157508273511E-3</v>
      </c>
      <c r="W16" s="188"/>
      <c r="X16" s="192" cm="1">
        <f t="array" ref="X16">_xll.BDP($A16&amp;" Index","RSI_14D")</f>
        <v>20.956289999999999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-0.19460246437066919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2.2429151912338465</v>
      </c>
      <c r="AI16" s="196" cm="1">
        <f t="array" ref="AI16">(_xll.BDP(C16&amp;" Equity","SHORT_INT")/_xll.BDP(C16&amp;" Equity","VOLUME_AVG_90D"))</f>
        <v>3.0921972390171355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1.3325638738786116E-2</v>
      </c>
      <c r="AN16" s="194">
        <f ca="1">IF(ISTEXT(B16),AP16/_xll.BDH(B16 &amp;  " Equity","BEST_EPS",$AN$3,$AN$3,"BEST_FPERIOD_OVERRIDE=1BF","CDR=US","Fill=p")-1,"")</f>
        <v>4.5297110076848224E-2</v>
      </c>
      <c r="AO16" s="196">
        <f t="shared" ca="1" si="7"/>
        <v>27.228578824747601</v>
      </c>
      <c r="AP16" s="196" cm="1">
        <f t="array" aca="1" ref="AP16" ca="1">IF(ISTEXT(B16),_xll.BDH(B16 &amp;  " Equity","BEST_EPS",$Q$3,$Q$3,"BEST_FPERIOD_OVERRIDE=1BF","CDR=US","Fill=p"),"")</f>
        <v>19.315000000000001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0</v>
      </c>
      <c r="E17" s="255">
        <f>SUMIF(Tabelad[Ticker],PAIR_Monitor!C17,Tabelad[Exp %])-E16-E15</f>
        <v>0</v>
      </c>
      <c r="F17" s="254"/>
      <c r="G17" s="187" cm="1">
        <f t="array" ref="G17">_xll.BDP(B17&amp;" Equity","LAST PRICE")</f>
        <v>53.83</v>
      </c>
      <c r="H17" s="188" cm="1">
        <f t="array" ref="H17">G17/_xll.BDP(B17&amp;" Equity", "PREV_CLOSE_VAL")-1</f>
        <v>6.9210624766180562E-3</v>
      </c>
      <c r="I17" s="187" cm="1">
        <f t="array" ref="I17">_xll.BDP(C17&amp;" Equity","LAST PRICE")</f>
        <v>200.30500000000001</v>
      </c>
      <c r="J17" s="188" cm="1">
        <f t="array" ref="J17">I17/_xll.BDP(C17&amp;" Equity", "PREV_CLOSE_VAL")-1</f>
        <v>4.5386158475426708E-3</v>
      </c>
      <c r="K17" s="189">
        <f t="shared" si="1"/>
        <v>0.26874017123886074</v>
      </c>
      <c r="L17" s="188" cm="1">
        <f t="array" ref="L17">K17/(_xll.BDP(B17&amp;" Equity", "PREV_CLOSE_VAL")/_xll.BDP(C17&amp;" Equity", "PREV_CLOSE_VAL"))-1</f>
        <v>2.3716824734163477E-3</v>
      </c>
      <c r="M17" s="188"/>
      <c r="N17" s="190">
        <f t="shared" si="2"/>
        <v>0.35171496248748946</v>
      </c>
      <c r="O17" s="191">
        <f t="shared" si="3"/>
        <v>6.7431947069943286E-3</v>
      </c>
      <c r="P17" s="192" cm="1">
        <f t="array" ref="P17">_xll.BDP($A17&amp;" Index","VOLATILITY_30D")</f>
        <v>10.701449999999999</v>
      </c>
      <c r="Q17" s="192" cm="1">
        <f t="array" aca="1" ref="Q17" ca="1">(_xll.BDP(($B17&amp; " Equity"),"CORR_COEF", "BETA_OVERRIDE_REL_INDEX",($C17&amp; " Equity"),"BETA_OVERRIDE_END_DT",$Q$5,"BETA_OVERRIDE_START_DT",$Q$4))*100</f>
        <v>73.092929239205631</v>
      </c>
      <c r="R17" s="188"/>
      <c r="S17" s="188" cm="1">
        <f t="array" ref="S17">_xll.BDP($A17&amp;" Index","CHG_PCT_2D")/100</f>
        <v>-1.185989E-2</v>
      </c>
      <c r="T17" s="188" cm="1">
        <f t="array" ref="T17">_xll.BDP($A17&amp;" Index","CHG_PCT_5D")/100</f>
        <v>-1.596407E-2</v>
      </c>
      <c r="U17" s="188" cm="1">
        <f t="array" ref="U17">K17/_xll.BDP($A17&amp;" Index","HIGH_52WEEK")-1</f>
        <v>-7.4107937161547843E-2</v>
      </c>
      <c r="V17" s="188" cm="1">
        <f t="array" ref="V17">K17/_xll.BDP($A17&amp;" Index","LOW_52WEEK")-1</f>
        <v>2.387807679450793E-3</v>
      </c>
      <c r="W17" s="188"/>
      <c r="X17" s="192" cm="1">
        <f t="array" ref="X17">_xll.BDP($A17&amp;" Index","RSI_14D")</f>
        <v>23.195620000000002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-7.3309754348755973E-2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1.4602699114909197</v>
      </c>
      <c r="AI17" s="196" cm="1">
        <f t="array" ref="AI17">(_xll.BDP(C17&amp;" Equity","SHORT_INT")/_xll.BDP(C17&amp;" Equity","VOLUME_AVG_90D"))</f>
        <v>3.0921972390171355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53.83</v>
      </c>
      <c r="H18" s="188" cm="1">
        <f t="array" ref="H18">G18/_xll.BDP(B18&amp;" Equity", "PREV_CLOSE_VAL")-1</f>
        <v>6.9210624766180562E-3</v>
      </c>
      <c r="I18" s="187" cm="1">
        <f t="array" ref="I18">_xll.BDP(C18&amp;" Equity","LAST PRICE")</f>
        <v>482.52600000000001</v>
      </c>
      <c r="J18" s="188" cm="1">
        <f t="array" ref="J18">I18/_xll.BDP(C18&amp;" Equity", "PREV_CLOSE_VAL")-1</f>
        <v>-2.6951615236756599E-3</v>
      </c>
      <c r="K18" s="189">
        <f t="shared" si="1"/>
        <v>0.11155875538312961</v>
      </c>
      <c r="L18" s="188" cm="1">
        <f t="array" ref="L18">K18/(_xll.BDP(B18&amp;" Equity", "PREV_CLOSE_VAL")/_xll.BDP(C18&amp;" Equity", "PREV_CLOSE_VAL"))-1</f>
        <v>9.642211317238969E-3</v>
      </c>
      <c r="M18" s="188"/>
      <c r="N18" s="190">
        <f t="shared" si="2"/>
        <v>1.0324520980714964</v>
      </c>
      <c r="O18" s="191">
        <f t="shared" si="3"/>
        <v>9.3391367359798375E-3</v>
      </c>
      <c r="P18" s="192" cm="1">
        <f t="array" ref="P18">_xll.BDP($A18&amp;" Index","VOLATILITY_30D")</f>
        <v>14.821210000000001</v>
      </c>
      <c r="Q18" s="192" cm="1">
        <f t="array" aca="1" ref="Q18" ca="1">(_xll.BDP(($B18&amp; " Equity"),"CORR_COEF", "BETA_OVERRIDE_REL_INDEX",($C18&amp; " Equity"),"BETA_OVERRIDE_END_DT",$Q$5,"BETA_OVERRIDE_START_DT",$Q$4))*100</f>
        <v>41.951642402507638</v>
      </c>
      <c r="R18" s="188"/>
      <c r="S18" s="188" cm="1">
        <f t="array" ref="S18">_xll.BDP($A18&amp;" Index","CHG_PCT_2D")/100</f>
        <v>8.0965229999999996E-3</v>
      </c>
      <c r="T18" s="188" cm="1">
        <f t="array" ref="T18">_xll.BDP($A18&amp;" Index","CHG_PCT_5D")/100</f>
        <v>1.0963220000000001E-3</v>
      </c>
      <c r="U18" s="188" cm="1">
        <f t="array" ref="U18">K18/_xll.BDP($A18&amp;" Index","HIGH_52WEEK")-1</f>
        <v>-1.3365566612456026E-2</v>
      </c>
      <c r="V18" s="188" cm="1">
        <f t="array" ref="V18">K18/_xll.BDP($A18&amp;" Index","LOW_52WEEK")-1</f>
        <v>0.25332833819941136</v>
      </c>
      <c r="W18" s="188"/>
      <c r="X18" s="192" cm="1">
        <f t="array" ref="X18">_xll.BDP($A18&amp;" Index","RSI_14D")</f>
        <v>52.993810000000003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0.11558755383129604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1.4602699114909197</v>
      </c>
      <c r="AI18" s="196" cm="1">
        <f t="array" ref="AI18">(_xll.BDP(C18&amp;" Equity","SHORT_INT")/_xll.BDP(C18&amp;" Equity","VOLUME_AVG_90D"))</f>
        <v>2.4084191753995596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2.6437541308659274E-3</v>
      </c>
      <c r="AS18" s="194">
        <f ca="1">IF(ISTEXT(C18),AU18/_xll.BDH(C18 &amp;  " Equity","BEST_EPS",$AN$3,$AN$3,"BEST_FPERIOD_OVERRIDE=1BF","CDR=US","Fill=p")-1,"")</f>
        <v>-1.2323861786727508E-2</v>
      </c>
      <c r="AT18" s="196">
        <f t="shared" ca="1" si="8"/>
        <v>22.719935963838402</v>
      </c>
      <c r="AU18" s="196" cm="1">
        <f t="array" aca="1" ref="AU18" ca="1">IF(ISTEXT(C18),_xll.BDH(C18 &amp;  " Equity","BEST_EPS",$Q$3,$Q$3,"BEST_FPERIOD_OVERRIDE=1BF","CDR=US","Fill=p"),"")</f>
        <v>21.238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1.0277770599406517E-3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1.1293351651403532E-3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35.380000000000003</v>
      </c>
      <c r="H29" s="188" cm="1">
        <f t="array" ref="H29">G29/_xll.BDP(B29&amp;" Equity", "PREV_CLOSE_VAL")-1</f>
        <v>-1.5033407572383028E-2</v>
      </c>
      <c r="I29" s="187" cm="1">
        <f t="array" ref="I29">_xll.BDP(C29&amp;" Equity","LAST PRICE")</f>
        <v>67.349999999999994</v>
      </c>
      <c r="J29" s="188" cm="1">
        <f t="array" ref="J29">I29/_xll.BDP(C29&amp;" Equity", "PREV_CLOSE_VAL")-1</f>
        <v>-5.4636739515653288E-3</v>
      </c>
      <c r="K29" s="189">
        <f t="shared" ref="K29:K41" si="9">G29/I29</f>
        <v>0.52531551596139581</v>
      </c>
      <c r="L29" s="188" cm="1">
        <f t="array" ref="L29">K29/(_xll.BDP(B29&amp;" Equity", "PREV_CLOSE_VAL")/_xll.BDP(C29&amp;" Equity", "PREV_CLOSE_VAL"))-1</f>
        <v>-9.6223067676581842E-3</v>
      </c>
      <c r="M29" s="188"/>
      <c r="N29" s="190">
        <f t="shared" ref="N29:N41" si="10">ABS(L29/O29)</f>
        <v>0.87413474885348252</v>
      </c>
      <c r="O29" s="191">
        <f>P29/15.87/100</f>
        <v>1.1007807183364839E-2</v>
      </c>
      <c r="P29" s="192" cm="1">
        <f t="array" ref="P29">_xll.BDP($A29&amp;" Index","VOLATILITY_30D")</f>
        <v>17.469390000000001</v>
      </c>
      <c r="Q29" s="192" cm="1">
        <f t="array" aca="1" ref="Q29" ca="1">(_xll.BDP(($B29&amp; " Equity"),"CORR_COEF", "BETA_OVERRIDE_REL_INDEX",($C29&amp; " Equity"),"BETA_OVERRIDE_END_DT",$Q$5,"BETA_OVERRIDE_START_DT",$Q$4))*100</f>
        <v>54.854476666392827</v>
      </c>
      <c r="R29" s="188"/>
      <c r="S29" s="188" cm="1">
        <f t="array" ref="S29">_xll.BDP($A29&amp;" Index","CHG_PCT_2D")/100</f>
        <v>1.4060379999999999E-2</v>
      </c>
      <c r="T29" s="188" cm="1">
        <f t="array" ref="T29">_xll.BDP($A29&amp;" Index","CHG_PCT_5D")/100</f>
        <v>-9.0275229999999991E-3</v>
      </c>
      <c r="U29" s="188" cm="1">
        <f t="array" ref="U29">K29/_xll.BDP($A29&amp;" Index","HIGH_52WEEK")-1</f>
        <v>-0.11415403456704643</v>
      </c>
      <c r="V29" s="188" cm="1">
        <f t="array" ref="V29">K29/_xll.BDP($A29&amp;" Index","LOW_52WEEK")-1</f>
        <v>0.11349919656060314</v>
      </c>
      <c r="W29" s="188"/>
      <c r="X29" s="192" cm="1">
        <f t="array" ref="X29">_xll.BDP($A29&amp;" Index","RSI_14D")</f>
        <v>45.862870000000001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1.5397329515236842</v>
      </c>
      <c r="AI29" s="196" cm="1">
        <f t="array" ref="AI29">(_xll.BDP(C29&amp;" Equity","SHORT_INT")/_xll.BDP(C29&amp;" Equity","VOLUME_AVG_90D"))</f>
        <v>13.352570887589142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-5.1777701070071513E-3</v>
      </c>
      <c r="AN29" s="194">
        <f ca="1">IF(ISTEXT(B29),AP29/_xll.BDH(B29 &amp;  " Equity","BEST_EPS",$AN$3,$AN$3,"BEST_FPERIOD_OVERRIDE=1BF","CDR=US","Fill=p")-1,"")</f>
        <v>1.9455252918288091E-2</v>
      </c>
      <c r="AO29" s="196">
        <f t="shared" ref="AO29:AO41" ca="1" si="14">G29/AP29</f>
        <v>12.27619708535739</v>
      </c>
      <c r="AP29" s="196" cm="1">
        <f t="array" aca="1" ref="AP29" ca="1">IF(ISTEXT(B29),_xll.BDH(B29 &amp;  " Equity","BEST_EPS",$Q$3,$Q$3,"BEST_FPERIOD_OVERRIDE=1BF","CDR=US","Fill=p"),"")</f>
        <v>2.8820000000000001</v>
      </c>
      <c r="AR29" s="194">
        <f ca="1">IF(ISTEXT(C29),AU29/_xll.BDH(C29 &amp;  " Equity","BEST_EPS",$AM$3,$AM$3,"BEST_FPERIOD_OVERRIDE=1BF","CDR=US","Fill=p")-1,"")</f>
        <v>-1.8817994707438834E-2</v>
      </c>
      <c r="AS29" s="194">
        <f ca="1">IF(ISTEXT(C29),AU29/_xll.BDH(C29 &amp;  " Equity","BEST_EPS",$AN$3,$AN$3,"BEST_FPERIOD_OVERRIDE=1BF","CDR=US","Fill=p")-1,"")</f>
        <v>-3.4851771511207441E-2</v>
      </c>
      <c r="AT29" s="196">
        <f t="shared" ref="AT29:AT41" ca="1" si="15">I29/AU29</f>
        <v>10.091399460593346</v>
      </c>
      <c r="AU29" s="196" cm="1">
        <f t="array" aca="1" ref="AU29" ca="1">IF(ISTEXT(C29),_xll.BDH(C29 &amp;  " Equity","BEST_EPS",$Q$3,$Q$3,"BEST_FPERIOD_OVERRIDE=1BF","CDR=US","Fill=p"),"")</f>
        <v>6.6740000000000004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35.380000000000003</v>
      </c>
      <c r="H30" s="188" cm="1">
        <f t="array" ref="H30">G30/_xll.BDP(B30&amp;" Equity", "PREV_CLOSE_VAL")-1</f>
        <v>-1.5033407572383028E-2</v>
      </c>
      <c r="I30" s="187" cm="1">
        <f t="array" ref="I30">_xll.BDP(C30&amp;" Equity","LAST PRICE")</f>
        <v>72.44</v>
      </c>
      <c r="J30" s="188" cm="1">
        <f t="array" ref="J30">I30/_xll.BDP(C30&amp;" Equity", "PREV_CLOSE_VAL")-1</f>
        <v>-1.8561170573093144E-2</v>
      </c>
      <c r="K30" s="189">
        <f t="shared" si="9"/>
        <v>0.48840419657647716</v>
      </c>
      <c r="L30" s="188" cm="1">
        <f t="array" ref="L30">K30/(_xll.BDP(B30&amp;" Equity", "PREV_CLOSE_VAL")/_xll.BDP(C30&amp;" Equity", "PREV_CLOSE_VAL"))-1</f>
        <v>3.5944807714303195E-3</v>
      </c>
      <c r="M30" s="188"/>
      <c r="N30" s="190">
        <f>ABS(L30/O30)</f>
        <v>0.31061531732749448</v>
      </c>
      <c r="O30" s="191">
        <f>P30/15.87/100</f>
        <v>1.1572129804662887E-2</v>
      </c>
      <c r="P30" s="192" cm="1">
        <f t="array" ref="P30">_xll.BDP($A30&amp;" Index","VOLATILITY_30D")</f>
        <v>18.36497</v>
      </c>
      <c r="Q30" s="192" cm="1">
        <f t="array" aca="1" ref="Q30" ca="1">(_xll.BDP(($B30&amp; " Equity"),"CORR_COEF", "BETA_OVERRIDE_REL_INDEX",($C30&amp; " Equity"),"BETA_OVERRIDE_END_DT",$Q$5,"BETA_OVERRIDE_START_DT",$Q$4))*100</f>
        <v>65.841623054108553</v>
      </c>
      <c r="R30" s="188"/>
      <c r="S30" s="188" cm="1">
        <f t="array" ref="S30">_xll.BDP($A30&amp;" Index","CHG_PCT_2D")/100</f>
        <v>1.220427E-2</v>
      </c>
      <c r="T30" s="188" cm="1">
        <f t="array" ref="T30">_xll.BDP($A30&amp;" Index","CHG_PCT_5D")/100</f>
        <v>1.6496210000000001E-2</v>
      </c>
      <c r="U30" s="188" cm="1">
        <f t="array" ref="U30">K30/_xll.BDP($A30&amp;" Index","HIGH_52WEEK")-1</f>
        <v>-6.3247158355753563E-2</v>
      </c>
      <c r="V30" s="188" cm="1">
        <f t="array" ref="V30">K30/_xll.BDP($A30&amp;" Index","LOW_52WEEK")-1</f>
        <v>0.15743819839438156</v>
      </c>
      <c r="W30" s="188"/>
      <c r="X30" s="192" cm="1">
        <f t="array" ref="X30">_xll.BDP($A30&amp;" Index","RSI_14D")</f>
        <v>57.269010000000002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1.5397329515236842</v>
      </c>
      <c r="AI30" s="196" cm="1">
        <f t="array" ref="AI30">(_xll.BDP(C30&amp;" Equity","SHORT_INT")/_xll.BDP(C30&amp;" Equity","VOLUME_AVG_90D"))</f>
        <v>2.7487956062100123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-5.1777701070071513E-3</v>
      </c>
      <c r="AN30" s="194">
        <f ca="1">IF(ISTEXT(B30),AP30/_xll.BDH(B30 &amp;  " Equity","BEST_EPS",$AN$3,$AN$3,"BEST_FPERIOD_OVERRIDE=1BF","CDR=US","Fill=p")-1,"")</f>
        <v>1.9455252918288091E-2</v>
      </c>
      <c r="AO30" s="196">
        <f t="shared" ca="1" si="14"/>
        <v>12.27619708535739</v>
      </c>
      <c r="AP30" s="196" cm="1">
        <f t="array" aca="1" ref="AP30" ca="1">IF(ISTEXT(B30),_xll.BDH(B30 &amp;  " Equity","BEST_EPS",$Q$3,$Q$3,"BEST_FPERIOD_OVERRIDE=1BF","CDR=US","Fill=p"),"")</f>
        <v>2.8820000000000001</v>
      </c>
      <c r="AR30" s="194">
        <f ca="1">IF(ISTEXT(C30),AU30/_xll.BDH(C30 &amp;  " Equity","BEST_EPS",$AM$3,$AM$3,"BEST_FPERIOD_OVERRIDE=1BF","CDR=US","Fill=p")-1,"")</f>
        <v>1.3992685641596392E-2</v>
      </c>
      <c r="AS30" s="194">
        <f ca="1">IF(ISTEXT(C30),AU30/_xll.BDH(C30 &amp;  " Equity","BEST_EPS",$AN$3,$AN$3,"BEST_FPERIOD_OVERRIDE=1BF","CDR=US","Fill=p")-1,"")</f>
        <v>1.5683814303635302E-4</v>
      </c>
      <c r="AT30" s="196">
        <f t="shared" ca="1" si="15"/>
        <v>11.359573467147561</v>
      </c>
      <c r="AU30" s="196" cm="1">
        <f t="array" aca="1" ref="AU30" ca="1">IF(ISTEXT(C30),_xll.BDH(C30 &amp;  " Equity","BEST_EPS",$Q$3,$Q$3,"BEST_FPERIOD_OVERRIDE=1BF","CDR=US","Fill=p"),"")</f>
        <v>6.3769999999999998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225.53100000000001</v>
      </c>
      <c r="H31" s="188" cm="1">
        <f t="array" ref="H31">G31/_xll.BDP(B31&amp;" Equity", "PREV_CLOSE_VAL")-1</f>
        <v>1.783103168155975E-2</v>
      </c>
      <c r="I31" s="187" cm="1">
        <f t="array" ref="I31">_xll.BDP(C31&amp;" Equity","LAST PRICE")</f>
        <v>619.92999999999995</v>
      </c>
      <c r="J31" s="188" cm="1">
        <f t="array" ref="J31">I31/_xll.BDP(C31&amp;" Equity", "PREV_CLOSE_VAL")-1</f>
        <v>5.9226325696111193E-3</v>
      </c>
      <c r="K31" s="189">
        <f t="shared" si="9"/>
        <v>0.36380075169777237</v>
      </c>
      <c r="L31" s="188" cm="1">
        <f t="array" ref="L31">K31/(_xll.BDP(B31&amp;" Equity", "PREV_CLOSE_VAL")/_xll.BDP(C31&amp;" Equity", "PREV_CLOSE_VAL"))-1</f>
        <v>1.1838285297874895E-2</v>
      </c>
      <c r="M31" s="188"/>
      <c r="N31" s="190">
        <f t="shared" si="10"/>
        <v>0.57747502408207918</v>
      </c>
      <c r="O31" s="191">
        <f>P31/15.87/100</f>
        <v>2.0500081915563961E-2</v>
      </c>
      <c r="P31" s="192" cm="1">
        <f t="array" ref="P31">_xll.BDP($A31&amp;" Index","VOLATILITY_30D")</f>
        <v>32.533630000000002</v>
      </c>
      <c r="Q31" s="192" cm="1">
        <f t="array" aca="1" ref="Q31" ca="1">(_xll.BDP(($B31&amp; " Equity"),"CORR_COEF", "BETA_OVERRIDE_REL_INDEX",($C31&amp; " Equity"),"BETA_OVERRIDE_END_DT",$Q$5,"BETA_OVERRIDE_START_DT",$Q$4))*100</f>
        <v>37.043632157728162</v>
      </c>
      <c r="R31" s="188"/>
      <c r="S31" s="188" cm="1">
        <f t="array" ref="S31">_xll.BDP($A31&amp;" Index","CHG_PCT_2D")/100</f>
        <v>-6.5801560000000002E-3</v>
      </c>
      <c r="T31" s="188" cm="1">
        <f t="array" ref="T31">_xll.BDP($A31&amp;" Index","CHG_PCT_5D")/100</f>
        <v>-4.2714930000000005E-2</v>
      </c>
      <c r="U31" s="188" cm="1">
        <f t="array" ref="U31">K31/_xll.BDP($A31&amp;" Index","HIGH_52WEEK")-1</f>
        <v>-0.4726073096972031</v>
      </c>
      <c r="V31" s="188" cm="1">
        <f t="array" ref="V31">K31/_xll.BDP($A31&amp;" Index","LOW_52WEEK")-1</f>
        <v>1.1850563769740141E-2</v>
      </c>
      <c r="W31" s="188"/>
      <c r="X31" s="192" cm="1">
        <f t="array" ref="X31">_xll.BDP($A31&amp;" Index","RSI_14D")</f>
        <v>25.658390000000001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2.0096369555377578</v>
      </c>
      <c r="AI31" s="196" cm="1">
        <f t="array" ref="AI31">(_xll.BDP(C31&amp;" Equity","SHORT_INT")/_xll.BDP(C31&amp;" Equity","VOLUME_AVG_90D"))</f>
        <v>0.76592628788361405</v>
      </c>
      <c r="AJ31" s="196" cm="1">
        <f t="array" ref="AJ31">(_xll.BDP(B31&amp;" Equity","SHORT_INT"))/((_xll.BDP(B31&amp;" Equity","EQY_FREE_FLOAT_PCT"))*(_xll.BDP(B31&amp;" Equity","EQY_SH_OUT_TOT_MULT_SH")))/100</f>
        <v>1.8450467518064286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1.1660018410555528E-2</v>
      </c>
      <c r="AN31" s="194">
        <f ca="1">IF(ISTEXT(B31),AP31/_xll.BDH(B31 &amp;  " Equity","BEST_EPS",$AN$3,$AN$3,"BEST_FPERIOD_OVERRIDE=1BF","CDR=US","Fill=p")-1,"")</f>
        <v>6.7162971354588041E-2</v>
      </c>
      <c r="AO31" s="196">
        <f t="shared" ca="1" si="14"/>
        <v>17.101228389444948</v>
      </c>
      <c r="AP31" s="196" cm="1">
        <f t="array" aca="1" ref="AP31" ca="1">IF(ISTEXT(B31),_xll.BDH(B31 &amp;  " Equity","BEST_EPS",$Q$3,$Q$3,"BEST_FPERIOD_OVERRIDE=1BF","CDR=US","Fill=p"),"")</f>
        <v>13.188000000000001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225.53100000000001</v>
      </c>
      <c r="H32" s="188" cm="1">
        <f t="array" ref="H32">G32/_xll.BDP(B32&amp;" Equity", "PREV_CLOSE_VAL")-1</f>
        <v>1.783103168155975E-2</v>
      </c>
      <c r="I32" s="187" cm="1">
        <f t="array" ref="I32">_xll.BDP(C32&amp;" Equity","LAST PRICE")</f>
        <v>96.28</v>
      </c>
      <c r="J32" s="188" cm="1">
        <f t="array" ref="J32">I32/_xll.BDP(C32&amp;" Equity", "PREV_CLOSE_VAL")-1</f>
        <v>9.2243186582807724E-3</v>
      </c>
      <c r="K32" s="189">
        <f t="shared" si="9"/>
        <v>2.3424491067719151</v>
      </c>
      <c r="L32" s="188" cm="1">
        <f t="array" ref="L32">K32/(_xll.BDP(B32&amp;" Equity", "PREV_CLOSE_VAL")/_xll.BDP(C32&amp;" Equity", "PREV_CLOSE_VAL"))-1</f>
        <v>8.5280475947320245E-3</v>
      </c>
      <c r="M32" s="188"/>
      <c r="N32" s="190">
        <f t="shared" si="10"/>
        <v>0.575208978796241</v>
      </c>
      <c r="O32" s="191">
        <f t="shared" ref="O32:O55" si="17">P32/15.87/100</f>
        <v>1.4825998739760555E-2</v>
      </c>
      <c r="P32" s="192" cm="1">
        <f t="array" ref="P32">_xll.BDP($A32&amp;" Index","VOLATILITY_30D")</f>
        <v>23.528860000000002</v>
      </c>
      <c r="Q32" s="192" cm="1">
        <f t="array" aca="1" ref="Q32" ca="1">(_xll.BDP(($B32&amp; " Equity"),"CORR_COEF", "BETA_OVERRIDE_REL_INDEX",($C32&amp; " Equity"),"BETA_OVERRIDE_END_DT",$Q$5,"BETA_OVERRIDE_START_DT",$Q$4))*100</f>
        <v>74.063337702038339</v>
      </c>
      <c r="R32" s="188"/>
      <c r="S32" s="188" cm="1">
        <f t="array" ref="S32">_xll.BDP($A32&amp;" Index","CHG_PCT_2D")/100</f>
        <v>1.245429E-2</v>
      </c>
      <c r="T32" s="188" cm="1">
        <f t="array" ref="T32">_xll.BDP($A32&amp;" Index","CHG_PCT_5D")/100</f>
        <v>-7.6092240000000004E-3</v>
      </c>
      <c r="U32" s="188" cm="1">
        <f t="array" ref="U32">K32/_xll.BDP($A32&amp;" Index","HIGH_52WEEK")-1</f>
        <v>-0.31675550055946611</v>
      </c>
      <c r="V32" s="188" cm="1">
        <f t="array" ref="V32">K32/_xll.BDP($A32&amp;" Index","LOW_52WEEK")-1</f>
        <v>0.14364554116086325</v>
      </c>
      <c r="W32" s="188"/>
      <c r="X32" s="192" cm="1">
        <f t="array" ref="X32">_xll.BDP($A32&amp;" Index","RSI_14D")</f>
        <v>40.690730000000002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2.0096369555377578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1.8450467518064286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1.1660018410555528E-2</v>
      </c>
      <c r="AN32" s="194">
        <f ca="1">IF(ISTEXT(B32),AP32/_xll.BDH(B32 &amp;  " Equity","BEST_EPS",$AN$3,$AN$3,"BEST_FPERIOD_OVERRIDE=1BF","CDR=US","Fill=p")-1,"")</f>
        <v>6.7162971354588041E-2</v>
      </c>
      <c r="AO32" s="196">
        <f t="shared" ca="1" si="14"/>
        <v>17.101228389444948</v>
      </c>
      <c r="AP32" s="196" cm="1">
        <f t="array" aca="1" ref="AP32" ca="1">IF(ISTEXT(B32),_xll.BDH(B32 &amp;  " Equity","BEST_EPS",$Q$3,$Q$3,"BEST_FPERIOD_OVERRIDE=1BF","CDR=US","Fill=p"),"")</f>
        <v>13.188000000000001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636.4</v>
      </c>
      <c r="H33" s="188" cm="1">
        <f t="array" ref="H33">G33/_xll.BDP(B33&amp;" Equity", "PREV_CLOSE_VAL")-1</f>
        <v>3.8240668232837338E-2</v>
      </c>
      <c r="I33" s="187" cm="1">
        <f t="array" ref="I33">_xll.BDP(C33&amp;" Equity","LAST PRICE")</f>
        <v>619.92999999999995</v>
      </c>
      <c r="J33" s="188" cm="1">
        <f t="array" ref="J33">I33/_xll.BDP(C33&amp;" Equity", "PREV_CLOSE_VAL")-1</f>
        <v>5.9226325696111193E-3</v>
      </c>
      <c r="K33" s="189">
        <f t="shared" si="9"/>
        <v>1.0265675156872551</v>
      </c>
      <c r="L33" s="188" cm="1">
        <f t="array" ref="L33">K33/(_xll.BDP(B33&amp;" Equity", "PREV_CLOSE_VAL")/_xll.BDP(C33&amp;" Equity", "PREV_CLOSE_VAL"))-1</f>
        <v>3.2127754776398953E-2</v>
      </c>
      <c r="M33" s="188"/>
      <c r="N33" s="190">
        <f t="shared" si="10"/>
        <v>3.1221504857519538</v>
      </c>
      <c r="O33" s="191">
        <f t="shared" si="17"/>
        <v>1.0290264650283553E-2</v>
      </c>
      <c r="P33" s="192" cm="1">
        <f t="array" ref="P33">_xll.BDP($A33&amp;" Index","VOLATILITY_30D")</f>
        <v>16.330649999999999</v>
      </c>
      <c r="Q33" s="192" cm="1">
        <f t="array" aca="1" ref="Q33" ca="1">(_xll.BDP(($B33&amp; " Equity"),"CORR_COEF", "BETA_OVERRIDE_REL_INDEX",($C33&amp; " Equity"),"BETA_OVERRIDE_END_DT",$Q$5,"BETA_OVERRIDE_START_DT",$Q$4))*100</f>
        <v>53.02580869559641</v>
      </c>
      <c r="R33" s="188"/>
      <c r="S33" s="188" cm="1">
        <f t="array" ref="S33">_xll.BDP($A33&amp;" Index","CHG_PCT_2D")/100</f>
        <v>1.096706E-3</v>
      </c>
      <c r="T33" s="188" cm="1">
        <f t="array" ref="T33">_xll.BDP($A33&amp;" Index","CHG_PCT_5D")/100</f>
        <v>-3.819921E-3</v>
      </c>
      <c r="U33" s="188" cm="1">
        <f t="array" ref="U33">K33/_xll.BDP($A33&amp;" Index","HIGH_52WEEK")-1</f>
        <v>-0.25411064761516011</v>
      </c>
      <c r="V33" s="188" cm="1">
        <f t="array" ref="V33">K33/_xll.BDP($A33&amp;" Index","LOW_52WEEK")-1</f>
        <v>4.6908956716251948E-2</v>
      </c>
      <c r="W33" s="188"/>
      <c r="X33" s="192" cm="1">
        <f t="array" ref="X33">_xll.BDP($A33&amp;" Index","RSI_14D")</f>
        <v>31.28819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1.9907508893572208</v>
      </c>
      <c r="AI33" s="196" cm="1">
        <f t="array" ref="AI33">(_xll.BDP(C33&amp;" Equity","SHORT_INT")/_xll.BDP(C33&amp;" Equity","VOLUME_AVG_90D"))</f>
        <v>0.76592628788361405</v>
      </c>
      <c r="AJ33" s="196" cm="1">
        <f t="array" ref="AJ33">(_xll.BDP(B33&amp;" Equity","SHORT_INT"))/((_xll.BDP(B33&amp;" Equity","EQY_FREE_FLOAT_PCT"))*(_xll.BDP(B33&amp;" Equity","EQY_SH_OUT_TOT_MULT_SH")))/100</f>
        <v>1.3150293338585555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2.1512483850614439E-2</v>
      </c>
      <c r="AN33" s="194">
        <f ca="1">IF(ISTEXT(B33),AP33/_xll.BDH(B33 &amp;  " Equity","BEST_EPS",$AN$3,$AN$3,"BEST_FPERIOD_OVERRIDE=1BF","CDR=US","Fill=p")-1,"")</f>
        <v>-1.8759560160466315E-2</v>
      </c>
      <c r="AO33" s="196">
        <f t="shared" ca="1" si="14"/>
        <v>18.718197594046881</v>
      </c>
      <c r="AP33" s="196" cm="1">
        <f t="array" aca="1" ref="AP33" ca="1">IF(ISTEXT(B33),_xll.BDH(B33 &amp;  " Equity","BEST_EPS",$Q$3,$Q$3,"BEST_FPERIOD_OVERRIDE=1BF","CDR=US","Fill=p"),"")</f>
        <v>33.999000000000002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332.44</v>
      </c>
      <c r="H34" s="188" cm="1">
        <f t="array" ref="H34">G34/_xll.BDP(B34&amp;" Equity", "PREV_CLOSE_VAL")-1</f>
        <v>1.9379369557218196E-2</v>
      </c>
      <c r="I34" s="187" cm="1">
        <f t="array" ref="I34">_xll.BDP(C34&amp;" Equity","LAST PRICE")</f>
        <v>403.23</v>
      </c>
      <c r="J34" s="188" cm="1">
        <f t="array" ref="J34">I34/_xll.BDP(C34&amp;" Equity", "PREV_CLOSE_VAL")-1</f>
        <v>3.2343940487149503E-3</v>
      </c>
      <c r="K34" s="189">
        <f t="shared" si="9"/>
        <v>0.8244426257966917</v>
      </c>
      <c r="L34" s="188" cm="1">
        <f t="array" ref="L34">K34/(_xll.BDP(B34&amp;" Equity", "PREV_CLOSE_VAL")/_xll.BDP(C34&amp;" Equity", "PREV_CLOSE_VAL"))-1</f>
        <v>1.6092924648792861E-2</v>
      </c>
      <c r="M34" s="188"/>
      <c r="N34" s="190">
        <f t="shared" si="10"/>
        <v>1.2325268054856913</v>
      </c>
      <c r="O34" s="191">
        <f t="shared" si="17"/>
        <v>1.3056855702583491E-2</v>
      </c>
      <c r="P34" s="192" cm="1">
        <f t="array" ref="P34">_xll.BDP($A34&amp;" Index","VOLATILITY_30D")</f>
        <v>20.721229999999998</v>
      </c>
      <c r="Q34" s="192" cm="1">
        <f t="array" aca="1" ref="Q34" ca="1">(_xll.BDP(($B34&amp; " Equity"),"CORR_COEF", "BETA_OVERRIDE_REL_INDEX",($C34&amp; " Equity"),"BETA_OVERRIDE_END_DT",$Q$5,"BETA_OVERRIDE_START_DT",$Q$4))*100</f>
        <v>80.392661248251883</v>
      </c>
      <c r="R34" s="188"/>
      <c r="S34" s="188" cm="1">
        <f t="array" ref="S34">_xll.BDP($A34&amp;" Index","CHG_PCT_2D")/100</f>
        <v>-3.1793229999999999E-2</v>
      </c>
      <c r="T34" s="188" cm="1">
        <f t="array" ref="T34">_xll.BDP($A34&amp;" Index","CHG_PCT_5D")/100</f>
        <v>-5.8532089999999995E-2</v>
      </c>
      <c r="U34" s="188" cm="1">
        <f t="array" ref="U34">K34/_xll.BDP($A34&amp;" Index","HIGH_52WEEK")-1</f>
        <v>-7.5260082781825055E-2</v>
      </c>
      <c r="V34" s="188" cm="1">
        <f t="array" ref="V34">K34/_xll.BDP($A34&amp;" Index","LOW_52WEEK")-1</f>
        <v>9.4906406274657629E-2</v>
      </c>
      <c r="W34" s="188"/>
      <c r="X34" s="192" cm="1">
        <f t="array" ref="X34">_xll.BDP($A34&amp;" Index","RSI_14D")</f>
        <v>40.880839999999999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1.8251437174141103</v>
      </c>
      <c r="AI34" s="196" cm="1">
        <f t="array" ref="AI34">(_xll.BDP(C34&amp;" Equity","SHORT_INT")/_xll.BDP(C34&amp;" Equity","VOLUME_AVG_90D"))</f>
        <v>1.2322159622398905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0.14533729504847126</v>
      </c>
      <c r="AN34" s="194">
        <f ca="1">IF(ISTEXT(B34),AP34/_xll.BDH(B34 &amp;  " Equity","BEST_EPS",$AN$3,$AN$3,"BEST_FPERIOD_OVERRIDE=1BF","CDR=US","Fill=p")-1,"")</f>
        <v>0.17543778951469768</v>
      </c>
      <c r="AO34" s="196">
        <f t="shared" ca="1" si="14"/>
        <v>0.76524493408498173</v>
      </c>
      <c r="AP34" s="196" cm="1">
        <f t="array" aca="1" ref="AP34" ca="1">IF(ISTEXT(B34),_xll.BDH(B34 &amp;  " Equity","BEST_EPS",$Q$3,$Q$3,"BEST_FPERIOD_OVERRIDE=1BF","CDR=US","Fill=p"),"")</f>
        <v>434.423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185.09</v>
      </c>
      <c r="H35" s="188" cm="1">
        <f t="array" ref="H35">G35/_xll.BDP(B35&amp;" Equity", "PREV_CLOSE_VAL")-1</f>
        <v>9.6552476543749766E-3</v>
      </c>
      <c r="I35" s="187" cm="1">
        <f t="array" ref="I35">_xll.BDP(C35&amp;" Equity","LAST PRICE")</f>
        <v>403.23</v>
      </c>
      <c r="J35" s="188" cm="1">
        <f t="array" ref="J35">I35/_xll.BDP(C35&amp;" Equity", "PREV_CLOSE_VAL")-1</f>
        <v>3.2343940487149503E-3</v>
      </c>
      <c r="K35" s="189">
        <f t="shared" si="9"/>
        <v>0.45901842620836741</v>
      </c>
      <c r="L35" s="188" cm="1">
        <f t="array" ref="L35">K35/(_xll.BDP(B35&amp;" Equity", "PREV_CLOSE_VAL")/_xll.BDP(C35&amp;" Equity", "PREV_CLOSE_VAL"))-1</f>
        <v>6.4001529889217146E-3</v>
      </c>
      <c r="M35" s="188"/>
      <c r="N35" s="190">
        <f t="shared" si="10"/>
        <v>0.48312300551085918</v>
      </c>
      <c r="O35" s="191">
        <f t="shared" si="17"/>
        <v>1.324746061751733E-2</v>
      </c>
      <c r="P35" s="192" cm="1">
        <f t="array" ref="P35">_xll.BDP($A35&amp;" Index","VOLATILITY_30D")</f>
        <v>21.023720000000001</v>
      </c>
      <c r="Q35" s="192" cm="1">
        <f t="array" aca="1" ref="Q35" ca="1">(_xll.BDP(($B35&amp; " Equity"),"CORR_COEF", "BETA_OVERRIDE_REL_INDEX",($C35&amp; " Equity"),"BETA_OVERRIDE_END_DT",$Q$5,"BETA_OVERRIDE_START_DT",$Q$4))*100</f>
        <v>58.7699833133412</v>
      </c>
      <c r="R35" s="188"/>
      <c r="S35" s="188" cm="1">
        <f t="array" ref="S35">_xll.BDP($A35&amp;" Index","CHG_PCT_2D")/100</f>
        <v>-7.366262999999999E-5</v>
      </c>
      <c r="T35" s="188" cm="1">
        <f t="array" ref="T35">_xll.BDP($A35&amp;" Index","CHG_PCT_5D")/100</f>
        <v>-3.3399529999999997E-2</v>
      </c>
      <c r="U35" s="188" cm="1">
        <f t="array" ref="U35">K35/_xll.BDP($A35&amp;" Index","HIGH_52WEEK")-1</f>
        <v>-0.26673201455555617</v>
      </c>
      <c r="V35" s="188" cm="1">
        <f t="array" ref="V35">K35/_xll.BDP($A35&amp;" Index","LOW_52WEEK")-1</f>
        <v>6.3986542608363006E-3</v>
      </c>
      <c r="W35" s="188"/>
      <c r="X35" s="192" cm="1">
        <f t="array" ref="X35">_xll.BDP($A35&amp;" Index","RSI_14D")</f>
        <v>25.790230000000001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1.4012142764650422</v>
      </c>
      <c r="AI35" s="196" cm="1">
        <f t="array" ref="AI35">(_xll.BDP(C35&amp;" Equity","SHORT_INT")/_xll.BDP(C35&amp;" Equity","VOLUME_AVG_90D"))</f>
        <v>1.2322159622398905</v>
      </c>
      <c r="AJ35" s="196" cm="1">
        <f t="array" ref="AJ35">(_xll.BDP(B35&amp;" Equity","SHORT_INT"))/((_xll.BDP(B35&amp;" Equity","EQY_FREE_FLOAT_PCT"))*(_xll.BDP(B35&amp;" Equity","EQY_SH_OUT_TOT_MULT_SH")))/100</f>
        <v>1.0985587192214339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4.0880076055955339E-2</v>
      </c>
      <c r="AN35" s="194">
        <f ca="1">IF(ISTEXT(B35),AP35/_xll.BDH(B35 &amp;  " Equity","BEST_EPS",$AN$3,$AN$3,"BEST_FPERIOD_OVERRIDE=1BF","CDR=US","Fill=p")-1,"")</f>
        <v>0.2930656318542264</v>
      </c>
      <c r="AO35" s="196">
        <f t="shared" ca="1" si="14"/>
        <v>24.150574112734866</v>
      </c>
      <c r="AP35" s="196" cm="1">
        <f t="array" aca="1" ref="AP35" ca="1">IF(ISTEXT(B35),_xll.BDH(B35 &amp;  " Equity","BEST_EPS",$Q$3,$Q$3,"BEST_FPERIOD_OVERRIDE=1BF","CDR=US","Fill=p"),"")</f>
        <v>7.6639999999999997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330.52</v>
      </c>
      <c r="H36" s="188" cm="1">
        <f t="array" ref="H36">G36/_xll.BDP(B36&amp;" Equity", "PREV_CLOSE_VAL")-1</f>
        <v>5.231143552311357E-3</v>
      </c>
      <c r="I36" s="187" cm="1">
        <f t="array" ref="I36">_xll.BDP(C36&amp;" Equity","LAST PRICE")</f>
        <v>403.23</v>
      </c>
      <c r="J36" s="188" cm="1">
        <f t="array" ref="J36">I36/_xll.BDP(C36&amp;" Equity", "PREV_CLOSE_VAL")-1</f>
        <v>3.2343940487149503E-3</v>
      </c>
      <c r="K36" s="189">
        <f t="shared" si="9"/>
        <v>0.81968107531681667</v>
      </c>
      <c r="L36" s="188" cm="1">
        <f t="array" ref="L36">K36/(_xll.BDP(B36&amp;" Equity", "PREV_CLOSE_VAL")/_xll.BDP(C36&amp;" Equity", "PREV_CLOSE_VAL"))-1</f>
        <v>1.9903120501463256E-3</v>
      </c>
      <c r="M36" s="188"/>
      <c r="N36" s="190">
        <f t="shared" si="10"/>
        <v>8.9119858101818578E-2</v>
      </c>
      <c r="O36" s="191">
        <f t="shared" si="17"/>
        <v>2.2332980466288593E-2</v>
      </c>
      <c r="P36" s="192" cm="1">
        <f t="array" ref="P36">_xll.BDP($A36&amp;" Index","VOLATILITY_30D")</f>
        <v>35.442439999999998</v>
      </c>
      <c r="Q36" s="192" cm="1">
        <f t="array" aca="1" ref="Q36" ca="1">(_xll.BDP(($B36&amp; " Equity"),"CORR_COEF", "BETA_OVERRIDE_REL_INDEX",($C36&amp; " Equity"),"BETA_OVERRIDE_END_DT",$Q$5,"BETA_OVERRIDE_START_DT",$Q$4))*100</f>
        <v>60.540411683515806</v>
      </c>
      <c r="R36" s="188"/>
      <c r="S36" s="188" cm="1">
        <f t="array" ref="S36">_xll.BDP($A36&amp;" Index","CHG_PCT_2D")/100</f>
        <v>-3.9811920000000001E-2</v>
      </c>
      <c r="T36" s="188" cm="1">
        <f t="array" ref="T36">_xll.BDP($A36&amp;" Index","CHG_PCT_5D")/100</f>
        <v>-5.4623039999999998E-2</v>
      </c>
      <c r="U36" s="188" cm="1">
        <f t="array" ref="U36">K36/_xll.BDP($A36&amp;" Index","HIGH_52WEEK")-1</f>
        <v>-0.3327789374710487</v>
      </c>
      <c r="V36" s="188" cm="1">
        <f t="array" ref="V36">K36/_xll.BDP($A36&amp;" Index","LOW_52WEEK")-1</f>
        <v>4.0878075044529671E-2</v>
      </c>
      <c r="W36" s="188"/>
      <c r="X36" s="192" cm="1">
        <f t="array" ref="X36">_xll.BDP($A36&amp;" Index","RSI_14D")</f>
        <v>25.250889999999998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2.0103949259595857</v>
      </c>
      <c r="AI36" s="196" cm="1">
        <f t="array" ref="AI36">(_xll.BDP(C36&amp;" Equity","SHORT_INT")/_xll.BDP(C36&amp;" Equity","VOLUME_AVG_90D"))</f>
        <v>1.2322159622398905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4.3743448012961039E-2</v>
      </c>
      <c r="AN36" s="194">
        <f ca="1">IF(ISTEXT(B36),AP36/_xll.BDH(B36 &amp;  " Equity","BEST_EPS",$AN$3,$AN$3,"BEST_FPERIOD_OVERRIDE=1BF","CDR=US","Fill=p")-1,"")</f>
        <v>0.18131808866357457</v>
      </c>
      <c r="AO36" s="196">
        <f t="shared" ca="1" si="14"/>
        <v>30.178962746530313</v>
      </c>
      <c r="AP36" s="196" cm="1">
        <f t="array" aca="1" ref="AP36" ca="1">IF(ISTEXT(B36),_xll.BDH(B36 &amp;  " Equity","BEST_EPS",$Q$3,$Q$3,"BEST_FPERIOD_OVERRIDE=1BF","CDR=US","Fill=p"),"")</f>
        <v>10.952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84.34</v>
      </c>
      <c r="H37" s="188" cm="1">
        <f t="array" ref="H37">G37/_xll.BDP(B37&amp;" Equity", "PREV_CLOSE_VAL")-1</f>
        <v>2.1683827983040693E-2</v>
      </c>
      <c r="I37" s="187" cm="1">
        <f t="array" ref="I37">_xll.BDP(C37&amp;" Equity","LAST PRICE")</f>
        <v>403.23</v>
      </c>
      <c r="J37" s="188" cm="1">
        <f t="array" ref="J37">I37/_xll.BDP(C37&amp;" Equity", "PREV_CLOSE_VAL")-1</f>
        <v>3.2343940487149503E-3</v>
      </c>
      <c r="K37" s="189">
        <f t="shared" si="9"/>
        <v>0.20916102472534284</v>
      </c>
      <c r="L37" s="188" cm="1">
        <f t="array" ref="L37">K37/(_xll.BDP(B37&amp;" Equity", "PREV_CLOSE_VAL")/_xll.BDP(C37&amp;" Equity", "PREV_CLOSE_VAL"))-1</f>
        <v>1.8389953577917062E-2</v>
      </c>
      <c r="M37" s="188"/>
      <c r="N37" s="190">
        <f t="shared" si="10"/>
        <v>0.96175679999032393</v>
      </c>
      <c r="O37" s="191">
        <f t="shared" si="17"/>
        <v>1.9121209829867675E-2</v>
      </c>
      <c r="P37" s="192" cm="1">
        <f t="array" ref="P37">_xll.BDP($A37&amp;" Index","VOLATILITY_30D")</f>
        <v>30.345359999999999</v>
      </c>
      <c r="Q37" s="192" cm="1">
        <f t="array" aca="1" ref="Q37" ca="1">(_xll.BDP(($B37&amp; " Equity"),"CORR_COEF", "BETA_OVERRIDE_REL_INDEX",($C37&amp; " Equity"),"BETA_OVERRIDE_END_DT",$Q$5,"BETA_OVERRIDE_START_DT",$Q$4))*100</f>
        <v>68.40041746905554</v>
      </c>
      <c r="R37" s="188"/>
      <c r="S37" s="188" cm="1">
        <f t="array" ref="S37">_xll.BDP($A37&amp;" Index","CHG_PCT_2D")/100</f>
        <v>4.7404489999999999E-3</v>
      </c>
      <c r="T37" s="188" cm="1">
        <f t="array" ref="T37">_xll.BDP($A37&amp;" Index","CHG_PCT_5D")/100</f>
        <v>1.287223E-2</v>
      </c>
      <c r="U37" s="188" cm="1">
        <f t="array" ref="U37">K37/_xll.BDP($A37&amp;" Index","HIGH_52WEEK")-1</f>
        <v>-0.56436584940465528</v>
      </c>
      <c r="V37" s="188" cm="1">
        <f t="array" ref="V37">K37/_xll.BDP($A37&amp;" Index","LOW_52WEEK")-1</f>
        <v>4.0861033716560691E-2</v>
      </c>
      <c r="W37" s="188"/>
      <c r="X37" s="192" cm="1">
        <f t="array" ref="X37">_xll.BDP($A37&amp;" Index","RSI_14D")</f>
        <v>29.52664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2.0905135986561123</v>
      </c>
      <c r="AI37" s="196" cm="1">
        <f t="array" ref="AI37">(_xll.BDP(C37&amp;" Equity","SHORT_INT")/_xll.BDP(C37&amp;" Equity","VOLUME_AVG_90D"))</f>
        <v>1.2322159622398905</v>
      </c>
      <c r="AJ37" s="196" cm="1">
        <f t="array" ref="AJ37">(_xll.BDP(B37&amp;" Equity","SHORT_INT"))/((_xll.BDP(B37&amp;" Equity","EQY_FREE_FLOAT_PCT"))*(_xll.BDP(B37&amp;" Equity","EQY_SH_OUT_TOT_MULT_SH")))/100</f>
        <v>4.5786413349114348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1.9142857142857128E-2</v>
      </c>
      <c r="AN37" s="194">
        <f ca="1">IF(ISTEXT(B37),AP37/_xll.BDH(B37 &amp;  " Equity","BEST_EPS",$AN$3,$AN$3,"BEST_FPERIOD_OVERRIDE=1BF","CDR=US","Fill=p")-1,"")</f>
        <v>0.10604651162790701</v>
      </c>
      <c r="AO37" s="196">
        <f t="shared" ca="1" si="14"/>
        <v>23.644519203812727</v>
      </c>
      <c r="AP37" s="196" cm="1">
        <f t="array" aca="1" ref="AP37" ca="1">IF(ISTEXT(B37),_xll.BDH(B37 &amp;  " Equity","BEST_EPS",$Q$3,$Q$3,"BEST_FPERIOD_OVERRIDE=1BF","CDR=US","Fill=p"),"")</f>
        <v>3.5670000000000002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525.91999999999996</v>
      </c>
      <c r="H38" s="188" cm="1">
        <f t="array" ref="H38">G38/_xll.BDP(B38&amp;" Equity", "PREV_CLOSE_VAL")-1</f>
        <v>-3.1275470553672191E-3</v>
      </c>
      <c r="I38" s="187" cm="1">
        <f t="array" ref="I38">_xll.BDP(C38&amp;" Equity","LAST PRICE")</f>
        <v>200.30500000000001</v>
      </c>
      <c r="J38" s="188" cm="1">
        <f t="array" ref="J38">I38/_xll.BDP(C38&amp;" Equity", "PREV_CLOSE_VAL")-1</f>
        <v>4.5386158475426708E-3</v>
      </c>
      <c r="K38" s="189">
        <f t="shared" si="9"/>
        <v>2.6255959661516184</v>
      </c>
      <c r="L38" s="188" cm="1">
        <f t="array" ref="L38">K38/(_xll.BDP(B38&amp;" Equity", "PREV_CLOSE_VAL")/_xll.BDP(C38&amp;" Equity", "PREV_CLOSE_VAL"))-1</f>
        <v>-7.6315263365379638E-3</v>
      </c>
      <c r="M38" s="188"/>
      <c r="N38" s="190">
        <f t="shared" si="10"/>
        <v>0.54590535099971416</v>
      </c>
      <c r="O38" s="191">
        <f t="shared" si="17"/>
        <v>1.397957781978576E-2</v>
      </c>
      <c r="P38" s="192" cm="1">
        <f t="array" ref="P38">_xll.BDP($A38&amp;" Index","VOLATILITY_30D")</f>
        <v>22.185590000000001</v>
      </c>
      <c r="Q38" s="192" cm="1">
        <f t="array" aca="1" ref="Q38" ca="1">(_xll.BDP(($B38&amp; " Equity"),"CORR_COEF", "BETA_OVERRIDE_REL_INDEX",($C38&amp; " Equity"),"BETA_OVERRIDE_END_DT",$Q$5,"BETA_OVERRIDE_START_DT",$Q$4))*100</f>
        <v>65.192120719041881</v>
      </c>
      <c r="R38" s="188"/>
      <c r="S38" s="188" cm="1">
        <f t="array" ref="S38">_xll.BDP($A38&amp;" Index","CHG_PCT_2D")/100</f>
        <v>-2.4360469999999999E-2</v>
      </c>
      <c r="T38" s="188" cm="1">
        <f t="array" ref="T38">_xll.BDP($A38&amp;" Index","CHG_PCT_5D")/100</f>
        <v>-2.7008359999999999E-2</v>
      </c>
      <c r="U38" s="188" cm="1">
        <f t="array" ref="U38">K38/_xll.BDP($A38&amp;" Index","HIGH_52WEEK")-1</f>
        <v>-0.20895769828763355</v>
      </c>
      <c r="V38" s="188" cm="1">
        <f t="array" ref="V38">K38/_xll.BDP($A38&amp;" Index","LOW_52WEEK")-1</f>
        <v>-7.6325157508273511E-3</v>
      </c>
      <c r="W38" s="188"/>
      <c r="X38" s="192" cm="1">
        <f t="array" ref="X38">_xll.BDP($A38&amp;" Index","RSI_14D")</f>
        <v>20.956289999999999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2.2429151912338465</v>
      </c>
      <c r="AI38" s="196" cm="1">
        <f t="array" ref="AI38">(_xll.BDP(C38&amp;" Equity","SHORT_INT")/_xll.BDP(C38&amp;" Equity","VOLUME_AVG_90D"))</f>
        <v>3.0921972390171355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1.3325638738786116E-2</v>
      </c>
      <c r="AN38" s="194">
        <f ca="1">IF(ISTEXT(B38),AP38/_xll.BDH(B38 &amp;  " Equity","BEST_EPS",$AN$3,$AN$3,"BEST_FPERIOD_OVERRIDE=1BF","CDR=US","Fill=p")-1,"")</f>
        <v>4.5297110076848224E-2</v>
      </c>
      <c r="AO38" s="196">
        <f t="shared" ca="1" si="14"/>
        <v>27.228578824747601</v>
      </c>
      <c r="AP38" s="196" cm="1">
        <f t="array" aca="1" ref="AP38" ca="1">IF(ISTEXT(B38),_xll.BDH(B38 &amp;  " Equity","BEST_EPS",$Q$3,$Q$3,"BEST_FPERIOD_OVERRIDE=1BF","CDR=US","Fill=p"),"")</f>
        <v>19.315000000000001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325.61</v>
      </c>
      <c r="H39" s="188" cm="1">
        <f t="array" ref="H39">G39/_xll.BDP(B39&amp;" Equity", "PREV_CLOSE_VAL")-1</f>
        <v>1.0145105755043904E-3</v>
      </c>
      <c r="I39" s="187" cm="1">
        <f t="array" ref="I39">_xll.BDP(C39&amp;" Equity","LAST PRICE")</f>
        <v>200.30500000000001</v>
      </c>
      <c r="J39" s="188" cm="1">
        <f t="array" ref="J39">I39/_xll.BDP(C39&amp;" Equity", "PREV_CLOSE_VAL")-1</f>
        <v>4.5386158475426708E-3</v>
      </c>
      <c r="K39" s="189">
        <f t="shared" si="9"/>
        <v>1.6255710042185667</v>
      </c>
      <c r="L39" s="188" cm="1">
        <f t="array" ref="L39">K39/(_xll.BDP(B39&amp;" Equity", "PREV_CLOSE_VAL")/_xll.BDP(C39&amp;" Equity", "PREV_CLOSE_VAL"))-1</f>
        <v>-3.5081829771820283E-3</v>
      </c>
      <c r="M39" s="188"/>
      <c r="N39" s="190">
        <f t="shared" si="10"/>
        <v>0.21630823911211727</v>
      </c>
      <c r="O39" s="191">
        <f>P39/15.87/100</f>
        <v>1.6218443604284812E-2</v>
      </c>
      <c r="P39" s="192" cm="1">
        <f t="array" ref="P39">_xll.BDP($A39&amp;" Index","VOLATILITY_30D")</f>
        <v>25.738669999999999</v>
      </c>
      <c r="Q39" s="192" cm="1">
        <f t="array" aca="1" ref="Q39" ca="1">(_xll.BDP(($B39&amp; " Equity"),"CORR_COEF", "BETA_OVERRIDE_REL_INDEX",($C39&amp; " Equity"),"BETA_OVERRIDE_END_DT",$Q$5,"BETA_OVERRIDE_START_DT",$Q$4))*100</f>
        <v>46.701682817824924</v>
      </c>
      <c r="R39" s="188"/>
      <c r="S39" s="188" cm="1">
        <f t="array" ref="S39">_xll.BDP($A39&amp;" Index","CHG_PCT_2D")/100</f>
        <v>-1.8282220000000002E-2</v>
      </c>
      <c r="T39" s="188" cm="1">
        <f t="array" ref="T39">_xll.BDP($A39&amp;" Index","CHG_PCT_5D")/100</f>
        <v>-6.7421149999999999E-3</v>
      </c>
      <c r="U39" s="188" cm="1">
        <f t="array" ref="U39">K39/_xll.BDP($A39&amp;" Index","HIGH_52WEEK")-1</f>
        <v>-0.22011398925403514</v>
      </c>
      <c r="V39" s="188" cm="1">
        <f t="array" ref="V39">K39/_xll.BDP($A39&amp;" Index","LOW_52WEEK")-1</f>
        <v>-3.5058118307800257E-3</v>
      </c>
      <c r="W39" s="188"/>
      <c r="X39" s="192" cm="1">
        <f t="array" ref="X39">_xll.BDP($A39&amp;" Index","RSI_14D")</f>
        <v>26.57685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3.5253910958310199</v>
      </c>
      <c r="AI39" s="196" cm="1">
        <f t="array" ref="AI39">(_xll.BDP(C39&amp;" Equity","SHORT_INT")/_xll.BDP(C39&amp;" Equity","VOLUME_AVG_90D"))</f>
        <v>3.0921972390171355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1.0553488725229654E-2</v>
      </c>
      <c r="AN39" s="194">
        <f ca="1">IF(ISTEXT(B39),AP39/_xll.BDH(B39 &amp;  " Equity","BEST_EPS",$AN$3,$AN$3,"BEST_FPERIOD_OVERRIDE=1BF","CDR=US","Fill=p")-1,"")</f>
        <v>2.8514025191252568E-2</v>
      </c>
      <c r="AO39" s="196">
        <f t="shared" ca="1" si="14"/>
        <v>24.463561232156273</v>
      </c>
      <c r="AP39" s="196" cm="1">
        <f t="array" aca="1" ref="AP39" ca="1">IF(ISTEXT(B39),_xll.BDH(B39 &amp;  " Equity","BEST_EPS",$Q$3,$Q$3,"BEST_FPERIOD_OVERRIDE=1BF","CDR=US","Fill=p"),"")</f>
        <v>13.31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525.91999999999996</v>
      </c>
      <c r="H40" s="188" cm="1">
        <f t="array" ref="H40">G40/_xll.BDP(B40&amp;" Equity", "PREV_CLOSE_VAL")-1</f>
        <v>-3.1275470553672191E-3</v>
      </c>
      <c r="I40" s="187" cm="1">
        <f t="array" ref="I40">_xll.BDP(C40&amp;" Equity","LAST PRICE")</f>
        <v>325.61</v>
      </c>
      <c r="J40" s="188" cm="1">
        <f t="array" ref="J40">I40/_xll.BDP(C40&amp;" Equity", "PREV_CLOSE_VAL")-1</f>
        <v>1.0145105755043904E-3</v>
      </c>
      <c r="K40" s="189">
        <f t="shared" si="9"/>
        <v>1.6151838088510793</v>
      </c>
      <c r="L40" s="188" cm="1">
        <f t="array" ref="L40">K40/(_xll.BDP(B40&amp;" Equity", "PREV_CLOSE_VAL")/_xll.BDP(C40&amp;" Equity", "PREV_CLOSE_VAL"))-1</f>
        <v>-4.1378597284170704E-3</v>
      </c>
      <c r="M40" s="188"/>
      <c r="N40" s="190">
        <f t="shared" si="10"/>
        <v>0.70153902344703556</v>
      </c>
      <c r="O40" s="191">
        <f>P40/15.87/100</f>
        <v>5.8982602394454945E-3</v>
      </c>
      <c r="P40" s="192" cm="1">
        <f t="array" ref="P40">_xll.BDP($A40&amp;" Index","VOLATILITY_30D")</f>
        <v>9.3605389999999993</v>
      </c>
      <c r="Q40" s="192" cm="1">
        <f t="array" aca="1" ref="Q40" ca="1">(_xll.BDP(($B40&amp; " Equity"),"CORR_COEF", "BETA_OVERRIDE_REL_INDEX",($C40&amp; " Equity"),"BETA_OVERRIDE_END_DT",$Q$5,"BETA_OVERRIDE_START_DT",$Q$4))*100</f>
        <v>88.182420370506406</v>
      </c>
      <c r="R40" s="188"/>
      <c r="S40" s="188" cm="1">
        <f t="array" ref="S40">_xll.BDP($A40&amp;" Index","CHG_PCT_2D")/100</f>
        <v>-6.1978979999999994E-3</v>
      </c>
      <c r="T40" s="188" cm="1">
        <f t="array" ref="T40">_xll.BDP($A40&amp;" Index","CHG_PCT_5D")/100</f>
        <v>-2.0410309999999997E-2</v>
      </c>
      <c r="U40" s="188" cm="1">
        <f t="array" ref="U40">K40/_xll.BDP($A40&amp;" Index","HIGH_52WEEK")-1</f>
        <v>-6.7957062320852191E-2</v>
      </c>
      <c r="V40" s="188" cm="1">
        <f t="array" ref="V40">K40/_xll.BDP($A40&amp;" Index","LOW_52WEEK")-1</f>
        <v>5.6428310921557978E-2</v>
      </c>
      <c r="W40" s="188"/>
      <c r="X40" s="192" cm="1">
        <f t="array" ref="X40">_xll.BDP($A40&amp;" Index","RSI_14D")</f>
        <v>41.328209999999999</v>
      </c>
      <c r="Y40" s="193">
        <v>1.67</v>
      </c>
      <c r="Z40" s="188">
        <f t="shared" si="11"/>
        <v>3.3938051414663883E-2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2.2429151912338465</v>
      </c>
      <c r="AI40" s="196" cm="1">
        <f t="array" ref="AI40">(_xll.BDP(C40&amp;" Equity","SHORT_INT")/_xll.BDP(C40&amp;" Equity","VOLUME_AVG_90D"))</f>
        <v>3.5253910958310199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1.3325638738786116E-2</v>
      </c>
      <c r="AN40" s="194">
        <f ca="1">IF(ISTEXT(B40),AP40/_xll.BDH(B40 &amp;  " Equity","BEST_EPS",$AN$3,$AN$3,"BEST_FPERIOD_OVERRIDE=1BF","CDR=US","Fill=p")-1,"")</f>
        <v>4.5297110076848224E-2</v>
      </c>
      <c r="AO40" s="196">
        <f t="shared" ca="1" si="14"/>
        <v>27.228578824747601</v>
      </c>
      <c r="AP40" s="196" cm="1">
        <f t="array" aca="1" ref="AP40" ca="1">IF(ISTEXT(B40),_xll.BDH(B40 &amp;  " Equity","BEST_EPS",$Q$3,$Q$3,"BEST_FPERIOD_OVERRIDE=1BF","CDR=US","Fill=p"),"")</f>
        <v>19.315000000000001</v>
      </c>
      <c r="AR40" s="194">
        <f ca="1">IF(ISTEXT(C40),AU40/_xll.BDH(C40 &amp;  " Equity","BEST_EPS",$AM$3,$AM$3,"BEST_FPERIOD_OVERRIDE=1BF","CDR=US","Fill=p")-1,"")</f>
        <v>1.0553488725229654E-2</v>
      </c>
      <c r="AS40" s="194">
        <f ca="1">IF(ISTEXT(C40),AU40/_xll.BDH(C40 &amp;  " Equity","BEST_EPS",$AN$3,$AN$3,"BEST_FPERIOD_OVERRIDE=1BF","CDR=US","Fill=p")-1,"")</f>
        <v>2.8514025191252568E-2</v>
      </c>
      <c r="AT40" s="196">
        <f t="shared" ca="1" si="15"/>
        <v>24.463561232156273</v>
      </c>
      <c r="AU40" s="196" cm="1">
        <f t="array" aca="1" ref="AU40" ca="1">IF(ISTEXT(C40),_xll.BDH(C40 &amp;  " Equity","BEST_EPS",$Q$3,$Q$3,"BEST_FPERIOD_OVERRIDE=1BF","CDR=US","Fill=p"),"")</f>
        <v>13.31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218.33</v>
      </c>
      <c r="H41" s="188" cm="1">
        <f t="array" ref="H41">G41/_xll.BDP(B41&amp;" Equity", "PREV_CLOSE_VAL")-1</f>
        <v>-5.1036682615629436E-3</v>
      </c>
      <c r="I41" s="187" cm="1">
        <f t="array" ref="I41">_xll.BDP(C41&amp;" Equity","LAST PRICE")</f>
        <v>619.92999999999995</v>
      </c>
      <c r="J41" s="188" cm="1">
        <f t="array" ref="J41">I41/_xll.BDP(C41&amp;" Equity", "PREV_CLOSE_VAL")-1</f>
        <v>5.9226325696111193E-3</v>
      </c>
      <c r="K41" s="189">
        <f t="shared" si="9"/>
        <v>0.35218492410433438</v>
      </c>
      <c r="L41" s="188" cm="1">
        <f t="array" ref="L41">K41/(_xll.BDP(B41&amp;" Equity", "PREV_CLOSE_VAL")/_xll.BDP(C41&amp;" Equity", "PREV_CLOSE_VAL"))-1</f>
        <v>-1.0961380601416382E-2</v>
      </c>
      <c r="M41" s="188"/>
      <c r="N41" s="190">
        <f t="shared" si="10"/>
        <v>0.8500042517750801</v>
      </c>
      <c r="O41" s="191">
        <f t="shared" si="17"/>
        <v>1.2895677378701955E-2</v>
      </c>
      <c r="P41" s="192" cm="1">
        <f t="array" ref="P41">_xll.BDP($A41&amp;" Index","VOLATILITY_30D")</f>
        <v>20.465440000000001</v>
      </c>
      <c r="Q41" s="192" cm="1">
        <f t="array" aca="1" ref="Q41" ca="1">(_xll.BDP(($B41&amp; " Equity"),"CORR_COEF", "BETA_OVERRIDE_REL_INDEX",($C41&amp; " Equity"),"BETA_OVERRIDE_END_DT",$Q$5,"BETA_OVERRIDE_START_DT",$Q$4))*100</f>
        <v>49.608440000000002</v>
      </c>
      <c r="R41" s="188"/>
      <c r="S41" s="188" cm="1">
        <f t="array" ref="S41">_xll.BDP($A41&amp;" Index","CHG_PCT_2D")/100</f>
        <v>7.5852939999999989E-4</v>
      </c>
      <c r="T41" s="188" cm="1">
        <f t="array" ref="T41">_xll.BDP($A41&amp;" Index","CHG_PCT_5D")/100</f>
        <v>1.3548230000000001E-2</v>
      </c>
      <c r="U41" s="188" cm="1">
        <f t="array" ref="U41">K41/_xll.BDP($A41&amp;" Index","HIGH_52WEEK")-1</f>
        <v>-5.8782072520352835E-2</v>
      </c>
      <c r="V41" s="188" cm="1">
        <f t="array" ref="V41">K41/_xll.BDP($A41&amp;" Index","LOW_52WEEK")-1</f>
        <v>0.30434029889387215</v>
      </c>
      <c r="W41" s="188"/>
      <c r="X41" s="192" cm="1">
        <f t="array" ref="X41">_xll.BDP($A41&amp;" Index","RSI_14D")</f>
        <v>67.076840000000004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0.76592628788361405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-3.1744967193142459E-3</v>
      </c>
      <c r="AN41" s="194">
        <f ca="1">IF(ISTEXT(B41),AP41/_xll.BDH(B41 &amp;  " Equity","BEST_EPS",$AN$3,$AN$3,"BEST_FPERIOD_OVERRIDE=1BF","CDR=US","Fill=p")-1,"")</f>
        <v>5.4087916504142797E-2</v>
      </c>
      <c r="AO41" s="196">
        <f t="shared" ca="1" si="14"/>
        <v>24.482221150719344</v>
      </c>
      <c r="AP41" s="196" cm="1">
        <f t="array" aca="1" ref="AP41" ca="1">IF(ISTEXT(B41),_xll.BDH(B41 &amp;  " Equity","BEST_EPS",$Q$3,$Q$3,"BEST_FPERIOD_OVERRIDE=1BF","CDR=US","Fill=p"),"")</f>
        <v>8.9178999999999995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218.33</v>
      </c>
      <c r="H42" s="188" cm="1">
        <f t="array" ref="H42">G42/_xll.BDP(B42&amp;" Equity", "PREV_CLOSE_VAL")-1</f>
        <v>-5.1036682615629436E-3</v>
      </c>
      <c r="I42" s="187" cm="1">
        <f t="array" ref="I42">_xll.BDP(C42&amp;" Equity","LAST PRICE")</f>
        <v>42.9298</v>
      </c>
      <c r="J42" s="188" cm="1">
        <f t="array" ref="J42">I42/_xll.BDP(C42&amp;" Equity", "PREV_CLOSE_VAL")-1</f>
        <v>-2.0966992096700388E-3</v>
      </c>
      <c r="K42" s="189">
        <f t="shared" ref="K42:K55" si="18">G42/I42</f>
        <v>5.0857446342633787</v>
      </c>
      <c r="L42" s="188" cm="1">
        <f t="array" ref="L42">K42/(_xll.BDP(B42&amp;" Equity", "PREV_CLOSE_VAL")/_xll.BDP(C42&amp;" Equity", "PREV_CLOSE_VAL"))-1</f>
        <v>-3.0132870083819929E-3</v>
      </c>
      <c r="M42" s="188"/>
      <c r="N42" s="190">
        <f t="shared" ref="N42:N55" si="19">ABS(L42/O42)</f>
        <v>0.20367149269518367</v>
      </c>
      <c r="O42" s="191">
        <f t="shared" si="17"/>
        <v>1.47948393194707E-2</v>
      </c>
      <c r="P42" s="192" cm="1">
        <f t="array" ref="P42">_xll.BDP($A42&amp;" Index","VOLATILITY_30D")</f>
        <v>23.479410000000001</v>
      </c>
      <c r="Q42" s="192" cm="1">
        <f t="array" aca="1" ref="Q42" ca="1">(_xll.BDP(($B42&amp; " Equity"),"CORR_COEF", "BETA_OVERRIDE_REL_INDEX",($C42&amp; " Equity"),"BETA_OVERRIDE_END_DT",$Q$5,"BETA_OVERRIDE_START_DT",$Q$4))*100</f>
        <v>61.180230000000002</v>
      </c>
      <c r="R42" s="188"/>
      <c r="S42" s="188" cm="1">
        <f t="array" ref="S42">_xll.BDP($A42&amp;" Index","CHG_PCT_2D")/100</f>
        <v>1.286795E-2</v>
      </c>
      <c r="T42" s="188" cm="1">
        <f t="array" ref="T42">_xll.BDP($A42&amp;" Index","CHG_PCT_5D")/100</f>
        <v>1.8355929999999999E-2</v>
      </c>
      <c r="U42" s="188" cm="1">
        <f t="array" ref="U42">K42/_xll.BDP($A42&amp;" Index","HIGH_52WEEK")-1</f>
        <v>-3.0141156719741824E-3</v>
      </c>
      <c r="V42" s="188" cm="1">
        <f t="array" ref="V42">K42/_xll.BDP($A42&amp;" Index","LOW_52WEEK")-1</f>
        <v>0.55395249123478463</v>
      </c>
      <c r="W42" s="188"/>
      <c r="X42" s="192" cm="1">
        <f t="array" ref="X42">_xll.BDP($A42&amp;" Index","RSI_14D")</f>
        <v>64.551770000000005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1.1116985743182555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-3.1744967193142459E-3</v>
      </c>
      <c r="AN42" s="194">
        <f ca="1">IF(ISTEXT(B42),AP42/_xll.BDH(B42 &amp;  " Equity","BEST_EPS",$AN$3,$AN$3,"BEST_FPERIOD_OVERRIDE=1BF","CDR=US","Fill=p")-1,"")</f>
        <v>5.4087916504142797E-2</v>
      </c>
      <c r="AO42" s="196">
        <f t="shared" ref="AO42:AO55" ca="1" si="23">G42/AP42</f>
        <v>24.482221150719344</v>
      </c>
      <c r="AP42" s="196" cm="1">
        <f t="array" aca="1" ref="AP42" ca="1">IF(ISTEXT(B42),_xll.BDH(B42 &amp;  " Equity","BEST_EPS",$Q$3,$Q$3,"BEST_FPERIOD_OVERRIDE=1BF","CDR=US","Fill=p"),"")</f>
        <v>8.9178999999999995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689.13499999999999</v>
      </c>
      <c r="H44" s="188" cm="1">
        <f t="array" ref="H44">G44/_xll.BDP(B44&amp;" Equity", "PREV_CLOSE_VAL")-1</f>
        <v>5.449372629121596E-3</v>
      </c>
      <c r="I44" s="187" cm="1">
        <f t="array" ref="I44">_xll.BDP(C44&amp;" Equity","LAST PRICE")</f>
        <v>200.30500000000001</v>
      </c>
      <c r="J44" s="188" cm="1">
        <f t="array" ref="J44">I44/_xll.BDP(C44&amp;" Equity", "PREV_CLOSE_VAL")-1</f>
        <v>4.5386158475426708E-3</v>
      </c>
      <c r="K44" s="189">
        <f t="shared" si="18"/>
        <v>3.4404283467711738</v>
      </c>
      <c r="L44" s="188" cm="1">
        <f t="array" ref="L44">K44/(_xll.BDP(B44&amp;" Equity", "PREV_CLOSE_VAL")/_xll.BDP(C44&amp;" Equity", "PREV_CLOSE_VAL"))-1</f>
        <v>9.0664188236377896E-4</v>
      </c>
      <c r="M44" s="188"/>
      <c r="N44" s="190">
        <f t="shared" si="19"/>
        <v>0.19217455325972513</v>
      </c>
      <c r="O44" s="191">
        <f t="shared" si="17"/>
        <v>4.7178040327662254E-3</v>
      </c>
      <c r="P44" s="192" cm="1">
        <f t="array" ref="P44">_xll.BDP($A44&amp;" Index","VOLATILITY_30D")</f>
        <v>7.4871549999999996</v>
      </c>
      <c r="Q44" s="192" cm="1">
        <f t="array" aca="1" ref="Q44" ca="1">(_xll.BDP(($B44&amp; " Equity"),"CORR_COEF", "BETA_OVERRIDE_REL_INDEX",($C44&amp; " Equity"),"BETA_OVERRIDE_END_DT",$Q$5,"BETA_OVERRIDE_START_DT",$Q$4))*100</f>
        <v>73.543230174910917</v>
      </c>
      <c r="R44" s="188"/>
      <c r="S44" s="188" cm="1">
        <f t="array" ref="S44">_xll.BDP($A44&amp;" Index","CHG_PCT_2D")/100</f>
        <v>-5.3014940000000003E-3</v>
      </c>
      <c r="T44" s="188" cm="1">
        <f t="array" ref="T44">_xll.BDP($A44&amp;" Index","CHG_PCT_5D")/100</f>
        <v>-9.0869230000000002E-3</v>
      </c>
      <c r="U44" s="188" cm="1">
        <f t="array" ref="U44">K44/_xll.BDP($A44&amp;" Index","HIGH_52WEEK")-1</f>
        <v>-5.7396231486943838E-2</v>
      </c>
      <c r="V44" s="188" cm="1">
        <f t="array" ref="V44">K44/_xll.BDP($A44&amp;" Index","LOW_52WEEK")-1</f>
        <v>7.0230863223847528E-2</v>
      </c>
      <c r="W44" s="188"/>
      <c r="X44" s="192" cm="1">
        <f t="array" ref="X44">_xll.BDP($A44&amp;" Index","RSI_14D")</f>
        <v>28.298549999999999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1.2582628974826184</v>
      </c>
      <c r="AI44" s="196" cm="1">
        <f t="array" ref="AI44">(_xll.BDP(C44&amp;" Equity","SHORT_INT")/_xll.BDP(C44&amp;" Equity","VOLUME_AVG_90D"))</f>
        <v>3.0921972390171355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619.92999999999995</v>
      </c>
      <c r="H45" s="188" cm="1">
        <f t="array" ref="H45">G45/_xll.BDP(B45&amp;" Equity", "PREV_CLOSE_VAL")-1</f>
        <v>5.9226325696111193E-3</v>
      </c>
      <c r="I45" s="187" cm="1">
        <f t="array" ref="I45">_xll.BDP(C45&amp;" Equity","LAST PRICE")</f>
        <v>105.16</v>
      </c>
      <c r="J45" s="188" cm="1">
        <f t="array" ref="J45">I45/_xll.BDP(C45&amp;" Equity", "PREV_CLOSE_VAL")-1</f>
        <v>6.3157894736842746E-3</v>
      </c>
      <c r="K45" s="189">
        <f t="shared" si="18"/>
        <v>5.8951122099657658</v>
      </c>
      <c r="L45" s="188" cm="1">
        <f t="array" ref="L45">K45/(_xll.BDP(B45&amp;" Equity", "PREV_CLOSE_VAL")/_xll.BDP(C45&amp;" Equity", "PREV_CLOSE_VAL"))-1</f>
        <v>-3.9068939212283382E-4</v>
      </c>
      <c r="M45" s="188"/>
      <c r="N45" s="190">
        <f t="shared" si="19"/>
        <v>8.7913842291090047E-2</v>
      </c>
      <c r="O45" s="191">
        <f t="shared" si="17"/>
        <v>4.4440031505986136E-3</v>
      </c>
      <c r="P45" s="192" cm="1">
        <f t="array" ref="P45">_xll.BDP($A45&amp;" Index","VOLATILITY_30D")</f>
        <v>7.0526330000000002</v>
      </c>
      <c r="Q45" s="192" cm="1">
        <f t="array" aca="1" ref="Q45" ca="1">(_xll.BDP(($B45&amp; " Equity"),"CORR_COEF", "BETA_OVERRIDE_REL_INDEX",($C45&amp; " Equity"),"BETA_OVERRIDE_END_DT",$Q$5,"BETA_OVERRIDE_START_DT",$Q$4))*100</f>
        <v>86.977197543765101</v>
      </c>
      <c r="R45" s="188"/>
      <c r="S45" s="188" cm="1">
        <f t="array" ref="S45">_xll.BDP($A45&amp;" Index","CHG_PCT_2D")/100</f>
        <v>-2.7748510000000001E-3</v>
      </c>
      <c r="T45" s="188" cm="1">
        <f t="array" ref="T45">_xll.BDP($A45&amp;" Index","CHG_PCT_5D")/100</f>
        <v>-9.0346680000000009E-3</v>
      </c>
      <c r="U45" s="188" cm="1">
        <f t="array" ref="U45">K45/_xll.BDP($A45&amp;" Index","HIGH_52WEEK")-1</f>
        <v>-3.5670166220509891E-2</v>
      </c>
      <c r="V45" s="188" cm="1">
        <f t="array" ref="V45">K45/_xll.BDP($A45&amp;" Index","LOW_52WEEK")-1</f>
        <v>0.10128082592916177</v>
      </c>
      <c r="W45" s="188"/>
      <c r="X45" s="192" cm="1">
        <f t="array" ref="X45">_xll.BDP($A45&amp;" Index","RSI_14D")</f>
        <v>37.275640000000003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0.76592628788361405</v>
      </c>
      <c r="AI45" s="196" cm="1">
        <f t="array" ref="AI45">(_xll.BDP(C45&amp;" Equity","SHORT_INT")/_xll.BDP(C45&amp;" Equity","VOLUME_AVG_90D"))</f>
        <v>4.3136191852657237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619.92999999999995</v>
      </c>
      <c r="H46" s="188" cm="1">
        <f t="array" ref="H46">G46/_xll.BDP(B46&amp;" Equity", "PREV_CLOSE_VAL")-1</f>
        <v>5.9226325696111193E-3</v>
      </c>
      <c r="I46" s="187" cm="1">
        <f t="array" ref="I46">_xll.BDP(C46&amp;" Equity","LAST PRICE")</f>
        <v>96.28</v>
      </c>
      <c r="J46" s="188" cm="1">
        <f t="array" ref="J46">I46/_xll.BDP(C46&amp;" Equity", "PREV_CLOSE_VAL")-1</f>
        <v>9.2243186582807724E-3</v>
      </c>
      <c r="K46" s="189">
        <f>G46/I46</f>
        <v>6.4388242625675112</v>
      </c>
      <c r="L46" s="188" cm="1">
        <f t="array" ref="L46">K46/(_xll.BDP(B46&amp;" Equity", "PREV_CLOSE_VAL")/_xll.BDP(C46&amp;" Equity", "PREV_CLOSE_VAL"))-1</f>
        <v>-3.2715086503850577E-3</v>
      </c>
      <c r="M46" s="188"/>
      <c r="N46" s="190">
        <f>ABS(L46/O46)</f>
        <v>0.33961496982913469</v>
      </c>
      <c r="O46" s="191">
        <f>P46/15.87/100</f>
        <v>9.63299306868305E-3</v>
      </c>
      <c r="P46" s="192" cm="1">
        <f t="array" ref="P46">_xll.BDP($A46&amp;" Index","VOLATILITY_30D")</f>
        <v>15.287559999999999</v>
      </c>
      <c r="Q46" s="192" cm="1">
        <f t="array" aca="1" ref="Q46" ca="1">(_xll.BDP(($B46&amp; " Equity"),"CORR_COEF", "BETA_OVERRIDE_REL_INDEX",($C46&amp; " Equity"),"BETA_OVERRIDE_END_DT",$Q$5,"BETA_OVERRIDE_START_DT",$Q$4))*100</f>
        <v>77.553056801821697</v>
      </c>
      <c r="R46" s="188"/>
      <c r="S46" s="188" cm="1">
        <f t="array" ref="S46">_xll.BDP($A46&amp;" Index","CHG_PCT_2D")/100</f>
        <v>1.91494E-2</v>
      </c>
      <c r="T46" s="188" cm="1">
        <f t="array" ref="T46">_xll.BDP($A46&amp;" Index","CHG_PCT_5D")/100</f>
        <v>3.6660620000000005E-2</v>
      </c>
      <c r="U46" s="188" cm="1">
        <f t="array" ref="U46">K46/_xll.BDP($A46&amp;" Index","HIGH_52WEEK")-1</f>
        <v>-3.271806239123598E-3</v>
      </c>
      <c r="V46" s="188" cm="1">
        <f t="array" ref="V46">K46/_xll.BDP($A46&amp;" Index","LOW_52WEEK")-1</f>
        <v>0.32405453932738726</v>
      </c>
      <c r="W46" s="188"/>
      <c r="X46" s="192" cm="1">
        <f t="array" ref="X46">_xll.BDP($A46&amp;" Index","RSI_14D")</f>
        <v>83.987660000000005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0.76592628788361405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689.13499999999999</v>
      </c>
      <c r="H47" s="188" cm="1">
        <f t="array" ref="H47">G47/_xll.BDP(B47&amp;" Equity", "PREV_CLOSE_VAL")-1</f>
        <v>5.449372629121596E-3</v>
      </c>
      <c r="I47" s="187" cm="1">
        <f t="array" ref="I47">_xll.BDP(C47&amp;" Equity","LAST PRICE")</f>
        <v>619.92999999999995</v>
      </c>
      <c r="J47" s="188" cm="1">
        <f t="array" ref="J47">I47/_xll.BDP(C47&amp;" Equity", "PREV_CLOSE_VAL")-1</f>
        <v>5.9226325696111193E-3</v>
      </c>
      <c r="K47" s="189">
        <f t="shared" si="18"/>
        <v>1.1116335715322698</v>
      </c>
      <c r="L47" s="188" cm="1">
        <f t="array" ref="L47">K47/(_xll.BDP(B47&amp;" Equity", "PREV_CLOSE_VAL")/_xll.BDP(C47&amp;" Equity", "PREV_CLOSE_VAL"))-1</f>
        <v>-4.7047349882223255E-4</v>
      </c>
      <c r="M47" s="188"/>
      <c r="N47" s="190">
        <f t="shared" si="19"/>
        <v>1.3539007033163342E-2</v>
      </c>
      <c r="O47" s="191">
        <f t="shared" si="17"/>
        <v>3.4749483301827346E-2</v>
      </c>
      <c r="P47" s="192" cm="1">
        <f t="array" ref="P47">_xll.BDP($A47&amp;" Index","VOLATILITY_30D")</f>
        <v>55.14743</v>
      </c>
      <c r="Q47" s="192" cm="1">
        <f t="array" aca="1" ref="Q47" ca="1">(_xll.BDP(($B47&amp; " Equity"),"CORR_COEF", "BETA_OVERRIDE_REL_INDEX",($C47&amp; " Equity"),"BETA_OVERRIDE_END_DT",$Q$5,"BETA_OVERRIDE_START_DT",$Q$4))*100</f>
        <v>94.769761275328563</v>
      </c>
      <c r="R47" s="188"/>
      <c r="S47" s="188" cm="1">
        <f t="array" ref="S47">_xll.BDP($A47&amp;" Index","CHG_PCT_2D")/100</f>
        <v>4.4940559999999997E-3</v>
      </c>
      <c r="T47" s="188" cm="1">
        <f t="array" ref="T47">_xll.BDP($A47&amp;" Index","CHG_PCT_5D")/100</f>
        <v>-1.155492E-2</v>
      </c>
      <c r="U47" s="188" cm="1">
        <f t="array" ref="U47">K47/_xll.BDP($A47&amp;" Index","HIGH_52WEEK")-1</f>
        <v>-0.98768682353198634</v>
      </c>
      <c r="V47" s="188" cm="1">
        <f t="array" ref="V47">K47/_xll.BDP($A47&amp;" Index","LOW_52WEEK")-1</f>
        <v>-0.97825868234828339</v>
      </c>
      <c r="W47" s="188"/>
      <c r="X47" s="192" cm="1">
        <f t="array" ref="X47">_xll.BDP($A47&amp;" Index","RSI_14D")</f>
        <v>54.792230000000004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1.2582628974826184</v>
      </c>
      <c r="AI47" s="196" cm="1">
        <f t="array" ref="AI47">(_xll.BDP(C47&amp;" Equity","SHORT_INT")/_xll.BDP(C47&amp;" Equity","VOLUME_AVG_90D"))</f>
        <v>0.76592628788361405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689.13499999999999</v>
      </c>
      <c r="H48" s="188" cm="1">
        <f t="array" ref="H48">G48/_xll.BDP(B48&amp;" Equity", "PREV_CLOSE_VAL")-1</f>
        <v>5.449372629121596E-3</v>
      </c>
      <c r="I48" s="187" cm="1">
        <f t="array" ref="I48">_xll.BDP(C48&amp;" Equity","LAST PRICE")</f>
        <v>271.47000000000003</v>
      </c>
      <c r="J48" s="188" cm="1">
        <f t="array" ref="J48">I48/_xll.BDP(C48&amp;" Equity", "PREV_CLOSE_VAL")-1</f>
        <v>1.37421113559133E-2</v>
      </c>
      <c r="K48" s="189">
        <f t="shared" si="18"/>
        <v>2.5385309610638371</v>
      </c>
      <c r="L48" s="188" cm="1">
        <f t="array" ref="L48">K48/(_xll.BDP(B48&amp;" Equity", "PREV_CLOSE_VAL")/_xll.BDP(C48&amp;" Equity", "PREV_CLOSE_VAL"))-1</f>
        <v>-8.1803238061205485E-3</v>
      </c>
      <c r="M48" s="188"/>
      <c r="N48" s="190">
        <f t="shared" si="19"/>
        <v>1.3630544821090533</v>
      </c>
      <c r="O48" s="191">
        <f t="shared" si="17"/>
        <v>6.0014650283553876E-3</v>
      </c>
      <c r="P48" s="192" cm="1">
        <f t="array" ref="P48">_xll.BDP($A48&amp;" Index","VOLATILITY_30D")</f>
        <v>9.5243249999999993</v>
      </c>
      <c r="Q48" s="192" cm="1">
        <f t="array" aca="1" ref="Q48" ca="1">(_xll.BDP(($B48&amp; " Equity"),"CORR_COEF", "BETA_OVERRIDE_REL_INDEX",($C48&amp; " Equity"),"BETA_OVERRIDE_END_DT",$Q$5,"BETA_OVERRIDE_START_DT",$Q$4))*100</f>
        <v>75.631860079898047</v>
      </c>
      <c r="R48" s="188"/>
      <c r="S48" s="188" cm="1">
        <f t="array" ref="S48">_xll.BDP($A48&amp;" Index","CHG_PCT_2D")/100</f>
        <v>-8.1384370000000001E-3</v>
      </c>
      <c r="T48" s="188" cm="1">
        <f t="array" ref="T48">_xll.BDP($A48&amp;" Index","CHG_PCT_5D")/100</f>
        <v>-1.8310380000000001E-2</v>
      </c>
      <c r="U48" s="188" cm="1">
        <f t="array" ref="U48">K48/_xll.BDP($A48&amp;" Index","HIGH_52WEEK")-1</f>
        <v>-0.1234899208392306</v>
      </c>
      <c r="V48" s="188" cm="1">
        <f t="array" ref="V48">K48/_xll.BDP($A48&amp;" Index","LOW_52WEEK")-1</f>
        <v>-8.1810058082973924E-3</v>
      </c>
      <c r="W48" s="188"/>
      <c r="X48" s="192" cm="1">
        <f t="array" ref="X48">_xll.BDP($A48&amp;" Index","RSI_14D")</f>
        <v>19.810649999999999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1.2582628974826184</v>
      </c>
      <c r="AI48" s="196" cm="1">
        <f t="array" ref="AI48">(_xll.BDP(C48&amp;" Equity","SHORT_INT")/_xll.BDP(C48&amp;" Equity","VOLUME_AVG_90D"))</f>
        <v>2.0025921914463516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619.92999999999995</v>
      </c>
      <c r="H49" s="188" cm="1">
        <f t="array" ref="H49">G49/_xll.BDP(B49&amp;" Equity", "PREV_CLOSE_VAL")-1</f>
        <v>5.9226325696111193E-3</v>
      </c>
      <c r="I49" s="187" cm="1">
        <f t="array" ref="I49">_xll.BDP(C49&amp;" Equity","LAST PRICE")</f>
        <v>271.47000000000003</v>
      </c>
      <c r="J49" s="188" cm="1">
        <f t="array" ref="J49">I49/_xll.BDP(C49&amp;" Equity", "PREV_CLOSE_VAL")-1</f>
        <v>1.37421113559133E-2</v>
      </c>
      <c r="K49" s="189">
        <f t="shared" si="18"/>
        <v>2.2836040814822995</v>
      </c>
      <c r="L49" s="188" cm="1">
        <f t="array" ref="L49">K49/(_xll.BDP(B49&amp;" Equity", "PREV_CLOSE_VAL")/_xll.BDP(C49&amp;" Equity", "PREV_CLOSE_VAL"))-1</f>
        <v>-7.7134792948901909E-3</v>
      </c>
      <c r="M49" s="188"/>
      <c r="N49" s="190">
        <f t="shared" si="19"/>
        <v>0.99689574995791586</v>
      </c>
      <c r="O49" s="191">
        <f t="shared" si="17"/>
        <v>7.7374984247006937E-3</v>
      </c>
      <c r="P49" s="192" cm="1">
        <f t="array" ref="P49">_xll.BDP($A49&amp;" Index","VOLATILITY_30D")</f>
        <v>12.27941</v>
      </c>
      <c r="Q49" s="192" cm="1">
        <f t="array" aca="1" ref="Q49" ca="1">(_xll.BDP(($B49&amp; " Equity"),"CORR_COEF", "BETA_OVERRIDE_REL_INDEX",($C49&amp; " Equity"),"BETA_OVERRIDE_END_DT",$Q$5,"BETA_OVERRIDE_START_DT",$Q$4))*100</f>
        <v>63.425127593416484</v>
      </c>
      <c r="R49" s="188"/>
      <c r="S49" s="188" cm="1">
        <f t="array" ref="S49">_xll.BDP($A49&amp;" Index","CHG_PCT_2D")/100</f>
        <v>-6.1980910000000002E-3</v>
      </c>
      <c r="T49" s="188" cm="1">
        <f t="array" ref="T49">_xll.BDP($A49&amp;" Index","CHG_PCT_5D")/100</f>
        <v>-1.7282619999999999E-2</v>
      </c>
      <c r="U49" s="188" cm="1">
        <f t="array" ref="U49">K49/_xll.BDP($A49&amp;" Index","HIGH_52WEEK")-1</f>
        <v>-0.12431778453780984</v>
      </c>
      <c r="V49" s="188" cm="1">
        <f t="array" ref="V49">K49/_xll.BDP($A49&amp;" Index","LOW_52WEEK")-1</f>
        <v>5.8866381890458896E-3</v>
      </c>
      <c r="W49" s="188"/>
      <c r="X49" s="192" cm="1">
        <f t="array" ref="X49">_xll.BDP($A49&amp;" Index","RSI_14D")</f>
        <v>22.842269999999999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0.76592628788361405</v>
      </c>
      <c r="AI49" s="196" cm="1">
        <f t="array" ref="AI49">(_xll.BDP(C49&amp;" Equity","SHORT_INT")/_xll.BDP(C49&amp;" Equity","VOLUME_AVG_90D"))</f>
        <v>2.0025921914463516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403.23</v>
      </c>
      <c r="H50" s="188" cm="1">
        <f t="array" ref="H50">G50/_xll.BDP(B50&amp;" Equity", "PREV_CLOSE_VAL")-1</f>
        <v>3.2343940487149503E-3</v>
      </c>
      <c r="I50" s="187" cm="1">
        <f t="array" ref="I50">_xll.BDP(C50&amp;" Equity","LAST PRICE")</f>
        <v>96.28</v>
      </c>
      <c r="J50" s="188" cm="1">
        <f t="array" ref="J50">I50/_xll.BDP(C50&amp;" Equity", "PREV_CLOSE_VAL")-1</f>
        <v>9.2243186582807724E-3</v>
      </c>
      <c r="K50" s="189">
        <f>G50/I50</f>
        <v>4.1880972164520154</v>
      </c>
      <c r="L50" s="188" cm="1">
        <f t="array" ref="L50">K50/(_xll.BDP(B50&amp;" Equity", "PREV_CLOSE_VAL")/_xll.BDP(C50&amp;" Equity", "PREV_CLOSE_VAL"))-1</f>
        <v>-5.9351766488634494E-3</v>
      </c>
      <c r="M50" s="188"/>
      <c r="N50" s="190">
        <f>ABS(L50/O50)</f>
        <v>0.31157967841284356</v>
      </c>
      <c r="O50" s="191">
        <f>P50/15.87/100</f>
        <v>1.9048664146187774E-2</v>
      </c>
      <c r="P50" s="192" cm="1">
        <f t="array" ref="P50">_xll.BDP($A50&amp;" Index","VOLATILITY_30D")</f>
        <v>30.230229999999999</v>
      </c>
      <c r="Q50" s="192" cm="1">
        <f t="array" aca="1" ref="Q50" ca="1">(_xll.BDP(($B50&amp; " Equity"),"CORR_COEF", "BETA_OVERRIDE_REL_INDEX",($C50&amp; " Equity"),"BETA_OVERRIDE_END_DT",$Q$5,"BETA_OVERRIDE_START_DT",$Q$4))*100</f>
        <v>61.023650365728287</v>
      </c>
      <c r="R50" s="188"/>
      <c r="S50" s="188" cm="1">
        <f t="array" ref="S50">_xll.BDP($A50&amp;" Index","CHG_PCT_2D")/100</f>
        <v>3.527926E-2</v>
      </c>
      <c r="T50" s="188" cm="1">
        <f t="array" ref="T50">_xll.BDP($A50&amp;" Index","CHG_PCT_5D")/100</f>
        <v>6.0475630000000002E-2</v>
      </c>
      <c r="U50" s="188" cm="1">
        <f t="array" ref="U50">K50/_xll.BDP($A50&amp;" Index","HIGH_52WEEK")-1</f>
        <v>-5.9345336089777767E-3</v>
      </c>
      <c r="V50" s="188" cm="1">
        <f t="array" ref="V50">K50/_xll.BDP($A50&amp;" Index","LOW_52WEEK")-1</f>
        <v>0.91391127867693456</v>
      </c>
      <c r="W50" s="188"/>
      <c r="X50" s="192" cm="1">
        <f t="array" ref="X50">_xll.BDP($A50&amp;" Index","RSI_14D")</f>
        <v>87.309470000000005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1.2322159622398905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403.23</v>
      </c>
      <c r="H51" s="188" cm="1">
        <f t="array" ref="H51">G51/_xll.BDP(B51&amp;" Equity", "PREV_CLOSE_VAL")-1</f>
        <v>3.2343940487149503E-3</v>
      </c>
      <c r="I51" s="187" cm="1">
        <f t="array" ref="I51">_xll.BDP(C51&amp;" Equity","LAST PRICE")</f>
        <v>619.92999999999995</v>
      </c>
      <c r="J51" s="188" cm="1">
        <f t="array" ref="J51">I51/_xll.BDP(C51&amp;" Equity", "PREV_CLOSE_VAL")-1</f>
        <v>5.9226325696111193E-3</v>
      </c>
      <c r="K51" s="189">
        <f>G51/I51</f>
        <v>0.65044440501346934</v>
      </c>
      <c r="L51" s="188" cm="1">
        <f t="array" ref="L51">K51/(_xll.BDP(B51&amp;" Equity", "PREV_CLOSE_VAL")/_xll.BDP(C51&amp;" Equity", "PREV_CLOSE_VAL"))-1</f>
        <v>-2.6724108135723901E-3</v>
      </c>
      <c r="M51" s="188"/>
      <c r="N51" s="190">
        <f>ABS(L51/O51)</f>
        <v>0.21823658551359235</v>
      </c>
      <c r="O51" s="191">
        <f>P51/15.87/100</f>
        <v>1.2245475740390675E-2</v>
      </c>
      <c r="P51" s="192" cm="1">
        <f t="array" ref="P51">_xll.BDP($A51&amp;" Index","VOLATILITY_30D")</f>
        <v>19.43357</v>
      </c>
      <c r="Q51" s="192" cm="1">
        <f t="array" aca="1" ref="Q51" ca="1">(_xll.BDP(($B51&amp; " Equity"),"CORR_COEF", "BETA_OVERRIDE_REL_INDEX",($C51&amp; " Equity"),"BETA_OVERRIDE_END_DT",$Q$5,"BETA_OVERRIDE_START_DT",$Q$4))*100</f>
        <v>87.128007855923997</v>
      </c>
      <c r="R51" s="188"/>
      <c r="S51" s="188" cm="1">
        <f t="array" ref="S51">_xll.BDP($A51&amp;" Index","CHG_PCT_2D")/100</f>
        <v>1.5831930000000001E-2</v>
      </c>
      <c r="T51" s="188" cm="1">
        <f t="array" ref="T51">_xll.BDP($A51&amp;" Index","CHG_PCT_5D")/100</f>
        <v>2.297799E-2</v>
      </c>
      <c r="U51" s="188" cm="1">
        <f t="array" ref="U51">K51/_xll.BDP($A51&amp;" Index","HIGH_52WEEK")-1</f>
        <v>-2.6765129586940883E-3</v>
      </c>
      <c r="V51" s="188" cm="1">
        <f t="array" ref="V51">K51/_xll.BDP($A51&amp;" Index","LOW_52WEEK")-1</f>
        <v>0.52058258138551849</v>
      </c>
      <c r="W51" s="188"/>
      <c r="X51" s="192" cm="1">
        <f t="array" ref="X51">_xll.BDP($A51&amp;" Index","RSI_14D")</f>
        <v>78.784480000000002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1.2322159622398905</v>
      </c>
      <c r="AI51" s="196" cm="1">
        <f t="array" ref="AI51">(_xll.BDP(C51&amp;" Equity","SHORT_INT")/_xll.BDP(C51&amp;" Equity","VOLUME_AVG_90D"))</f>
        <v>0.76592628788361405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87.094999999999999</v>
      </c>
      <c r="H52" s="188" cm="1">
        <f t="array" ref="H52">G52/_xll.BDP(B52&amp;" Equity", "PREV_CLOSE_VAL")-1</f>
        <v>1.0031311608488913E-2</v>
      </c>
      <c r="I52" s="187" cm="1">
        <f t="array" ref="I52">_xll.BDP(C52&amp;" Equity","LAST PRICE")</f>
        <v>200.30500000000001</v>
      </c>
      <c r="J52" s="188" cm="1">
        <f t="array" ref="J52">I52/_xll.BDP(C52&amp;" Equity", "PREV_CLOSE_VAL")-1</f>
        <v>4.5386158475426708E-3</v>
      </c>
      <c r="K52" s="189">
        <f>G52/I52</f>
        <v>0.43481191183445245</v>
      </c>
      <c r="L52" s="188" cm="1">
        <f t="array" ref="L52">K52/(_xll.BDP(B52&amp;" Equity", "PREV_CLOSE_VAL")/_xll.BDP(C52&amp;" Equity", "PREV_CLOSE_VAL"))-1</f>
        <v>5.4678791579474417E-3</v>
      </c>
      <c r="M52" s="188"/>
      <c r="N52" s="190">
        <f>ABS(L52/O52)</f>
        <v>0.77261356106969747</v>
      </c>
      <c r="O52" s="191">
        <f>P52/15.87/100</f>
        <v>7.0771203528670447E-3</v>
      </c>
      <c r="P52" s="192" cm="1">
        <f t="array" ref="P52">_xll.BDP($A52&amp;" Index","VOLATILITY_30D")</f>
        <v>11.231389999999999</v>
      </c>
      <c r="Q52" s="192" cm="1">
        <f t="array" aca="1" ref="Q52" ca="1">(_xll.BDP(($B52&amp; " Equity"),"CORR_COEF", "BETA_OVERRIDE_REL_INDEX",($C52&amp; " Equity"),"BETA_OVERRIDE_END_DT",$Q$5,"BETA_OVERRIDE_START_DT",$Q$4))*100</f>
        <v>65.910675465952977</v>
      </c>
      <c r="R52" s="188"/>
      <c r="S52" s="188" cm="1">
        <f t="array" ref="S52">_xll.BDP($A52&amp;" Index","CHG_PCT_2D")/100</f>
        <v>1.1192999999999999E-3</v>
      </c>
      <c r="T52" s="188" cm="1">
        <f t="array" ref="T52">_xll.BDP($A52&amp;" Index","CHG_PCT_5D")/100</f>
        <v>-2.2000280000000001E-3</v>
      </c>
      <c r="U52" s="188" cm="1">
        <f t="array" ref="U52">K52/_xll.BDP($A52&amp;" Index","HIGH_52WEEK")-1</f>
        <v>-3.657734681721958E-2</v>
      </c>
      <c r="V52" s="188" cm="1">
        <f t="array" ref="V52">K52/_xll.BDP($A52&amp;" Index","LOW_52WEEK")-1</f>
        <v>0.27746837804287239</v>
      </c>
      <c r="W52" s="188"/>
      <c r="X52" s="192" cm="1">
        <f t="array" ref="X52">_xll.BDP($A52&amp;" Index","RSI_14D")</f>
        <v>44.4617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1.64588269992196</v>
      </c>
      <c r="AI52" s="196" cm="1">
        <f t="array" ref="AI52">(_xll.BDP(C52&amp;" Equity","SHORT_INT")/_xll.BDP(C52&amp;" Equity","VOLUME_AVG_90D"))</f>
        <v>3.0921972390171355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87.094999999999999</v>
      </c>
      <c r="H53" s="188" cm="1">
        <f t="array" ref="H53">G53/_xll.BDP(B53&amp;" Equity", "PREV_CLOSE_VAL")-1</f>
        <v>1.0031311608488913E-2</v>
      </c>
      <c r="I53" s="187" cm="1">
        <f t="array" ref="I53">_xll.BDP(C53&amp;" Equity","LAST PRICE")</f>
        <v>689.13499999999999</v>
      </c>
      <c r="J53" s="188" cm="1">
        <f t="array" ref="J53">I53/_xll.BDP(C53&amp;" Equity", "PREV_CLOSE_VAL")-1</f>
        <v>5.449372629121596E-3</v>
      </c>
      <c r="K53" s="189">
        <f>G53/I53</f>
        <v>0.12638307443389177</v>
      </c>
      <c r="L53" s="188" cm="1">
        <f t="array" ref="L53">K53/(_xll.BDP(B53&amp;" Equity", "PREV_CLOSE_VAL")/_xll.BDP(C53&amp;" Equity", "PREV_CLOSE_VAL"))-1</f>
        <v>4.5571056127728937E-3</v>
      </c>
      <c r="M53" s="188"/>
      <c r="N53" s="190">
        <f>ABS(L53/O53)</f>
        <v>0.51257724368897351</v>
      </c>
      <c r="O53" s="191">
        <f>P53/15.87/100</f>
        <v>8.8905734089477009E-3</v>
      </c>
      <c r="P53" s="192" cm="1">
        <f t="array" ref="P53">_xll.BDP($A53&amp;" Index","VOLATILITY_30D")</f>
        <v>14.10934</v>
      </c>
      <c r="Q53" s="192" cm="1">
        <f t="array" aca="1" ref="Q53" ca="1">(_xll.BDP(($B53&amp; " Equity"),"CORR_COEF", "BETA_OVERRIDE_REL_INDEX",($C53&amp; " Equity"),"BETA_OVERRIDE_END_DT",$Q$5,"BETA_OVERRIDE_START_DT",$Q$4))*100</f>
        <v>57.372543229203252</v>
      </c>
      <c r="R53" s="188"/>
      <c r="S53" s="188" cm="1">
        <f t="array" ref="S53">_xll.BDP($A53&amp;" Index","CHG_PCT_2D")/100</f>
        <v>6.4502090000000002E-3</v>
      </c>
      <c r="T53" s="188" cm="1">
        <f t="array" ref="T53">_xll.BDP($A53&amp;" Index","CHG_PCT_5D")/100</f>
        <v>6.9456120000000003E-3</v>
      </c>
      <c r="U53" s="188" cm="1">
        <f t="array" ref="U53">K53/_xll.BDP($A53&amp;" Index","HIGH_52WEEK")-1</f>
        <v>-1.3480021591665281E-2</v>
      </c>
      <c r="V53" s="188" cm="1">
        <f t="array" ref="V53">K53/_xll.BDP($A53&amp;" Index","LOW_52WEEK")-1</f>
        <v>0.21149419511015877</v>
      </c>
      <c r="W53" s="188"/>
      <c r="X53" s="192" cm="1">
        <f t="array" ref="X53">_xll.BDP($A53&amp;" Index","RSI_14D")</f>
        <v>57.547170000000001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1.64588269992196</v>
      </c>
      <c r="AI53" s="196" cm="1">
        <f t="array" ref="AI53">(_xll.BDP(C53&amp;" Equity","SHORT_INT")/_xll.BDP(C53&amp;" Equity","VOLUME_AVG_90D"))</f>
        <v>1.2582628974826184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87.094999999999999</v>
      </c>
      <c r="H54" s="188" cm="1">
        <f t="array" ref="H54">G54/_xll.BDP(B54&amp;" Equity", "PREV_CLOSE_VAL")-1</f>
        <v>1.0031311608488913E-2</v>
      </c>
      <c r="I54" s="187" cm="1">
        <f t="array" ref="I54">_xll.BDP(C54&amp;" Equity","LAST PRICE")</f>
        <v>71.010000000000005</v>
      </c>
      <c r="J54" s="188" cm="1">
        <f t="array" ref="J54">I54/_xll.BDP(C54&amp;" Equity", "PREV_CLOSE_VAL")-1</f>
        <v>1.3270547945205546E-2</v>
      </c>
      <c r="K54" s="189">
        <f>G54/I54</f>
        <v>1.2265173919166314</v>
      </c>
      <c r="L54" s="188" cm="1">
        <f t="array" ref="L54">K54/(_xll.BDP(B54&amp;" Equity", "PREV_CLOSE_VAL")/_xll.BDP(C54&amp;" Equity", "PREV_CLOSE_VAL"))-1</f>
        <v>-3.1968128781453276E-3</v>
      </c>
      <c r="M54" s="188"/>
      <c r="N54" s="190">
        <f>ABS(L54/O54)</f>
        <v>0.36750432185910281</v>
      </c>
      <c r="O54" s="191">
        <f>P54/15.87/100</f>
        <v>8.6987082545683676E-3</v>
      </c>
      <c r="P54" s="192" cm="1">
        <f t="array" ref="P54">_xll.BDP($A54&amp;" Index","VOLATILITY_30D")</f>
        <v>13.80485</v>
      </c>
      <c r="Q54" s="192" cm="1">
        <f t="array" aca="1" ref="Q54" ca="1">(_xll.BDP(($B54&amp; " Equity"),"CORR_COEF", "BETA_OVERRIDE_REL_INDEX",($C54&amp; " Equity"),"BETA_OVERRIDE_END_DT",$Q$5,"BETA_OVERRIDE_START_DT",$Q$4))*100</f>
        <v>77.290244542013227</v>
      </c>
      <c r="R54" s="188"/>
      <c r="S54" s="188" cm="1">
        <f t="array" ref="S54">_xll.BDP($A54&amp;" Index","CHG_PCT_2D")/100</f>
        <v>-2.7261500000000001E-2</v>
      </c>
      <c r="T54" s="188" cm="1">
        <f t="array" ref="T54">_xll.BDP($A54&amp;" Index","CHG_PCT_5D")/100</f>
        <v>-2.9183279999999999E-2</v>
      </c>
      <c r="U54" s="188" cm="1">
        <f t="array" ref="U54">K54/_xll.BDP($A54&amp;" Index","HIGH_52WEEK")-1</f>
        <v>-7.0721597808380166E-2</v>
      </c>
      <c r="V54" s="188" cm="1">
        <f t="array" ref="V54">K54/_xll.BDP($A54&amp;" Index","LOW_52WEEK")-1</f>
        <v>0.12931707156687078</v>
      </c>
      <c r="W54" s="188"/>
      <c r="X54" s="192" cm="1">
        <f t="array" ref="X54">_xll.BDP($A54&amp;" Index","RSI_14D")</f>
        <v>30.200040000000001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1.64588269992196</v>
      </c>
      <c r="AI54" s="196" cm="1">
        <f t="array" ref="AI54">(_xll.BDP(C54&amp;" Equity","SHORT_INT")/_xll.BDP(C54&amp;" Equity","VOLUME_AVG_90D"))</f>
        <v>3.0837149452715296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1893</v>
      </c>
      <c r="AI2" t="s">
        <v>1894</v>
      </c>
    </row>
    <row r="3" spans="3:37">
      <c r="T3" s="40"/>
      <c r="U3" s="40"/>
      <c r="V3" t="s">
        <v>1890</v>
      </c>
      <c r="W3" t="s">
        <v>1891</v>
      </c>
      <c r="X3" t="s">
        <v>169</v>
      </c>
      <c r="Z3" t="s">
        <v>1890</v>
      </c>
      <c r="AA3" t="s">
        <v>1891</v>
      </c>
      <c r="AB3" t="s">
        <v>169</v>
      </c>
      <c r="AD3" t="s">
        <v>1892</v>
      </c>
      <c r="AE3" t="s">
        <v>1907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1895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0.33177258467343729</v>
      </c>
      <c r="G5" s="153" cm="1">
        <f t="array" ref="G5">_xll.BDP($C5&amp;" Equity","volatility_30d")/100</f>
        <v>0.36078346149464535</v>
      </c>
      <c r="J5" t="s">
        <v>1740</v>
      </c>
      <c r="K5" s="276">
        <v>70</v>
      </c>
      <c r="L5" cm="1">
        <f t="array" ref="L5">_xll.BDP(J5&amp;" Equity","LAST PRICE")</f>
        <v>106.2</v>
      </c>
      <c r="M5" s="279">
        <f>L5/K5-1</f>
        <v>0.51714285714285713</v>
      </c>
      <c r="S5" s="36" t="s">
        <v>1770</v>
      </c>
      <c r="T5" t="s">
        <v>1889</v>
      </c>
      <c r="U5" t="s">
        <v>1895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0.33177258467343729</v>
      </c>
      <c r="G6" s="153" cm="1">
        <f t="array" ref="G6">_xll.BDP($C6&amp;" Equity","volatility_30d")/100</f>
        <v>0.36078346149464535</v>
      </c>
      <c r="J6" t="s">
        <v>1740</v>
      </c>
      <c r="K6" s="276">
        <v>70</v>
      </c>
      <c r="L6" cm="1">
        <f t="array" ref="L6">_xll.BDP(J6&amp;" Equity","LAST PRICE")</f>
        <v>106.2</v>
      </c>
      <c r="M6" s="279">
        <f>L6/K6-1</f>
        <v>0.51714285714285713</v>
      </c>
      <c r="S6" s="36" t="s">
        <v>1770</v>
      </c>
      <c r="T6" t="s">
        <v>1905</v>
      </c>
      <c r="U6" t="s">
        <v>1902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0.21774435174544088</v>
      </c>
      <c r="G7" s="153" cm="1">
        <f t="array" ref="G7">_xll.BDP($C7&amp;" Equity","volatility_30d")/100</f>
        <v>0.22691275059314747</v>
      </c>
      <c r="J7" t="s">
        <v>1743</v>
      </c>
      <c r="K7" s="276">
        <v>28.5</v>
      </c>
      <c r="L7" cm="1">
        <f t="array" ref="L7">_xll.BDP(J7&amp;" Equity","LAST PRICE")</f>
        <v>20.265000000000001</v>
      </c>
      <c r="M7" s="279">
        <f t="shared" ref="M7:M13" si="6">L7/K7-1</f>
        <v>-0.28894736842105262</v>
      </c>
      <c r="S7" s="36" t="s">
        <v>1770</v>
      </c>
      <c r="T7" t="s">
        <v>81</v>
      </c>
      <c r="U7" t="s">
        <v>1881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0.29542853078427339</v>
      </c>
      <c r="G8" s="153" cm="1">
        <f t="array" ref="G8">_xll.BDP($C8&amp;" Equity","volatility_30d")/100</f>
        <v>0.39825221815511741</v>
      </c>
      <c r="J8" t="s">
        <v>400</v>
      </c>
      <c r="K8" s="276">
        <v>318.75</v>
      </c>
      <c r="L8" cm="1">
        <f t="array" ref="L8">_xll.BDP(J8&amp;" Equity","LAST PRICE")</f>
        <v>287.04000000000002</v>
      </c>
      <c r="M8" s="279">
        <f t="shared" si="6"/>
        <v>-9.9482352941176355E-2</v>
      </c>
      <c r="S8" s="36" t="s">
        <v>1770</v>
      </c>
      <c r="T8" t="s">
        <v>83</v>
      </c>
      <c r="U8" t="s">
        <v>1881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0.17350865395115811</v>
      </c>
      <c r="G9" s="153" cm="1">
        <f t="array" ref="G9">_xll.BDP($C9&amp;" Equity","volatility_30d")/100</f>
        <v>0.21236205298901659</v>
      </c>
      <c r="J9" t="s">
        <v>134</v>
      </c>
      <c r="K9" s="276">
        <v>265.95999999999998</v>
      </c>
      <c r="L9" cm="1">
        <f t="array" ref="L9">_xll.BDP(J9&amp;" Equity","LAST PRICE")</f>
        <v>225.53100000000001</v>
      </c>
      <c r="M9" s="279">
        <f t="shared" si="6"/>
        <v>-0.15201158068882525</v>
      </c>
      <c r="S9" s="36" t="s">
        <v>1770</v>
      </c>
      <c r="T9" t="s">
        <v>399</v>
      </c>
      <c r="U9" t="s">
        <v>1881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0.18557020000000002</v>
      </c>
      <c r="G10" s="153" cm="1">
        <f t="array" ref="G10">_xll.BDP($C10&amp;" Equity","volatility_30d")/100</f>
        <v>0.24704730000000003</v>
      </c>
      <c r="J10" t="s">
        <v>1753</v>
      </c>
      <c r="K10" s="276">
        <v>251.52</v>
      </c>
      <c r="L10" cm="1">
        <f t="array" ref="L10">_xll.BDP(J10&amp;" Equity","LAST PRICE")</f>
        <v>187.68</v>
      </c>
      <c r="M10" s="279">
        <f t="shared" si="6"/>
        <v>-0.25381679389312972</v>
      </c>
      <c r="S10" s="36" t="s">
        <v>1770</v>
      </c>
      <c r="T10" t="s">
        <v>1906</v>
      </c>
      <c r="U10" t="s">
        <v>1896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0.19298291298595097</v>
      </c>
      <c r="G11" s="153" cm="1">
        <f t="array" ref="G11">_xll.BDP($C11&amp;" Equity","volatility_30d")/100</f>
        <v>0.16295345849696466</v>
      </c>
      <c r="J11" t="s">
        <v>353</v>
      </c>
      <c r="K11" s="276">
        <v>117.4</v>
      </c>
      <c r="L11" cm="1">
        <f t="array" ref="L11">_xll.BDP(J11&amp;" Equity","LAST PRICE")</f>
        <v>211.32</v>
      </c>
      <c r="M11" s="279">
        <f t="shared" si="6"/>
        <v>0.79999999999999982</v>
      </c>
      <c r="S11" s="36" t="s">
        <v>1770</v>
      </c>
      <c r="T11" t="s">
        <v>94</v>
      </c>
      <c r="U11" t="s">
        <v>1882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0.37945579759799924</v>
      </c>
      <c r="G12" s="153" cm="1">
        <f t="array" ref="G12">_xll.BDP($C12&amp;" Equity","volatility_30d")/100</f>
        <v>0.27069664473467298</v>
      </c>
      <c r="J12" t="s">
        <v>1742</v>
      </c>
      <c r="K12" s="276">
        <v>5420</v>
      </c>
      <c r="L12" cm="1">
        <f t="array" ref="L12">_xll.BDP(J12&amp;" Index","LAST PRICE")</f>
        <v>5843</v>
      </c>
      <c r="M12" s="279">
        <f t="shared" si="6"/>
        <v>7.8044280442804537E-2</v>
      </c>
      <c r="S12" s="36" t="s">
        <v>1770</v>
      </c>
      <c r="T12" t="s">
        <v>137</v>
      </c>
      <c r="U12" t="s">
        <v>1896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0.43181094189905422</v>
      </c>
      <c r="G13" s="153" cm="1">
        <f t="array" ref="G13">_xll.BDP($C13&amp;" Equity","volatility_30d")/100</f>
        <v>0.30504915879280692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1882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0.16873675923628145</v>
      </c>
      <c r="G14" s="153" cm="1">
        <f t="array" ref="G14">_xll.BDP($C14&amp;" Equity","volatility_30d")/100</f>
        <v>0.15221753064734109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0.20041354147129053</v>
      </c>
      <c r="G15" s="153" cm="1">
        <f t="array" ref="G15">_xll.BDP($C15&amp;" Equity","volatility_30d")/100</f>
        <v>0.18518244428373595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0.3195723903144061</v>
      </c>
      <c r="G16" s="153" cm="1">
        <f t="array" ref="G16">_xll.BDP($C16&amp;" Equity","volatility_30d")/100</f>
        <v>0.22318361841874257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0.27784603600431301</v>
      </c>
      <c r="G17" s="153" cm="1">
        <f t="array" ref="G17">_xll.BDP($C17&amp;" Equity","volatility_30d")/100</f>
        <v>0.32255267030790546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0.30438695173165892</v>
      </c>
      <c r="G18" s="153" cm="1">
        <f t="array" ref="G18">_xll.BDP($C18&amp;" Equity","volatility_30d")/100</f>
        <v>0.30836498455686756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0.13264087339731309</v>
      </c>
      <c r="G19" s="153" cm="1">
        <f t="array" ref="G19">_xll.BDP($C19&amp;" Equity","volatility_30d")/100</f>
        <v>0.12427116556693246</v>
      </c>
      <c r="AP19" t="s">
        <v>1770</v>
      </c>
    </row>
    <row r="20" spans="3:42">
      <c r="C20" t="s">
        <v>1851</v>
      </c>
      <c r="D20" s="276">
        <v>1</v>
      </c>
      <c r="F20" s="153" cm="1">
        <f t="array" ref="F20">_xll.BDP($C20&amp;" Equity","volatility_10d")/100</f>
        <v>0.16845932802672889</v>
      </c>
      <c r="G20" s="153" cm="1">
        <f t="array" ref="G20">_xll.BDP($C20&amp;" Equity","volatility_30d")/100</f>
        <v>0.16788406693961552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0.13975779756295179</v>
      </c>
      <c r="G21" s="153" cm="1">
        <f t="array" ref="G21">_xll.BDP($C21&amp;" Equity","volatility_30d")/100</f>
        <v>0.11774688627474676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0.14341633980332297</v>
      </c>
      <c r="G22" s="153" cm="1">
        <f t="array" ref="G22">_xll.BDP($C22&amp;" Equity","volatility_30d")/100</f>
        <v>0.10831065445406483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0.16977226527268596</v>
      </c>
      <c r="G23" s="153" cm="1">
        <f t="array" ref="G23">_xll.BDP($C23&amp;" Equity","volatility_30d")/100</f>
        <v>0.14734362174591634</v>
      </c>
      <c r="K23" s="376" t="s">
        <v>1915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0.14093440098026006</v>
      </c>
      <c r="G24" s="153" cm="1">
        <f t="array" ref="G24">_xll.BDP($C24&amp;" Equity","volatility_30d")/100</f>
        <v>0.15215590328530296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0.14498765710528638</v>
      </c>
      <c r="G25" s="153" cm="1">
        <f t="array" ref="G25">_xll.BDP($C25&amp;" Equity","volatility_30d")/100</f>
        <v>0.22886233033043113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1.2145662307739258</v>
      </c>
      <c r="F26" s="153" cm="1">
        <f t="array" ref="F26">_xll.BDP($C26&amp;" Equity","volatility_10d")/100</f>
        <v>0.25268788897491778</v>
      </c>
      <c r="G26" s="153" cm="1">
        <f t="array" ref="G26">_xll.BDP($C26&amp;" Equity","volatility_30d")/100</f>
        <v>0.2074743700415197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1.0606956481933594</v>
      </c>
      <c r="F27" s="153" cm="1">
        <f t="array" ref="F27">_xll.BDP($C27&amp;" Equity","volatility_10d")/100</f>
        <v>0.19695788033240252</v>
      </c>
      <c r="G27" s="153" cm="1">
        <f t="array" ref="G27">_xll.BDP($C27&amp;" Equity","volatility_30d")/100</f>
        <v>0.14342842439702422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1.1984794139862061</v>
      </c>
      <c r="F28" s="153" cm="1">
        <f t="array" ref="F28">_xll.BDP($C28&amp;" Equity","volatility_10d")/100</f>
        <v>0.20712246153680977</v>
      </c>
      <c r="G28" s="153" cm="1">
        <f t="array" ref="G28">_xll.BDP($C28&amp;" Equity","volatility_30d")/100</f>
        <v>0.34997530791530068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0.84171849489212036</v>
      </c>
      <c r="F29" s="153" cm="1">
        <f t="array" ref="F29">_xll.BDP($C29&amp;" Equity","volatility_10d")/100</f>
        <v>9.6455827196343685E-2</v>
      </c>
      <c r="G29" s="153" cm="1">
        <f t="array" ref="G29">_xll.BDP($C29&amp;" Equity","volatility_30d")/100</f>
        <v>0.1902383752189149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1.0225951671600342</v>
      </c>
      <c r="F30" s="153" cm="1">
        <f t="array" ref="F30">_xll.BDP($C30&amp;" Equity","volatility_10d")/100</f>
        <v>0.16948071673773307</v>
      </c>
      <c r="G30" s="153" cm="1">
        <f t="array" ref="G30">_xll.BDP($C30&amp;" Equity","volatility_30d")/100</f>
        <v>0.18065384639801979</v>
      </c>
      <c r="K30" s="373" t="s">
        <v>1903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1.2045568227767944</v>
      </c>
      <c r="F31" s="153" cm="1">
        <f t="array" ref="F31">_xll.BDP($C31&amp;" Equity","volatility_10d")/100</f>
        <v>0.46752613495024525</v>
      </c>
      <c r="G31" s="153" cm="1">
        <f t="array" ref="G31">_xll.BDP($C31&amp;" Equity","volatility_30d")/100</f>
        <v>0.32438093210296609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0.85003966093063354</v>
      </c>
      <c r="F32" s="153" cm="1">
        <f t="array" ref="F32">_xll.BDP($C32&amp;" Equity","volatility_10d")/100</f>
        <v>0.19532554607217681</v>
      </c>
      <c r="G32" s="153" cm="1">
        <f t="array" ref="G32">_xll.BDP($C32&amp;" Equity","volatility_30d")/100</f>
        <v>0.22522834770084124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0.83411502838134766</v>
      </c>
      <c r="F33" s="153" cm="1">
        <f t="array" ref="F33">_xll.BDP($C33&amp;" Equity","volatility_10d")/100</f>
        <v>0.2418241779063906</v>
      </c>
      <c r="G33" s="153" cm="1">
        <f t="array" ref="G33">_xll.BDP($C33&amp;" Equity","volatility_30d")/100</f>
        <v>0.26045960647448169</v>
      </c>
      <c r="K33" s="373" t="s">
        <v>1916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0.62634414434432983</v>
      </c>
      <c r="F34" s="153" cm="1">
        <f t="array" ref="F34">_xll.BDP($C34&amp;" Equity","volatility_10d")/100</f>
        <v>0.10291572958485043</v>
      </c>
      <c r="G34" s="153" cm="1">
        <f t="array" ref="G34">_xll.BDP($C34&amp;" Equity","volatility_30d")/100</f>
        <v>0.1308068032822004</v>
      </c>
      <c r="K34" s="376" t="s">
        <v>1881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1.4717037677764893</v>
      </c>
      <c r="F35" s="153" cm="1">
        <f t="array" ref="F35">_xll.BDP($C35&amp;" Equity","volatility_10d")/100</f>
        <v>0.40328086282921805</v>
      </c>
      <c r="G35" s="153" cm="1">
        <f t="array" ref="G35">_xll.BDP($C35&amp;" Equity","volatility_30d")/100</f>
        <v>0.36573140733439119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1.8585629463195801</v>
      </c>
      <c r="F36" s="153" cm="1">
        <f t="array" ref="F36">_xll.BDP($C36&amp;" Equity","volatility_10d")/100</f>
        <v>0.35674831368247539</v>
      </c>
      <c r="G36" s="153" cm="1">
        <f t="array" ref="G36">_xll.BDP($C36&amp;" Equity","volatility_30d")/100</f>
        <v>0.31334835447198583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1.654245138168335</v>
      </c>
      <c r="F37" s="153" cm="1">
        <f t="array" ref="F37">_xll.BDP($C37&amp;" Equity","volatility_10d")/100</f>
        <v>0.74432917843721125</v>
      </c>
      <c r="G37" s="153" cm="1">
        <f t="array" ref="G37">_xll.BDP($C37&amp;" Equity","volatility_30d")/100</f>
        <v>0.72656271154489394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1.1732878684997559</v>
      </c>
      <c r="F38" s="153" cm="1">
        <f t="array" ref="F38">_xll.BDP($C38&amp;" Equity","volatility_10d")/100</f>
        <v>0.35036719893218682</v>
      </c>
      <c r="G38" s="153" cm="1">
        <f t="array" ref="G38">_xll.BDP($C38&amp;" Equity","volatility_30d")/100</f>
        <v>0.25497444946454478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1.0831750631332397</v>
      </c>
      <c r="F39" s="153" cm="1">
        <f t="array" ref="F39">_xll.BDP($C39&amp;" Equity","volatility_10d")/100</f>
        <v>0.26437035413569437</v>
      </c>
      <c r="G39" s="153" cm="1">
        <f t="array" ref="G39">_xll.BDP($C39&amp;" Equity","volatility_30d")/100</f>
        <v>0.20807348935525247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0.60224384069442749</v>
      </c>
      <c r="F40" s="153" cm="1">
        <f t="array" ref="F40">_xll.BDP($C40&amp;" Equity","volatility_10d")/100</f>
        <v>0.22611699857301196</v>
      </c>
      <c r="G40" s="153" cm="1">
        <f t="array" ref="G40">_xll.BDP($C40&amp;" Equity","volatility_30d")/100</f>
        <v>0.31148584602300033</v>
      </c>
      <c r="K40" s="373" t="s">
        <v>1919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0.5356372594833374</v>
      </c>
      <c r="F41" s="153" cm="1">
        <f t="array" ref="F41">_xll.BDP($C41&amp;" Equity","volatility_10d")/100</f>
        <v>0.23432812332547606</v>
      </c>
      <c r="G41" s="153" cm="1">
        <f t="array" ref="G41">_xll.BDP($C41&amp;" Equity","volatility_30d")/100</f>
        <v>0.21519136590973467</v>
      </c>
      <c r="K41" s="376" t="s">
        <v>1880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0.54939818382263184</v>
      </c>
      <c r="F42" s="153" cm="1">
        <f t="array" ref="F42">_xll.BDP($C42&amp;" Equity","volatility_10d")/100</f>
        <v>0.14154534533924398</v>
      </c>
      <c r="G42" s="153" cm="1">
        <f t="array" ref="G42">_xll.BDP($C42&amp;" Equity","volatility_30d")/100</f>
        <v>0.216695911274532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0.74849462509155273</v>
      </c>
      <c r="F43" s="153" cm="1">
        <f t="array" ref="F43">_xll.BDP($C43&amp;" Equity","volatility_10d")/100</f>
        <v>0.21553564675131628</v>
      </c>
      <c r="G43" s="153" cm="1">
        <f t="array" ref="G43">_xll.BDP($C43&amp;" Equity","volatility_30d")/100</f>
        <v>0.23792631938026829</v>
      </c>
      <c r="K43" s="373" t="s">
        <v>1889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0.66748231649398804</v>
      </c>
      <c r="F44" s="153" cm="1">
        <f t="array" ref="F44">_xll.BDP($C44&amp;" Equity","volatility_10d")/100</f>
        <v>0.73356910675545217</v>
      </c>
      <c r="G44" s="153" cm="1">
        <f t="array" ref="G44">_xll.BDP($C44&amp;" Equity","volatility_30d")/100</f>
        <v>0.6397665691825537</v>
      </c>
      <c r="K44" s="376" t="s">
        <v>1882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0.56310278177261353</v>
      </c>
      <c r="F45" s="153" cm="1">
        <f t="array" ref="F45">_xll.BDP($C45&amp;" Equity","volatility_10d")/100</f>
        <v>0.7008611891566523</v>
      </c>
      <c r="G45" s="153" cm="1">
        <f t="array" ref="G45">_xll.BDP($C45&amp;" Equity","volatility_30d")/100</f>
        <v>0.58871007132176789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1852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1897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1918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3" priority="6" operator="lessThan">
      <formula>0</formula>
    </cfRule>
  </conditionalFormatting>
  <conditionalFormatting sqref="L23:O59">
    <cfRule type="cellIs" dxfId="1662" priority="5" operator="lessThan">
      <formula>0</formula>
    </cfRule>
  </conditionalFormatting>
  <conditionalFormatting sqref="R23:R59">
    <cfRule type="cellIs" dxfId="1661" priority="4" operator="lessThan">
      <formula>0</formula>
    </cfRule>
  </conditionalFormatting>
  <conditionalFormatting sqref="Q45:Q48">
    <cfRule type="cellIs" dxfId="1660" priority="3" operator="lessThan">
      <formula>0</formula>
    </cfRule>
  </conditionalFormatting>
  <conditionalFormatting sqref="Q42:Q43">
    <cfRule type="cellIs" dxfId="1659" priority="2" operator="lessThan">
      <formula>0</formula>
    </cfRule>
  </conditionalFormatting>
  <conditionalFormatting sqref="Q39">
    <cfRule type="cellIs" dxfId="1658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1985</v>
      </c>
      <c r="K3" s="6" t="s">
        <v>1986</v>
      </c>
      <c r="M3" s="6" t="s">
        <v>1987</v>
      </c>
    </row>
    <row r="4" spans="4:15">
      <c r="D4" s="6" t="s">
        <v>1974</v>
      </c>
      <c r="E4" s="390" t="s">
        <v>1975</v>
      </c>
      <c r="F4" s="6" t="s">
        <v>1979</v>
      </c>
      <c r="G4" s="6" t="s">
        <v>1980</v>
      </c>
      <c r="H4" s="6"/>
      <c r="I4" s="6" t="s">
        <v>1967</v>
      </c>
      <c r="J4" s="6" t="s">
        <v>1976</v>
      </c>
      <c r="K4" s="6" t="s">
        <v>1980</v>
      </c>
      <c r="L4" s="6"/>
      <c r="M4" s="6" t="s">
        <v>1977</v>
      </c>
    </row>
    <row r="5" spans="4:15">
      <c r="D5" t="s">
        <v>1973</v>
      </c>
      <c r="E5" s="80">
        <v>45960</v>
      </c>
      <c r="F5" s="267">
        <v>140</v>
      </c>
      <c r="G5" s="267" t="s">
        <v>1984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1983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1978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1981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1982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1968</v>
      </c>
      <c r="E6" s="388" t="s">
        <v>1970</v>
      </c>
      <c r="F6" s="57" t="s">
        <v>1969</v>
      </c>
      <c r="G6" s="388" t="s">
        <v>1970</v>
      </c>
      <c r="H6" s="388" t="s">
        <v>1971</v>
      </c>
      <c r="J6" s="57"/>
      <c r="K6" s="57"/>
      <c r="L6" s="57" t="s">
        <v>1968</v>
      </c>
      <c r="M6" s="388" t="s">
        <v>1970</v>
      </c>
      <c r="N6" s="57" t="s">
        <v>1969</v>
      </c>
      <c r="O6" s="388" t="s">
        <v>1970</v>
      </c>
      <c r="P6" s="57" t="s">
        <v>1972</v>
      </c>
      <c r="Q6" s="388" t="s">
        <v>1970</v>
      </c>
      <c r="R6" s="388" t="s">
        <v>1971</v>
      </c>
      <c r="T6" s="57"/>
      <c r="U6" s="57"/>
      <c r="V6" s="57" t="s">
        <v>1968</v>
      </c>
      <c r="W6" s="388" t="s">
        <v>1970</v>
      </c>
      <c r="X6" s="57" t="s">
        <v>1969</v>
      </c>
      <c r="Y6" s="388" t="s">
        <v>1970</v>
      </c>
      <c r="Z6" s="57" t="s">
        <v>1972</v>
      </c>
      <c r="AA6" s="388" t="s">
        <v>1970</v>
      </c>
      <c r="AB6" s="388" t="s">
        <v>1971</v>
      </c>
    </row>
    <row r="7" spans="2:28">
      <c r="B7" t="s">
        <v>1966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1966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1966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1963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1963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1963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1964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1964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1964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1965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1965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1965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J38" sqref="J38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2.9196294502337867</v>
      </c>
      <c r="F4" s="284">
        <f>'Master P&amp;L'!U5</f>
        <v>2.084954335658604E-2</v>
      </c>
    </row>
    <row r="5" spans="1:28">
      <c r="A5" s="297" t="s">
        <v>65</v>
      </c>
      <c r="C5" s="298">
        <f>'Master P&amp;L'!V6</f>
        <v>-0.14168148965670171</v>
      </c>
      <c r="F5" s="284">
        <f>'Master P&amp;L'!U6</f>
        <v>-1.2768730100622063E-3</v>
      </c>
    </row>
    <row r="6" spans="1:28" s="304" customFormat="1">
      <c r="A6" s="299" t="s">
        <v>66</v>
      </c>
      <c r="B6" s="300"/>
      <c r="C6" s="301">
        <f>'Master P&amp;L'!V7</f>
        <v>2.7779479605770852</v>
      </c>
      <c r="D6" s="302"/>
      <c r="E6" s="302"/>
      <c r="F6" s="302">
        <f>'Master P&amp;L'!U7</f>
        <v>1.9572670346523834E-2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2.2126416366648246E-2</v>
      </c>
    </row>
    <row r="8" spans="1:28">
      <c r="A8" s="306" t="s">
        <v>68</v>
      </c>
      <c r="B8" s="307"/>
      <c r="C8" s="308">
        <f>'Master P&amp;L'!V7*'Master P&amp;L'!AD5/10000</f>
        <v>623936.85365352139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3303745.6400953955</v>
      </c>
      <c r="D9" s="312"/>
      <c r="E9" s="312"/>
      <c r="F9" s="312"/>
      <c r="G9" s="313"/>
      <c r="H9" s="312"/>
    </row>
    <row r="10" spans="1:28">
      <c r="A10" s="438" t="s">
        <v>2136</v>
      </c>
      <c r="B10" s="442">
        <f>Options!AI1</f>
        <v>-13.882057607474968</v>
      </c>
      <c r="H10" s="286"/>
    </row>
    <row r="11" spans="1:28">
      <c r="A11" s="314">
        <f ca="1">TODAY()</f>
        <v>46044</v>
      </c>
      <c r="H11" s="286"/>
      <c r="L11" s="284"/>
    </row>
    <row r="12" spans="1:28" s="365" customFormat="1" ht="47.25">
      <c r="A12" s="525" t="s">
        <v>72</v>
      </c>
      <c r="B12" s="529" t="s">
        <v>73</v>
      </c>
      <c r="C12" s="557" t="s">
        <v>74</v>
      </c>
      <c r="D12" s="557" t="s">
        <v>75</v>
      </c>
      <c r="E12" s="557" t="s">
        <v>76</v>
      </c>
      <c r="F12" s="557" t="s">
        <v>77</v>
      </c>
      <c r="G12" s="364"/>
      <c r="I12" s="366"/>
      <c r="L12" s="315"/>
      <c r="AA12" s="367"/>
      <c r="AB12" s="367"/>
    </row>
    <row r="13" spans="1:28">
      <c r="A13" s="528" t="s">
        <v>1915</v>
      </c>
      <c r="B13" s="527">
        <v>2.1458306157983536E-2</v>
      </c>
      <c r="C13" s="547">
        <v>0.14499596797712941</v>
      </c>
      <c r="D13" s="526">
        <v>4.9119246759971296E-4</v>
      </c>
      <c r="E13" s="526">
        <v>7.53154499118447E-4</v>
      </c>
      <c r="F13" s="526">
        <v>1.2443469667181599E-3</v>
      </c>
      <c r="G13" s="316"/>
      <c r="H13" s="286"/>
      <c r="L13" s="316"/>
    </row>
    <row r="14" spans="1:28">
      <c r="A14" s="548" t="s">
        <v>38</v>
      </c>
      <c r="B14" s="527">
        <v>-1.6305959086866384E-3</v>
      </c>
      <c r="C14" s="547">
        <v>-1.1953632869616935E-2</v>
      </c>
      <c r="D14" s="526">
        <v>0</v>
      </c>
      <c r="E14" s="526">
        <v>7.53154499118447E-4</v>
      </c>
      <c r="F14" s="526">
        <v>7.53154499118447E-4</v>
      </c>
      <c r="G14" s="316"/>
      <c r="H14" s="286"/>
      <c r="I14" s="285"/>
      <c r="L14" s="316"/>
    </row>
    <row r="15" spans="1:28">
      <c r="A15" s="548" t="s">
        <v>2162</v>
      </c>
      <c r="B15" s="527">
        <v>4.9297510475732054E-4</v>
      </c>
      <c r="C15" s="547">
        <v>1.1718729919078584E-3</v>
      </c>
      <c r="D15" s="526">
        <v>2.3783162370766273E-4</v>
      </c>
      <c r="E15" s="526">
        <v>0</v>
      </c>
      <c r="F15" s="526">
        <v>2.3783162370766273E-4</v>
      </c>
      <c r="G15" s="316"/>
      <c r="H15" s="286"/>
      <c r="I15" s="285"/>
      <c r="L15" s="316"/>
    </row>
    <row r="16" spans="1:28">
      <c r="A16" s="548" t="s">
        <v>461</v>
      </c>
      <c r="B16" s="527">
        <v>6.5512539277879922E-2</v>
      </c>
      <c r="C16" s="547">
        <v>0.15577772785483848</v>
      </c>
      <c r="D16" s="526">
        <v>2.5336084389205021E-4</v>
      </c>
      <c r="E16" s="526">
        <v>0</v>
      </c>
      <c r="F16" s="526">
        <v>2.5336084389205021E-4</v>
      </c>
      <c r="G16" s="316"/>
      <c r="H16" s="286"/>
      <c r="I16" s="285"/>
      <c r="L16" s="316"/>
    </row>
    <row r="17" spans="1:12">
      <c r="A17" s="528" t="s">
        <v>78</v>
      </c>
      <c r="B17" s="527">
        <v>3.9652938636096646E-3</v>
      </c>
      <c r="C17" s="547">
        <v>-6.4160880974318379E-2</v>
      </c>
      <c r="D17" s="526">
        <v>0</v>
      </c>
      <c r="E17" s="526">
        <v>0</v>
      </c>
      <c r="F17" s="526">
        <v>0</v>
      </c>
      <c r="G17" s="316"/>
      <c r="H17" s="286"/>
      <c r="I17" s="285"/>
      <c r="L17" s="316"/>
    </row>
    <row r="18" spans="1:12">
      <c r="A18" s="548" t="s">
        <v>2315</v>
      </c>
      <c r="B18" s="527">
        <v>3.9652938636096646E-3</v>
      </c>
      <c r="C18" s="547">
        <v>-6.4160880974318379E-2</v>
      </c>
      <c r="D18" s="526">
        <v>0</v>
      </c>
      <c r="E18" s="526">
        <v>0</v>
      </c>
      <c r="F18" s="526">
        <v>0</v>
      </c>
      <c r="G18" s="316"/>
      <c r="H18" s="286"/>
      <c r="I18" s="285"/>
      <c r="L18" s="316"/>
    </row>
    <row r="19" spans="1:12">
      <c r="A19" s="528" t="s">
        <v>2155</v>
      </c>
      <c r="B19" s="527">
        <v>-3.1072990740514395E-3</v>
      </c>
      <c r="C19" s="547">
        <v>0.41217711154546505</v>
      </c>
      <c r="D19" s="526">
        <v>8.4175219675041736E-4</v>
      </c>
      <c r="E19" s="526">
        <v>4.9504668173234979E-4</v>
      </c>
      <c r="F19" s="526">
        <v>1.3367988784827672E-3</v>
      </c>
      <c r="G19" s="316"/>
      <c r="H19" s="286"/>
      <c r="I19" s="285"/>
      <c r="L19" s="316"/>
    </row>
    <row r="20" spans="1:12">
      <c r="A20" s="548" t="s">
        <v>131</v>
      </c>
      <c r="B20" s="527">
        <v>1.7277125086385681E-2</v>
      </c>
      <c r="C20" s="547">
        <v>0.46157105735394965</v>
      </c>
      <c r="D20" s="526">
        <v>6.3643053336013872E-4</v>
      </c>
      <c r="E20" s="526">
        <v>4.9504668173234979E-4</v>
      </c>
      <c r="F20" s="526">
        <v>1.1314772150924884E-3</v>
      </c>
      <c r="G20" s="316"/>
      <c r="H20" s="286"/>
      <c r="L20" s="316"/>
    </row>
    <row r="21" spans="1:12">
      <c r="A21" s="548" t="s">
        <v>484</v>
      </c>
      <c r="B21" s="527">
        <v>-2.349172323448856E-2</v>
      </c>
      <c r="C21" s="547">
        <v>-4.9393945808484621E-2</v>
      </c>
      <c r="D21" s="526">
        <v>2.0532166339027865E-4</v>
      </c>
      <c r="E21" s="526">
        <v>0</v>
      </c>
      <c r="F21" s="526">
        <v>2.0532166339027865E-4</v>
      </c>
      <c r="G21" s="316"/>
      <c r="H21" s="286"/>
      <c r="I21" s="285"/>
      <c r="L21" s="316"/>
    </row>
    <row r="22" spans="1:12">
      <c r="A22" s="528" t="s">
        <v>1882</v>
      </c>
      <c r="B22" s="527">
        <v>9.2523503282460062E-3</v>
      </c>
      <c r="C22" s="547">
        <v>0.98968626316615305</v>
      </c>
      <c r="D22" s="526">
        <v>4.0455197353665723E-3</v>
      </c>
      <c r="E22" s="526">
        <v>3.9090318304461904E-3</v>
      </c>
      <c r="F22" s="526">
        <v>7.9545515658127636E-3</v>
      </c>
      <c r="G22" s="316"/>
      <c r="H22" s="286"/>
      <c r="I22" s="285"/>
      <c r="L22" s="316"/>
    </row>
    <row r="23" spans="1:12">
      <c r="A23" s="548" t="s">
        <v>94</v>
      </c>
      <c r="B23" s="527">
        <v>6.8186777220160533E-3</v>
      </c>
      <c r="C23" s="547">
        <v>0.12002516825948982</v>
      </c>
      <c r="D23" s="526">
        <v>1.7722436244523227E-3</v>
      </c>
      <c r="E23" s="526">
        <v>0</v>
      </c>
      <c r="F23" s="526">
        <v>1.7722436244523227E-3</v>
      </c>
      <c r="G23" s="316"/>
      <c r="H23" s="286"/>
      <c r="I23" s="285"/>
      <c r="L23" s="316"/>
    </row>
    <row r="24" spans="1:12">
      <c r="A24" s="548" t="s">
        <v>96</v>
      </c>
      <c r="B24" s="527">
        <v>1.4871826321599446E-2</v>
      </c>
      <c r="C24" s="547">
        <v>0.86888873545291601</v>
      </c>
      <c r="D24" s="526">
        <v>1.3121868373400969E-3</v>
      </c>
      <c r="E24" s="526">
        <v>3.9034355224900619E-3</v>
      </c>
      <c r="F24" s="526">
        <v>5.2156223598301583E-3</v>
      </c>
      <c r="G24" s="316"/>
      <c r="H24" s="291"/>
      <c r="I24" s="285"/>
      <c r="L24" s="316"/>
    </row>
    <row r="25" spans="1:12">
      <c r="A25" s="548" t="s">
        <v>137</v>
      </c>
      <c r="B25" s="527">
        <v>2.3570559610703867E-3</v>
      </c>
      <c r="C25" s="547">
        <v>2.0292850509796581E-2</v>
      </c>
      <c r="D25" s="526">
        <v>9.6279924827485919E-4</v>
      </c>
      <c r="E25" s="526">
        <v>2.4046607766565003E-4</v>
      </c>
      <c r="F25" s="526">
        <v>1.2032653259405092E-3</v>
      </c>
      <c r="G25" s="316"/>
      <c r="H25" s="291"/>
      <c r="I25" s="285"/>
      <c r="L25" s="316"/>
    </row>
    <row r="26" spans="1:12">
      <c r="A26" s="548" t="s">
        <v>138</v>
      </c>
      <c r="B26" s="527">
        <v>1.2961841308298139E-2</v>
      </c>
      <c r="C26" s="547">
        <v>-1.9520491056049465E-2</v>
      </c>
      <c r="D26" s="526">
        <v>-1.7099747007060793E-6</v>
      </c>
      <c r="E26" s="526">
        <v>-2.3486976970952096E-4</v>
      </c>
      <c r="F26" s="526">
        <v>-2.3657974441022706E-4</v>
      </c>
      <c r="G26" s="316"/>
      <c r="H26" s="286"/>
      <c r="I26" s="285"/>
      <c r="L26" s="316"/>
    </row>
    <row r="27" spans="1:12">
      <c r="A27" s="528" t="s">
        <v>2154</v>
      </c>
      <c r="B27" s="527">
        <v>-2.4640428936502832E-3</v>
      </c>
      <c r="C27" s="547">
        <v>7.0765009152478284E-3</v>
      </c>
      <c r="D27" s="526">
        <v>2.5377035546672415E-3</v>
      </c>
      <c r="E27" s="526">
        <v>1.242225201592469E-4</v>
      </c>
      <c r="F27" s="526">
        <v>2.6619260748264885E-3</v>
      </c>
      <c r="G27" s="316"/>
      <c r="H27" s="291"/>
      <c r="I27" s="285"/>
      <c r="L27" s="316"/>
    </row>
    <row r="28" spans="1:12">
      <c r="A28" s="548" t="s">
        <v>1754</v>
      </c>
      <c r="B28" s="527">
        <v>-2.2479681826040876E-3</v>
      </c>
      <c r="C28" s="547">
        <v>-4.557283857418578E-2</v>
      </c>
      <c r="D28" s="526">
        <v>2.0227329121004704E-3</v>
      </c>
      <c r="E28" s="526">
        <v>0</v>
      </c>
      <c r="F28" s="526">
        <v>2.0227329121004704E-3</v>
      </c>
      <c r="G28" s="316"/>
      <c r="H28" s="286"/>
      <c r="I28" s="285"/>
      <c r="L28" s="316"/>
    </row>
    <row r="29" spans="1:12">
      <c r="A29" s="548" t="s">
        <v>2332</v>
      </c>
      <c r="B29" s="527">
        <v>2.0270270270270174E-2</v>
      </c>
      <c r="C29" s="547">
        <v>0.10231204819207373</v>
      </c>
      <c r="D29" s="526">
        <v>5.1497064256677107E-4</v>
      </c>
      <c r="E29" s="526">
        <v>0</v>
      </c>
      <c r="F29" s="526">
        <v>5.1497064256677107E-4</v>
      </c>
      <c r="G29" s="316"/>
      <c r="H29" s="286"/>
      <c r="I29" s="285"/>
      <c r="L29" s="316"/>
    </row>
    <row r="30" spans="1:12">
      <c r="A30" s="548" t="s">
        <v>2337</v>
      </c>
      <c r="B30" s="527">
        <v>-2.5414430768616936E-2</v>
      </c>
      <c r="C30" s="547">
        <v>-4.9662708702640126E-2</v>
      </c>
      <c r="D30" s="526">
        <v>0</v>
      </c>
      <c r="E30" s="526">
        <v>1.242225201592469E-4</v>
      </c>
      <c r="F30" s="526">
        <v>1.242225201592469E-4</v>
      </c>
      <c r="G30" s="316"/>
      <c r="H30" s="286"/>
      <c r="I30" s="285"/>
      <c r="L30" s="316"/>
    </row>
    <row r="31" spans="1:12">
      <c r="A31" s="528" t="s">
        <v>2073</v>
      </c>
      <c r="B31" s="527">
        <v>-2.2652025162785527E-2</v>
      </c>
      <c r="C31" s="547">
        <v>-0.12875578898267664</v>
      </c>
      <c r="D31" s="526">
        <v>1.77398534155323E-4</v>
      </c>
      <c r="E31" s="526">
        <v>3.7498777934147874E-4</v>
      </c>
      <c r="F31" s="526">
        <v>5.5238631349680163E-4</v>
      </c>
      <c r="G31" s="316"/>
      <c r="H31" s="286"/>
      <c r="I31" s="285"/>
      <c r="L31" s="316"/>
    </row>
    <row r="32" spans="1:12">
      <c r="A32" s="548" t="s">
        <v>2072</v>
      </c>
      <c r="B32" s="527">
        <v>-2.2652025162785527E-2</v>
      </c>
      <c r="C32" s="547">
        <v>-0.12875578898267664</v>
      </c>
      <c r="D32" s="526">
        <v>1.77398534155323E-4</v>
      </c>
      <c r="E32" s="526">
        <v>3.7498777934147874E-4</v>
      </c>
      <c r="F32" s="526">
        <v>5.5238631349680163E-4</v>
      </c>
      <c r="G32" s="316"/>
      <c r="H32" s="286"/>
      <c r="L32" s="316"/>
    </row>
    <row r="33" spans="1:28">
      <c r="A33" s="528" t="s">
        <v>2147</v>
      </c>
      <c r="B33" s="527">
        <v>-1.2463768115942075E-2</v>
      </c>
      <c r="C33" s="547">
        <v>-2.1616966830568143E-2</v>
      </c>
      <c r="D33" s="526">
        <v>1.7127675812033888E-4</v>
      </c>
      <c r="E33" s="526">
        <v>0</v>
      </c>
      <c r="F33" s="526">
        <v>1.7127675812033888E-4</v>
      </c>
      <c r="G33" s="316"/>
      <c r="H33" s="286"/>
      <c r="I33" s="285"/>
      <c r="L33" s="316"/>
    </row>
    <row r="34" spans="1:28">
      <c r="A34" s="548" t="s">
        <v>2146</v>
      </c>
      <c r="B34" s="527">
        <v>-1.2463768115942075E-2</v>
      </c>
      <c r="C34" s="547">
        <v>-2.1616966830568143E-2</v>
      </c>
      <c r="D34" s="526">
        <v>1.7127675812033888E-4</v>
      </c>
      <c r="E34" s="526">
        <v>0</v>
      </c>
      <c r="F34" s="526">
        <v>1.7127675812033888E-4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28" t="s">
        <v>2289</v>
      </c>
      <c r="B35" s="527">
        <v>1.2028730371414054E-2</v>
      </c>
      <c r="C35" s="547">
        <v>0.94577432919780224</v>
      </c>
      <c r="D35" s="526">
        <v>5.3885695339766521E-3</v>
      </c>
      <c r="E35" s="526">
        <v>1.1985671444850951E-3</v>
      </c>
      <c r="F35" s="526">
        <v>6.5871366784617472E-3</v>
      </c>
      <c r="G35" s="316"/>
      <c r="H35" s="286"/>
      <c r="I35" s="285"/>
      <c r="L35" s="316"/>
    </row>
    <row r="36" spans="1:28">
      <c r="A36" s="548" t="s">
        <v>81</v>
      </c>
      <c r="B36" s="527">
        <v>3.4080527277473127E-2</v>
      </c>
      <c r="C36" s="547">
        <v>0.72215421125250723</v>
      </c>
      <c r="D36" s="526">
        <v>1.5871617434202565E-3</v>
      </c>
      <c r="E36" s="526">
        <v>6.1633948095211422E-4</v>
      </c>
      <c r="F36" s="526">
        <v>2.2035012243723706E-3</v>
      </c>
      <c r="G36" s="316"/>
      <c r="H36" s="286"/>
      <c r="I36" s="285"/>
      <c r="L36" s="316"/>
    </row>
    <row r="37" spans="1:28">
      <c r="A37" s="548" t="s">
        <v>90</v>
      </c>
      <c r="B37" s="527">
        <v>2.139109680034279E-3</v>
      </c>
      <c r="C37" s="547">
        <v>3.1508693336548772E-2</v>
      </c>
      <c r="D37" s="526">
        <v>6.5008485691755871E-4</v>
      </c>
      <c r="E37" s="526">
        <v>5.8222766353298078E-4</v>
      </c>
      <c r="F37" s="526">
        <v>1.2323125204505394E-3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48" t="s">
        <v>399</v>
      </c>
      <c r="B38" s="527">
        <v>5.3175392330637727E-3</v>
      </c>
      <c r="C38" s="547">
        <v>5.8698191683870762E-2</v>
      </c>
      <c r="D38" s="526">
        <v>1.1097298775745871E-3</v>
      </c>
      <c r="E38" s="526">
        <v>0</v>
      </c>
      <c r="F38" s="526">
        <v>1.1097298775745871E-3</v>
      </c>
      <c r="G38" s="316"/>
      <c r="H38" s="286"/>
      <c r="I38" s="285"/>
      <c r="L38" s="316"/>
      <c r="AA38" s="319"/>
      <c r="AB38" s="319"/>
    </row>
    <row r="39" spans="1:28">
      <c r="A39" s="548" t="s">
        <v>2170</v>
      </c>
      <c r="B39" s="527">
        <v>6.5777452950850357E-3</v>
      </c>
      <c r="C39" s="547">
        <v>0.13341323292487536</v>
      </c>
      <c r="D39" s="526">
        <v>2.0415930560642496E-3</v>
      </c>
      <c r="E39" s="526">
        <v>0</v>
      </c>
      <c r="F39" s="526">
        <v>2.0415930560642496E-3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28" t="s">
        <v>2295</v>
      </c>
      <c r="B40" s="527">
        <v>2.7717184737947598E-3</v>
      </c>
      <c r="C40" s="547">
        <v>7.0211176095465566E-2</v>
      </c>
      <c r="D40" s="526">
        <v>-1.1886185060815618E-5</v>
      </c>
      <c r="E40" s="526">
        <v>0</v>
      </c>
      <c r="F40" s="526">
        <v>-1.1886185060815618E-5</v>
      </c>
      <c r="G40" s="286"/>
      <c r="H40" s="286"/>
      <c r="L40" s="316"/>
    </row>
    <row r="41" spans="1:28">
      <c r="A41" s="548" t="s">
        <v>88</v>
      </c>
      <c r="B41" s="527">
        <v>4.9569771791995176E-3</v>
      </c>
      <c r="C41" s="547">
        <v>5.0596492826355803E-2</v>
      </c>
      <c r="D41" s="526">
        <v>1.0257722932437584E-3</v>
      </c>
      <c r="E41" s="526">
        <v>0</v>
      </c>
      <c r="F41" s="526">
        <v>1.0257722932437584E-3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48" t="s">
        <v>4</v>
      </c>
      <c r="B42" s="527">
        <v>-2.6686074721009589E-3</v>
      </c>
      <c r="C42" s="547">
        <v>2.5248688037896722E-2</v>
      </c>
      <c r="D42" s="526">
        <v>-9.4361233203449043E-4</v>
      </c>
      <c r="E42" s="526">
        <v>0</v>
      </c>
      <c r="F42" s="526">
        <v>-9.4361233203449043E-4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48" t="s">
        <v>2321</v>
      </c>
      <c r="B43" s="527">
        <v>6.0267857142857206E-3</v>
      </c>
      <c r="C43" s="547">
        <v>-5.6340047687869661E-3</v>
      </c>
      <c r="D43" s="526">
        <v>-9.4046146270083557E-5</v>
      </c>
      <c r="E43" s="526">
        <v>0</v>
      </c>
      <c r="F43" s="526">
        <v>-9.4046146270083557E-5</v>
      </c>
      <c r="G43" s="286"/>
      <c r="H43" s="286"/>
      <c r="I43" s="285"/>
      <c r="L43" s="316"/>
    </row>
    <row r="44" spans="1:28">
      <c r="A44" s="528" t="s">
        <v>97</v>
      </c>
      <c r="B44" s="527">
        <v>5.1389622931728848E-3</v>
      </c>
      <c r="C44" s="547">
        <v>2.3553877121096995</v>
      </c>
      <c r="D44" s="526">
        <v>1.3641526595575444E-2</v>
      </c>
      <c r="E44" s="526">
        <v>6.8550104552828079E-3</v>
      </c>
      <c r="F44" s="526">
        <v>2.0496537050858247E-2</v>
      </c>
      <c r="G44" s="286"/>
      <c r="H44" s="286"/>
      <c r="I44" s="285"/>
      <c r="L44" s="316"/>
      <c r="S44" s="317"/>
      <c r="T44" s="317"/>
      <c r="U44" s="317"/>
    </row>
    <row r="45" spans="1:28">
      <c r="A45"/>
      <c r="B45"/>
      <c r="C45"/>
      <c r="D45"/>
      <c r="E45"/>
      <c r="F45"/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7" priority="10091" operator="lessThan">
      <formula>0</formula>
    </cfRule>
  </conditionalFormatting>
  <conditionalFormatting sqref="H86:H1048576 F1:H9 F12:G12 G10:G11">
    <cfRule type="cellIs" dxfId="1656" priority="10088" operator="lessThan">
      <formula>0</formula>
    </cfRule>
    <cfRule type="cellIs" dxfId="1655" priority="10089" operator="lessThan">
      <formula>0</formula>
    </cfRule>
  </conditionalFormatting>
  <conditionalFormatting sqref="F136:G1048576 G86:G135">
    <cfRule type="cellIs" dxfId="1654" priority="5724" operator="lessThan">
      <formula>0</formula>
    </cfRule>
  </conditionalFormatting>
  <conditionalFormatting sqref="F136:G1048576 G86:G135">
    <cfRule type="cellIs" dxfId="1653" priority="5723" operator="lessThan">
      <formula>0</formula>
    </cfRule>
  </conditionalFormatting>
  <conditionalFormatting sqref="F136:G1048576 G86:G135">
    <cfRule type="cellIs" dxfId="1652" priority="5721" operator="lessThan">
      <formula>0</formula>
    </cfRule>
    <cfRule type="cellIs" dxfId="1651" priority="5722" operator="lessThan">
      <formula>0</formula>
    </cfRule>
  </conditionalFormatting>
  <conditionalFormatting sqref="F136:G1048576 G86:G135">
    <cfRule type="cellIs" dxfId="1650" priority="5720" operator="lessThan">
      <formula>0</formula>
    </cfRule>
  </conditionalFormatting>
  <conditionalFormatting sqref="F136:G1048576 G86:G135">
    <cfRule type="cellIs" dxfId="1649" priority="5719" operator="lessThan">
      <formula>0</formula>
    </cfRule>
  </conditionalFormatting>
  <conditionalFormatting sqref="F136:G1048576 G86:G135">
    <cfRule type="cellIs" dxfId="1648" priority="5718" operator="lessThan">
      <formula>0</formula>
    </cfRule>
  </conditionalFormatting>
  <conditionalFormatting sqref="F136:G1048576 G86:G135">
    <cfRule type="cellIs" dxfId="1647" priority="5717" operator="lessThan">
      <formula>0</formula>
    </cfRule>
  </conditionalFormatting>
  <conditionalFormatting sqref="F136:G1048576 G86:G135">
    <cfRule type="cellIs" dxfId="1646" priority="5716" operator="lessThan">
      <formula>0</formula>
    </cfRule>
  </conditionalFormatting>
  <conditionalFormatting sqref="F136:G1048576 G86:G135">
    <cfRule type="cellIs" dxfId="1645" priority="5715" operator="lessThan">
      <formula>0</formula>
    </cfRule>
  </conditionalFormatting>
  <conditionalFormatting sqref="F136:G1048576 G86:G135">
    <cfRule type="cellIs" dxfId="1644" priority="5714" operator="lessThan">
      <formula>0</formula>
    </cfRule>
  </conditionalFormatting>
  <conditionalFormatting sqref="F136:G1048576 G86:G135">
    <cfRule type="cellIs" dxfId="1643" priority="5713" operator="lessThan">
      <formula>0</formula>
    </cfRule>
  </conditionalFormatting>
  <conditionalFormatting sqref="F136:G1048576 G86:G135">
    <cfRule type="cellIs" dxfId="1642" priority="5712" operator="lessThan">
      <formula>0</formula>
    </cfRule>
  </conditionalFormatting>
  <conditionalFormatting sqref="F136:G1048576 G86:G135">
    <cfRule type="cellIs" dxfId="1641" priority="5711" operator="lessThan">
      <formula>0</formula>
    </cfRule>
  </conditionalFormatting>
  <conditionalFormatting sqref="F136:G1048576 G86:G135">
    <cfRule type="cellIs" dxfId="1640" priority="5710" operator="lessThan">
      <formula>0</formula>
    </cfRule>
  </conditionalFormatting>
  <conditionalFormatting sqref="F136:G1048576 G86:G135">
    <cfRule type="cellIs" dxfId="1639" priority="5709" operator="lessThan">
      <formula>0</formula>
    </cfRule>
  </conditionalFormatting>
  <conditionalFormatting sqref="F136:G1048576 G86:G135">
    <cfRule type="cellIs" dxfId="1638" priority="5708" operator="lessThan">
      <formula>0</formula>
    </cfRule>
  </conditionalFormatting>
  <conditionalFormatting sqref="F136:G1048576 G86:G135">
    <cfRule type="cellIs" dxfId="1637" priority="5707" operator="lessThan">
      <formula>0</formula>
    </cfRule>
  </conditionalFormatting>
  <conditionalFormatting sqref="F136:G1048576 G86:G135">
    <cfRule type="cellIs" dxfId="1636" priority="5706" operator="lessThan">
      <formula>0</formula>
    </cfRule>
  </conditionalFormatting>
  <conditionalFormatting sqref="F136:G1048576 G86:G135">
    <cfRule type="cellIs" dxfId="1635" priority="5705" operator="lessThan">
      <formula>0</formula>
    </cfRule>
  </conditionalFormatting>
  <conditionalFormatting sqref="F136:G1048576 G86:G135">
    <cfRule type="cellIs" dxfId="1634" priority="5704" operator="lessThan">
      <formula>0</formula>
    </cfRule>
  </conditionalFormatting>
  <conditionalFormatting sqref="F136:G1048576 G86:G135">
    <cfRule type="cellIs" dxfId="1633" priority="5703" operator="lessThan">
      <formula>0</formula>
    </cfRule>
  </conditionalFormatting>
  <conditionalFormatting sqref="F136:G1048576 G86:G135">
    <cfRule type="cellIs" dxfId="1632" priority="5702" operator="lessThan">
      <formula>0</formula>
    </cfRule>
  </conditionalFormatting>
  <conditionalFormatting sqref="F136:G1048576 G86:G135">
    <cfRule type="cellIs" dxfId="1631" priority="5701" operator="lessThan">
      <formula>0</formula>
    </cfRule>
  </conditionalFormatting>
  <conditionalFormatting sqref="F136:G1048576 G86:G135">
    <cfRule type="cellIs" dxfId="1630" priority="5700" operator="lessThan">
      <formula>0</formula>
    </cfRule>
  </conditionalFormatting>
  <conditionalFormatting sqref="F136:G1048576 G86:G135">
    <cfRule type="cellIs" dxfId="1629" priority="5699" operator="lessThan">
      <formula>0</formula>
    </cfRule>
  </conditionalFormatting>
  <conditionalFormatting sqref="F136:G1048576 G86:G135">
    <cfRule type="cellIs" dxfId="1628" priority="5698" operator="lessThan">
      <formula>0</formula>
    </cfRule>
  </conditionalFormatting>
  <conditionalFormatting sqref="F136:G1048576 G86:G135">
    <cfRule type="cellIs" dxfId="1627" priority="5697" operator="lessThan">
      <formula>0</formula>
    </cfRule>
  </conditionalFormatting>
  <conditionalFormatting sqref="F136:G1048576 G86:G135">
    <cfRule type="cellIs" dxfId="1626" priority="5696" operator="lessThan">
      <formula>0</formula>
    </cfRule>
  </conditionalFormatting>
  <conditionalFormatting sqref="F136:G1048576 G86:G135">
    <cfRule type="cellIs" dxfId="1625" priority="5695" operator="lessThan">
      <formula>0</formula>
    </cfRule>
  </conditionalFormatting>
  <conditionalFormatting sqref="F136:G1048576 G86:G135">
    <cfRule type="cellIs" dxfId="1624" priority="5694" operator="lessThan">
      <formula>0</formula>
    </cfRule>
  </conditionalFormatting>
  <conditionalFormatting sqref="F136:G1048576 G86:G135">
    <cfRule type="cellIs" dxfId="1623" priority="5693" operator="lessThan">
      <formula>0</formula>
    </cfRule>
  </conditionalFormatting>
  <conditionalFormatting sqref="F136:G1048576 G86:G135">
    <cfRule type="cellIs" dxfId="1622" priority="5692" operator="lessThan">
      <formula>0</formula>
    </cfRule>
  </conditionalFormatting>
  <conditionalFormatting sqref="F136:G1048576 G86:G135">
    <cfRule type="cellIs" dxfId="1621" priority="5691" operator="lessThan">
      <formula>0</formula>
    </cfRule>
  </conditionalFormatting>
  <conditionalFormatting sqref="F136:G1048576 G86:G135">
    <cfRule type="cellIs" dxfId="1620" priority="5690" operator="lessThan">
      <formula>0</formula>
    </cfRule>
  </conditionalFormatting>
  <conditionalFormatting sqref="F136:G1048576 G86:G135">
    <cfRule type="cellIs" dxfId="1619" priority="5689" operator="lessThan">
      <formula>0</formula>
    </cfRule>
  </conditionalFormatting>
  <conditionalFormatting sqref="F136:G1048576 G86:G135">
    <cfRule type="cellIs" dxfId="1618" priority="5688" operator="lessThan">
      <formula>0</formula>
    </cfRule>
  </conditionalFormatting>
  <conditionalFormatting sqref="F136:G1048576 G86:G135">
    <cfRule type="cellIs" dxfId="1617" priority="5687" operator="lessThan">
      <formula>0</formula>
    </cfRule>
  </conditionalFormatting>
  <conditionalFormatting sqref="F136:G1048576 G86:G135">
    <cfRule type="cellIs" dxfId="1616" priority="5686" operator="lessThan">
      <formula>0</formula>
    </cfRule>
  </conditionalFormatting>
  <conditionalFormatting sqref="F136:G1048576 G86:G135">
    <cfRule type="cellIs" dxfId="1615" priority="5685" operator="lessThan">
      <formula>0</formula>
    </cfRule>
  </conditionalFormatting>
  <conditionalFormatting sqref="F136:G1048576 G86:G135">
    <cfRule type="cellIs" dxfId="1614" priority="5684" operator="lessThan">
      <formula>0</formula>
    </cfRule>
  </conditionalFormatting>
  <conditionalFormatting sqref="F136:G1048576 G86:G135">
    <cfRule type="cellIs" dxfId="1613" priority="5683" operator="lessThan">
      <formula>0</formula>
    </cfRule>
  </conditionalFormatting>
  <conditionalFormatting sqref="F136:G1048576 G86:G135">
    <cfRule type="cellIs" dxfId="1612" priority="5682" operator="lessThan">
      <formula>0</formula>
    </cfRule>
  </conditionalFormatting>
  <conditionalFormatting sqref="F136:G1048576 G86:G135">
    <cfRule type="cellIs" dxfId="1611" priority="5681" operator="lessThan">
      <formula>0</formula>
    </cfRule>
  </conditionalFormatting>
  <conditionalFormatting sqref="F136:G1048576 G86:G135">
    <cfRule type="cellIs" dxfId="1610" priority="5680" operator="lessThan">
      <formula>0</formula>
    </cfRule>
  </conditionalFormatting>
  <conditionalFormatting sqref="F136:G1048576 G86:G135">
    <cfRule type="cellIs" dxfId="1609" priority="5679" operator="lessThan">
      <formula>0</formula>
    </cfRule>
  </conditionalFormatting>
  <conditionalFormatting sqref="F136:G1048576 G86:G135">
    <cfRule type="cellIs" dxfId="1608" priority="5678" operator="lessThan">
      <formula>0</formula>
    </cfRule>
  </conditionalFormatting>
  <conditionalFormatting sqref="F136:G1048576 G86:G135">
    <cfRule type="cellIs" dxfId="1607" priority="5677" operator="lessThan">
      <formula>0</formula>
    </cfRule>
  </conditionalFormatting>
  <conditionalFormatting sqref="F136:G1048576 G86:G135">
    <cfRule type="cellIs" dxfId="1606" priority="5676" operator="lessThan">
      <formula>0</formula>
    </cfRule>
  </conditionalFormatting>
  <conditionalFormatting sqref="F136:G1048576 G86:G135">
    <cfRule type="cellIs" dxfId="1605" priority="5675" operator="lessThan">
      <formula>0</formula>
    </cfRule>
  </conditionalFormatting>
  <conditionalFormatting sqref="F136:G1048576 G86:G135">
    <cfRule type="cellIs" dxfId="1604" priority="5674" operator="lessThan">
      <formula>0</formula>
    </cfRule>
  </conditionalFormatting>
  <conditionalFormatting sqref="F136:G1048576 G86:G135">
    <cfRule type="cellIs" dxfId="1603" priority="5673" operator="lessThan">
      <formula>0</formula>
    </cfRule>
  </conditionalFormatting>
  <conditionalFormatting sqref="F136:G1048576 G86:G135">
    <cfRule type="cellIs" dxfId="1602" priority="5672" operator="lessThan">
      <formula>0</formula>
    </cfRule>
  </conditionalFormatting>
  <conditionalFormatting sqref="F136:G1048576 G86:G135">
    <cfRule type="cellIs" dxfId="1601" priority="5671" operator="lessThan">
      <formula>0</formula>
    </cfRule>
  </conditionalFormatting>
  <conditionalFormatting sqref="F136:G1048576 G86:G135">
    <cfRule type="cellIs" dxfId="1600" priority="5670" operator="lessThan">
      <formula>0</formula>
    </cfRule>
  </conditionalFormatting>
  <conditionalFormatting sqref="F136:G1048576 G86:G135">
    <cfRule type="cellIs" dxfId="1599" priority="5669" operator="lessThan">
      <formula>0</formula>
    </cfRule>
  </conditionalFormatting>
  <conditionalFormatting sqref="F136:G1048576 G86:G135">
    <cfRule type="cellIs" dxfId="1598" priority="5668" operator="lessThan">
      <formula>0</formula>
    </cfRule>
  </conditionalFormatting>
  <conditionalFormatting sqref="F136:G1048576 G86:G135">
    <cfRule type="cellIs" dxfId="1597" priority="5667" operator="lessThan">
      <formula>0</formula>
    </cfRule>
  </conditionalFormatting>
  <conditionalFormatting sqref="F136:G1048576 G86:G135">
    <cfRule type="cellIs" dxfId="1596" priority="5666" operator="lessThan">
      <formula>0</formula>
    </cfRule>
  </conditionalFormatting>
  <conditionalFormatting sqref="F136:G1048576 G86:G135">
    <cfRule type="cellIs" dxfId="1595" priority="5665" operator="lessThan">
      <formula>0</formula>
    </cfRule>
  </conditionalFormatting>
  <conditionalFormatting sqref="F136:G1048576 G86:G135">
    <cfRule type="cellIs" dxfId="1594" priority="5664" operator="lessThan">
      <formula>0</formula>
    </cfRule>
  </conditionalFormatting>
  <conditionalFormatting sqref="F136:G1048576 G86:G135">
    <cfRule type="cellIs" dxfId="1593" priority="5663" operator="lessThan">
      <formula>0</formula>
    </cfRule>
  </conditionalFormatting>
  <conditionalFormatting sqref="F136:G1048576 G86:G135">
    <cfRule type="cellIs" dxfId="1592" priority="5662" operator="lessThan">
      <formula>0</formula>
    </cfRule>
  </conditionalFormatting>
  <conditionalFormatting sqref="F136:G1048576 G86:G135">
    <cfRule type="cellIs" dxfId="1591" priority="5661" operator="lessThan">
      <formula>0</formula>
    </cfRule>
  </conditionalFormatting>
  <conditionalFormatting sqref="F136:G1048576 G86:G135">
    <cfRule type="cellIs" dxfId="1590" priority="5660" operator="lessThan">
      <formula>0</formula>
    </cfRule>
  </conditionalFormatting>
  <conditionalFormatting sqref="F136:G1048576 G86:G135">
    <cfRule type="cellIs" dxfId="1589" priority="5659" operator="lessThan">
      <formula>0</formula>
    </cfRule>
  </conditionalFormatting>
  <conditionalFormatting sqref="F136:G1048576 G86:G135">
    <cfRule type="cellIs" dxfId="1588" priority="5658" operator="lessThan">
      <formula>0</formula>
    </cfRule>
  </conditionalFormatting>
  <conditionalFormatting sqref="F136:G1048576 G86:G135">
    <cfRule type="cellIs" dxfId="1587" priority="5657" operator="lessThan">
      <formula>0</formula>
    </cfRule>
  </conditionalFormatting>
  <conditionalFormatting sqref="F136:G1048576 G86:G135">
    <cfRule type="cellIs" dxfId="1586" priority="5656" operator="lessThan">
      <formula>0</formula>
    </cfRule>
  </conditionalFormatting>
  <conditionalFormatting sqref="F136:G1048576 G86:G135">
    <cfRule type="cellIs" dxfId="1585" priority="5655" operator="lessThan">
      <formula>0</formula>
    </cfRule>
  </conditionalFormatting>
  <conditionalFormatting sqref="F136:G1048576 G86:G135">
    <cfRule type="cellIs" dxfId="1584" priority="5654" operator="lessThan">
      <formula>0</formula>
    </cfRule>
  </conditionalFormatting>
  <conditionalFormatting sqref="F136:G1048576 G86:G135">
    <cfRule type="cellIs" dxfId="1583" priority="5653" operator="lessThan">
      <formula>0</formula>
    </cfRule>
  </conditionalFormatting>
  <conditionalFormatting sqref="F136:G1048576 G86:G135">
    <cfRule type="cellIs" dxfId="1582" priority="5652" operator="lessThan">
      <formula>0</formula>
    </cfRule>
  </conditionalFormatting>
  <conditionalFormatting sqref="F136:G1048576 G86:G135">
    <cfRule type="cellIs" dxfId="1581" priority="5651" operator="lessThan">
      <formula>0</formula>
    </cfRule>
  </conditionalFormatting>
  <conditionalFormatting sqref="F136:G1048576 G86:G135">
    <cfRule type="cellIs" dxfId="1580" priority="5650" operator="lessThan">
      <formula>0</formula>
    </cfRule>
  </conditionalFormatting>
  <conditionalFormatting sqref="F136:G1048576 G86:G135">
    <cfRule type="cellIs" dxfId="1579" priority="5649" operator="lessThan">
      <formula>0</formula>
    </cfRule>
  </conditionalFormatting>
  <conditionalFormatting sqref="F136:G1048576 G86:G135">
    <cfRule type="cellIs" dxfId="1578" priority="5648" operator="lessThan">
      <formula>0</formula>
    </cfRule>
  </conditionalFormatting>
  <conditionalFormatting sqref="F136:G1048576 G86:G135">
    <cfRule type="cellIs" dxfId="1577" priority="5647" operator="lessThan">
      <formula>0</formula>
    </cfRule>
  </conditionalFormatting>
  <conditionalFormatting sqref="F136:G1048576 G86:G135">
    <cfRule type="cellIs" dxfId="1576" priority="5646" operator="lessThan">
      <formula>0</formula>
    </cfRule>
  </conditionalFormatting>
  <conditionalFormatting sqref="F136:G1048576 G86:G135">
    <cfRule type="cellIs" dxfId="1575" priority="5645" operator="lessThan">
      <formula>0</formula>
    </cfRule>
  </conditionalFormatting>
  <conditionalFormatting sqref="F136:G1048576 G86:G135">
    <cfRule type="cellIs" dxfId="1574" priority="5644" operator="lessThan">
      <formula>0</formula>
    </cfRule>
  </conditionalFormatting>
  <conditionalFormatting sqref="F136:G1048576 G86:G135">
    <cfRule type="cellIs" dxfId="1573" priority="5643" operator="lessThan">
      <formula>0</formula>
    </cfRule>
  </conditionalFormatting>
  <conditionalFormatting sqref="F136:G1048576 G86:G135">
    <cfRule type="cellIs" dxfId="1572" priority="5642" operator="lessThan">
      <formula>0</formula>
    </cfRule>
  </conditionalFormatting>
  <conditionalFormatting sqref="F136:G1048576 G86:G135">
    <cfRule type="cellIs" dxfId="1571" priority="5641" operator="lessThan">
      <formula>0</formula>
    </cfRule>
  </conditionalFormatting>
  <conditionalFormatting sqref="F136:G1048576 G86:G135">
    <cfRule type="cellIs" dxfId="1570" priority="5640" operator="lessThan">
      <formula>0</formula>
    </cfRule>
  </conditionalFormatting>
  <conditionalFormatting sqref="F136:G1048576 G86:G135">
    <cfRule type="cellIs" dxfId="1569" priority="5639" operator="lessThan">
      <formula>0</formula>
    </cfRule>
  </conditionalFormatting>
  <conditionalFormatting sqref="F136:G1048576 G86:G135">
    <cfRule type="cellIs" dxfId="1568" priority="5638" operator="lessThan">
      <formula>0</formula>
    </cfRule>
  </conditionalFormatting>
  <conditionalFormatting sqref="F136:G1048576 G86:G135">
    <cfRule type="cellIs" dxfId="1567" priority="5637" operator="lessThan">
      <formula>0</formula>
    </cfRule>
  </conditionalFormatting>
  <conditionalFormatting sqref="F136:G1048576 G86:G135">
    <cfRule type="cellIs" dxfId="1566" priority="5636" operator="lessThan">
      <formula>0</formula>
    </cfRule>
  </conditionalFormatting>
  <conditionalFormatting sqref="F136:G1048576 G86:G135">
    <cfRule type="cellIs" dxfId="1565" priority="5635" operator="lessThan">
      <formula>0</formula>
    </cfRule>
  </conditionalFormatting>
  <conditionalFormatting sqref="F136:G1048576 G86:G135">
    <cfRule type="cellIs" dxfId="1564" priority="5634" operator="lessThan">
      <formula>0</formula>
    </cfRule>
  </conditionalFormatting>
  <conditionalFormatting sqref="F136:G1048576 G86:G135">
    <cfRule type="cellIs" dxfId="1563" priority="5633" operator="lessThan">
      <formula>0</formula>
    </cfRule>
  </conditionalFormatting>
  <conditionalFormatting sqref="F136:G1048576 G86:G135">
    <cfRule type="cellIs" dxfId="1562" priority="5632" operator="lessThan">
      <formula>0</formula>
    </cfRule>
  </conditionalFormatting>
  <conditionalFormatting sqref="F136:G1048576 G86:G135">
    <cfRule type="cellIs" dxfId="1561" priority="5631" operator="lessThan">
      <formula>0</formula>
    </cfRule>
  </conditionalFormatting>
  <conditionalFormatting sqref="F136:G1048576 G86:G135">
    <cfRule type="cellIs" dxfId="1560" priority="5630" operator="lessThan">
      <formula>0</formula>
    </cfRule>
  </conditionalFormatting>
  <conditionalFormatting sqref="F136:G1048576 G86:G135">
    <cfRule type="cellIs" dxfId="1559" priority="5629" operator="lessThan">
      <formula>0</formula>
    </cfRule>
  </conditionalFormatting>
  <conditionalFormatting sqref="F136:G1048576 G86:G135">
    <cfRule type="cellIs" dxfId="1558" priority="5628" operator="lessThan">
      <formula>0</formula>
    </cfRule>
  </conditionalFormatting>
  <conditionalFormatting sqref="F136:G1048576 G86:G135">
    <cfRule type="cellIs" dxfId="1557" priority="5627" operator="lessThan">
      <formula>0</formula>
    </cfRule>
  </conditionalFormatting>
  <conditionalFormatting sqref="F136:G1048576 G86:G135">
    <cfRule type="cellIs" dxfId="1556" priority="5626" operator="lessThan">
      <formula>0</formula>
    </cfRule>
  </conditionalFormatting>
  <conditionalFormatting sqref="F136:G1048576 G86:G135">
    <cfRule type="cellIs" dxfId="1555" priority="5625" operator="lessThan">
      <formula>0</formula>
    </cfRule>
  </conditionalFormatting>
  <conditionalFormatting sqref="F136:G1048576 G86:G135">
    <cfRule type="cellIs" dxfId="1554" priority="5624" operator="lessThan">
      <formula>0</formula>
    </cfRule>
  </conditionalFormatting>
  <conditionalFormatting sqref="F136:G1048576 G86:G135">
    <cfRule type="cellIs" dxfId="1553" priority="5623" operator="lessThan">
      <formula>0</formula>
    </cfRule>
  </conditionalFormatting>
  <conditionalFormatting sqref="F136:G1048576 G86:G135">
    <cfRule type="cellIs" dxfId="1552" priority="5622" operator="lessThan">
      <formula>0</formula>
    </cfRule>
  </conditionalFormatting>
  <conditionalFormatting sqref="F136:G1048576 G86:G135">
    <cfRule type="cellIs" dxfId="1551" priority="5621" operator="lessThan">
      <formula>0</formula>
    </cfRule>
  </conditionalFormatting>
  <conditionalFormatting sqref="F136:G1048576 G86:G135">
    <cfRule type="cellIs" dxfId="1550" priority="5620" operator="lessThan">
      <formula>0</formula>
    </cfRule>
  </conditionalFormatting>
  <conditionalFormatting sqref="F136:G1048576 G86:G135">
    <cfRule type="cellIs" dxfId="1549" priority="5619" operator="lessThan">
      <formula>0</formula>
    </cfRule>
  </conditionalFormatting>
  <conditionalFormatting sqref="F136:G1048576 G86:G135">
    <cfRule type="cellIs" dxfId="1548" priority="5618" operator="lessThan">
      <formula>0</formula>
    </cfRule>
  </conditionalFormatting>
  <conditionalFormatting sqref="F136:G1048576 G86:G135">
    <cfRule type="cellIs" dxfId="1547" priority="5617" operator="lessThan">
      <formula>0</formula>
    </cfRule>
  </conditionalFormatting>
  <conditionalFormatting sqref="F136:G1048576 G86:G135">
    <cfRule type="cellIs" dxfId="1546" priority="5616" operator="lessThan">
      <formula>0</formula>
    </cfRule>
  </conditionalFormatting>
  <conditionalFormatting sqref="F136:G1048576 G86:G135">
    <cfRule type="cellIs" dxfId="1545" priority="5615" operator="lessThan">
      <formula>0</formula>
    </cfRule>
  </conditionalFormatting>
  <conditionalFormatting sqref="F136:G1048576 G86:G135">
    <cfRule type="cellIs" dxfId="1544" priority="5614" operator="lessThan">
      <formula>0</formula>
    </cfRule>
  </conditionalFormatting>
  <conditionalFormatting sqref="F136:G1048576 G86:G135">
    <cfRule type="cellIs" dxfId="1543" priority="5613" operator="lessThan">
      <formula>0</formula>
    </cfRule>
  </conditionalFormatting>
  <conditionalFormatting sqref="F136:G1048576 G86:G135">
    <cfRule type="cellIs" dxfId="1542" priority="5612" operator="lessThan">
      <formula>0</formula>
    </cfRule>
  </conditionalFormatting>
  <conditionalFormatting sqref="F136:G1048576 G86:G135">
    <cfRule type="cellIs" dxfId="1541" priority="5611" operator="lessThan">
      <formula>0</formula>
    </cfRule>
  </conditionalFormatting>
  <conditionalFormatting sqref="F136:G1048576 G86:G135">
    <cfRule type="cellIs" dxfId="1540" priority="5610" operator="lessThan">
      <formula>0</formula>
    </cfRule>
  </conditionalFormatting>
  <conditionalFormatting sqref="F136:G1048576 G86:G135">
    <cfRule type="cellIs" dxfId="1539" priority="5609" operator="lessThan">
      <formula>0</formula>
    </cfRule>
  </conditionalFormatting>
  <conditionalFormatting sqref="F136:G1048576 G86:G135">
    <cfRule type="cellIs" dxfId="1538" priority="5608" operator="lessThan">
      <formula>0</formula>
    </cfRule>
  </conditionalFormatting>
  <conditionalFormatting sqref="F136:G1048576 G86:G135">
    <cfRule type="cellIs" dxfId="1537" priority="5607" operator="lessThan">
      <formula>0</formula>
    </cfRule>
  </conditionalFormatting>
  <conditionalFormatting sqref="F136:G1048576 G86:G135">
    <cfRule type="cellIs" dxfId="1536" priority="5606" operator="lessThan">
      <formula>0</formula>
    </cfRule>
  </conditionalFormatting>
  <conditionalFormatting sqref="F136:G1048576 G86:G135">
    <cfRule type="cellIs" dxfId="1535" priority="5605" operator="lessThan">
      <formula>0</formula>
    </cfRule>
  </conditionalFormatting>
  <conditionalFormatting sqref="F136:G1048576 G86:G135">
    <cfRule type="cellIs" dxfId="1534" priority="5604" operator="lessThan">
      <formula>0</formula>
    </cfRule>
  </conditionalFormatting>
  <conditionalFormatting sqref="F136:G1048576 G86:G135">
    <cfRule type="cellIs" dxfId="1533" priority="5603" operator="lessThan">
      <formula>0</formula>
    </cfRule>
  </conditionalFormatting>
  <conditionalFormatting sqref="F136:G1048576 G86:G135">
    <cfRule type="cellIs" dxfId="1532" priority="5602" operator="lessThan">
      <formula>0</formula>
    </cfRule>
  </conditionalFormatting>
  <conditionalFormatting sqref="F136:G1048576 G86:G135">
    <cfRule type="cellIs" dxfId="1531" priority="5601" operator="lessThan">
      <formula>0</formula>
    </cfRule>
  </conditionalFormatting>
  <conditionalFormatting sqref="F136:G1048576 G86:G135">
    <cfRule type="cellIs" dxfId="1530" priority="5600" operator="lessThan">
      <formula>0</formula>
    </cfRule>
  </conditionalFormatting>
  <conditionalFormatting sqref="F136:G1048576 G86:G135">
    <cfRule type="cellIs" dxfId="1529" priority="5599" operator="lessThan">
      <formula>0</formula>
    </cfRule>
  </conditionalFormatting>
  <conditionalFormatting sqref="F136:G1048576 G86:G135">
    <cfRule type="cellIs" dxfId="1528" priority="5598" operator="lessThan">
      <formula>0</formula>
    </cfRule>
  </conditionalFormatting>
  <conditionalFormatting sqref="F136:G1048576 G86:G135">
    <cfRule type="cellIs" dxfId="1527" priority="5597" operator="lessThan">
      <formula>0</formula>
    </cfRule>
  </conditionalFormatting>
  <conditionalFormatting sqref="F136:G1048576 G86:G135">
    <cfRule type="cellIs" dxfId="1526" priority="5596" operator="lessThan">
      <formula>0</formula>
    </cfRule>
  </conditionalFormatting>
  <conditionalFormatting sqref="F136:G1048576 G86:G135">
    <cfRule type="cellIs" dxfId="1525" priority="5595" operator="lessThan">
      <formula>0</formula>
    </cfRule>
  </conditionalFormatting>
  <conditionalFormatting sqref="F136:G1048576 G86:G135">
    <cfRule type="cellIs" dxfId="1524" priority="5594" operator="lessThan">
      <formula>0</formula>
    </cfRule>
  </conditionalFormatting>
  <conditionalFormatting sqref="F136:G1048576 G86:G135">
    <cfRule type="cellIs" dxfId="1523" priority="5593" operator="lessThan">
      <formula>0</formula>
    </cfRule>
  </conditionalFormatting>
  <conditionalFormatting sqref="F136:G1048576 G86:G135">
    <cfRule type="cellIs" dxfId="1522" priority="5592" operator="lessThan">
      <formula>0</formula>
    </cfRule>
  </conditionalFormatting>
  <conditionalFormatting sqref="F136:G1048576 G86:G135">
    <cfRule type="cellIs" dxfId="1521" priority="5591" operator="lessThan">
      <formula>0</formula>
    </cfRule>
  </conditionalFormatting>
  <conditionalFormatting sqref="F136:G1048576 G86:G135">
    <cfRule type="cellIs" dxfId="1520" priority="5590" operator="lessThan">
      <formula>0</formula>
    </cfRule>
  </conditionalFormatting>
  <conditionalFormatting sqref="F136:G1048576 G86:G135">
    <cfRule type="cellIs" dxfId="1519" priority="5589" operator="lessThan">
      <formula>0</formula>
    </cfRule>
  </conditionalFormatting>
  <conditionalFormatting sqref="F136:G1048576 G86:G135">
    <cfRule type="cellIs" dxfId="1518" priority="5588" operator="lessThan">
      <formula>0</formula>
    </cfRule>
  </conditionalFormatting>
  <conditionalFormatting sqref="F136:G1048576 G86:G135">
    <cfRule type="cellIs" dxfId="1517" priority="5587" operator="lessThan">
      <formula>0</formula>
    </cfRule>
  </conditionalFormatting>
  <conditionalFormatting sqref="F136:G1048576 G86:G135">
    <cfRule type="cellIs" dxfId="1516" priority="5586" operator="lessThan">
      <formula>0</formula>
    </cfRule>
  </conditionalFormatting>
  <conditionalFormatting sqref="F136:G1048576 G86:G135">
    <cfRule type="cellIs" dxfId="1515" priority="5585" operator="lessThan">
      <formula>0</formula>
    </cfRule>
  </conditionalFormatting>
  <conditionalFormatting sqref="F136:G1048576 G86:G135">
    <cfRule type="cellIs" dxfId="1514" priority="5584" operator="lessThan">
      <formula>0</formula>
    </cfRule>
  </conditionalFormatting>
  <conditionalFormatting sqref="F136:G1048576 G86:G135">
    <cfRule type="cellIs" dxfId="1513" priority="5583" operator="lessThan">
      <formula>0</formula>
    </cfRule>
  </conditionalFormatting>
  <conditionalFormatting sqref="F136:G1048576 G86:G135">
    <cfRule type="cellIs" dxfId="1512" priority="5582" operator="lessThan">
      <formula>0</formula>
    </cfRule>
  </conditionalFormatting>
  <conditionalFormatting sqref="F136:G1048576 G86:G135">
    <cfRule type="cellIs" dxfId="1511" priority="5581" operator="lessThan">
      <formula>0</formula>
    </cfRule>
  </conditionalFormatting>
  <conditionalFormatting sqref="F136:G1048576 G86:G135">
    <cfRule type="cellIs" dxfId="1510" priority="5580" operator="lessThan">
      <formula>0</formula>
    </cfRule>
  </conditionalFormatting>
  <conditionalFormatting sqref="F136:G1048576 G86:G135">
    <cfRule type="cellIs" dxfId="1509" priority="5579" operator="lessThan">
      <formula>0</formula>
    </cfRule>
  </conditionalFormatting>
  <conditionalFormatting sqref="F136:G1048576 G86:G135">
    <cfRule type="cellIs" dxfId="1508" priority="5578" operator="lessThan">
      <formula>0</formula>
    </cfRule>
  </conditionalFormatting>
  <conditionalFormatting sqref="F136:G1048576 G86:G135">
    <cfRule type="cellIs" dxfId="1507" priority="5577" operator="lessThan">
      <formula>0</formula>
    </cfRule>
  </conditionalFormatting>
  <conditionalFormatting sqref="F136:G1048576 G86:G135">
    <cfRule type="cellIs" dxfId="1506" priority="5576" operator="lessThan">
      <formula>0</formula>
    </cfRule>
  </conditionalFormatting>
  <conditionalFormatting sqref="F136:G1048576 G86:G135">
    <cfRule type="cellIs" dxfId="1505" priority="5575" operator="lessThan">
      <formula>0</formula>
    </cfRule>
  </conditionalFormatting>
  <conditionalFormatting sqref="F136:G1048576 G86:G135">
    <cfRule type="cellIs" dxfId="1504" priority="5574" operator="lessThan">
      <formula>0</formula>
    </cfRule>
  </conditionalFormatting>
  <conditionalFormatting sqref="F136:G1048576 G86:G135">
    <cfRule type="cellIs" dxfId="1503" priority="5573" operator="lessThan">
      <formula>0</formula>
    </cfRule>
  </conditionalFormatting>
  <conditionalFormatting sqref="F136:G1048576 G86:G135">
    <cfRule type="cellIs" dxfId="1502" priority="5572" operator="lessThan">
      <formula>0</formula>
    </cfRule>
  </conditionalFormatting>
  <conditionalFormatting sqref="F136:G1048576 G86:G135">
    <cfRule type="cellIs" dxfId="1501" priority="5571" operator="lessThan">
      <formula>0</formula>
    </cfRule>
  </conditionalFormatting>
  <conditionalFormatting sqref="F136:G1048576 G86:G135">
    <cfRule type="cellIs" dxfId="1500" priority="5570" operator="lessThan">
      <formula>0</formula>
    </cfRule>
  </conditionalFormatting>
  <conditionalFormatting sqref="F136:G1048576 G86:G135">
    <cfRule type="cellIs" dxfId="1499" priority="5569" operator="lessThan">
      <formula>0</formula>
    </cfRule>
  </conditionalFormatting>
  <conditionalFormatting sqref="F136:G1048576 G86:G135">
    <cfRule type="cellIs" dxfId="1498" priority="5568" operator="lessThan">
      <formula>0</formula>
    </cfRule>
  </conditionalFormatting>
  <conditionalFormatting sqref="F136:G1048576 G86:G135">
    <cfRule type="cellIs" dxfId="1497" priority="5567" operator="lessThan">
      <formula>0</formula>
    </cfRule>
  </conditionalFormatting>
  <conditionalFormatting sqref="F136:G1048576 G86:G135">
    <cfRule type="cellIs" dxfId="1496" priority="5566" operator="lessThan">
      <formula>0</formula>
    </cfRule>
  </conditionalFormatting>
  <conditionalFormatting sqref="F136:G1048576 G86:G135">
    <cfRule type="cellIs" dxfId="1495" priority="5565" operator="lessThan">
      <formula>0</formula>
    </cfRule>
  </conditionalFormatting>
  <conditionalFormatting sqref="F136:G1048576 G86:G135">
    <cfRule type="cellIs" dxfId="1494" priority="5564" operator="lessThan">
      <formula>0</formula>
    </cfRule>
  </conditionalFormatting>
  <conditionalFormatting sqref="F136:G1048576 G86:G135">
    <cfRule type="cellIs" dxfId="1493" priority="5563" operator="lessThan">
      <formula>0</formula>
    </cfRule>
  </conditionalFormatting>
  <conditionalFormatting sqref="F136:G1048576 G86:G135">
    <cfRule type="cellIs" dxfId="1492" priority="5562" operator="lessThan">
      <formula>0</formula>
    </cfRule>
  </conditionalFormatting>
  <conditionalFormatting sqref="F136:G1048576 G86:G135">
    <cfRule type="cellIs" dxfId="1491" priority="5561" operator="lessThan">
      <formula>0</formula>
    </cfRule>
  </conditionalFormatting>
  <conditionalFormatting sqref="F136:G1048576 G86:G135">
    <cfRule type="cellIs" dxfId="1490" priority="5560" operator="lessThan">
      <formula>0</formula>
    </cfRule>
  </conditionalFormatting>
  <conditionalFormatting sqref="F136:G1048576 G86:G135">
    <cfRule type="cellIs" dxfId="1489" priority="5559" operator="lessThan">
      <formula>0</formula>
    </cfRule>
  </conditionalFormatting>
  <conditionalFormatting sqref="F136:G1048576 G86:G135">
    <cfRule type="cellIs" dxfId="1488" priority="5558" operator="lessThan">
      <formula>0</formula>
    </cfRule>
  </conditionalFormatting>
  <conditionalFormatting sqref="F136:G1048576 G86:G135">
    <cfRule type="cellIs" dxfId="1487" priority="5557" operator="lessThan">
      <formula>0</formula>
    </cfRule>
  </conditionalFormatting>
  <conditionalFormatting sqref="F136:G1048576 G86:G135">
    <cfRule type="cellIs" dxfId="1486" priority="5556" operator="lessThan">
      <formula>0</formula>
    </cfRule>
  </conditionalFormatting>
  <conditionalFormatting sqref="F136:G1048576 G86:G135">
    <cfRule type="cellIs" dxfId="1485" priority="5555" operator="lessThan">
      <formula>0</formula>
    </cfRule>
  </conditionalFormatting>
  <conditionalFormatting sqref="F136:G1048576 G86:G135">
    <cfRule type="cellIs" dxfId="1484" priority="5554" operator="lessThan">
      <formula>0</formula>
    </cfRule>
  </conditionalFormatting>
  <conditionalFormatting sqref="F136:G1048576 G86:G135">
    <cfRule type="cellIs" dxfId="1483" priority="5553" operator="lessThan">
      <formula>0</formula>
    </cfRule>
  </conditionalFormatting>
  <conditionalFormatting sqref="F136:G1048576 G86:G135">
    <cfRule type="cellIs" dxfId="1482" priority="5552" operator="lessThan">
      <formula>0</formula>
    </cfRule>
  </conditionalFormatting>
  <conditionalFormatting sqref="F136:G1048576 G86:G135">
    <cfRule type="cellIs" dxfId="1481" priority="5551" operator="lessThan">
      <formula>0</formula>
    </cfRule>
  </conditionalFormatting>
  <conditionalFormatting sqref="F136:G1048576 G86:G135">
    <cfRule type="cellIs" dxfId="1480" priority="5550" operator="lessThan">
      <formula>0</formula>
    </cfRule>
  </conditionalFormatting>
  <conditionalFormatting sqref="F136:G1048576 G86:G135">
    <cfRule type="cellIs" dxfId="1479" priority="5549" operator="lessThan">
      <formula>0</formula>
    </cfRule>
  </conditionalFormatting>
  <conditionalFormatting sqref="F136:G1048576 G86:G135">
    <cfRule type="cellIs" dxfId="1478" priority="5548" operator="lessThan">
      <formula>0</formula>
    </cfRule>
  </conditionalFormatting>
  <conditionalFormatting sqref="F136:G1048576 G86:G135">
    <cfRule type="cellIs" dxfId="1477" priority="5547" operator="lessThan">
      <formula>0</formula>
    </cfRule>
  </conditionalFormatting>
  <conditionalFormatting sqref="F136:G1048576 G86:G135">
    <cfRule type="cellIs" dxfId="1476" priority="5546" operator="lessThan">
      <formula>0</formula>
    </cfRule>
  </conditionalFormatting>
  <conditionalFormatting sqref="F136:G1048576 G86:G135">
    <cfRule type="cellIs" dxfId="1475" priority="5545" operator="lessThan">
      <formula>0</formula>
    </cfRule>
  </conditionalFormatting>
  <conditionalFormatting sqref="F136:G1048576 G86:G135">
    <cfRule type="cellIs" dxfId="1474" priority="5544" operator="lessThan">
      <formula>0</formula>
    </cfRule>
  </conditionalFormatting>
  <conditionalFormatting sqref="F136:G1048576 G86:G135">
    <cfRule type="cellIs" dxfId="1473" priority="5543" operator="lessThan">
      <formula>0</formula>
    </cfRule>
  </conditionalFormatting>
  <conditionalFormatting sqref="F136:G1048576 G86:G135">
    <cfRule type="cellIs" dxfId="1472" priority="5542" operator="lessThan">
      <formula>0</formula>
    </cfRule>
  </conditionalFormatting>
  <conditionalFormatting sqref="F136:G1048576 G86:G135">
    <cfRule type="cellIs" dxfId="1471" priority="5541" operator="lessThan">
      <formula>0</formula>
    </cfRule>
  </conditionalFormatting>
  <conditionalFormatting sqref="F136:G1048576 G86:G135">
    <cfRule type="cellIs" dxfId="1470" priority="5540" operator="lessThan">
      <formula>0</formula>
    </cfRule>
  </conditionalFormatting>
  <conditionalFormatting sqref="F136:G1048576 G86:G135">
    <cfRule type="cellIs" dxfId="1469" priority="5539" operator="lessThan">
      <formula>0</formula>
    </cfRule>
  </conditionalFormatting>
  <conditionalFormatting sqref="F136:G1048576 G86:G135">
    <cfRule type="cellIs" dxfId="1468" priority="5538" operator="lessThan">
      <formula>0</formula>
    </cfRule>
  </conditionalFormatting>
  <conditionalFormatting sqref="F136:G1048576 G86:G135">
    <cfRule type="cellIs" dxfId="1467" priority="5537" operator="lessThan">
      <formula>0</formula>
    </cfRule>
  </conditionalFormatting>
  <conditionalFormatting sqref="F136:G1048576 G86:G135">
    <cfRule type="cellIs" dxfId="1466" priority="5536" operator="lessThan">
      <formula>0</formula>
    </cfRule>
  </conditionalFormatting>
  <conditionalFormatting sqref="F136:G1048576 G86:G135">
    <cfRule type="cellIs" dxfId="1465" priority="5535" operator="lessThan">
      <formula>0</formula>
    </cfRule>
  </conditionalFormatting>
  <conditionalFormatting sqref="F136:G1048576 G86:G135">
    <cfRule type="cellIs" dxfId="1464" priority="5534" operator="lessThan">
      <formula>0</formula>
    </cfRule>
  </conditionalFormatting>
  <conditionalFormatting sqref="F136:G1048576 G86:G135">
    <cfRule type="cellIs" dxfId="1463" priority="5533" operator="lessThan">
      <formula>0</formula>
    </cfRule>
  </conditionalFormatting>
  <conditionalFormatting sqref="F136:G1048576 G86:G135">
    <cfRule type="cellIs" dxfId="1462" priority="5532" operator="lessThan">
      <formula>0</formula>
    </cfRule>
  </conditionalFormatting>
  <conditionalFormatting sqref="F136:G1048576 G86:G135">
    <cfRule type="cellIs" dxfId="1461" priority="5531" operator="lessThan">
      <formula>0</formula>
    </cfRule>
  </conditionalFormatting>
  <conditionalFormatting sqref="F136:G1048576 G86:G135">
    <cfRule type="cellIs" dxfId="1460" priority="5530" operator="lessThan">
      <formula>0</formula>
    </cfRule>
  </conditionalFormatting>
  <conditionalFormatting sqref="F136:G1048576 G86:G135">
    <cfRule type="cellIs" dxfId="1459" priority="5529" operator="lessThan">
      <formula>0</formula>
    </cfRule>
  </conditionalFormatting>
  <conditionalFormatting sqref="F136:G1048576 G86:G135">
    <cfRule type="cellIs" dxfId="1458" priority="5528" operator="lessThan">
      <formula>0</formula>
    </cfRule>
  </conditionalFormatting>
  <conditionalFormatting sqref="F136:G1048576 G86:G135">
    <cfRule type="cellIs" dxfId="1457" priority="5527" operator="lessThan">
      <formula>0</formula>
    </cfRule>
  </conditionalFormatting>
  <conditionalFormatting sqref="F136:G1048576 G86:G135">
    <cfRule type="cellIs" dxfId="1456" priority="5526" operator="lessThan">
      <formula>0</formula>
    </cfRule>
  </conditionalFormatting>
  <conditionalFormatting sqref="F136:G1048576 G86:G135">
    <cfRule type="cellIs" dxfId="1455" priority="5525" operator="lessThan">
      <formula>0</formula>
    </cfRule>
  </conditionalFormatting>
  <conditionalFormatting sqref="F136:G1048576 G86:G135">
    <cfRule type="cellIs" dxfId="1454" priority="5524" operator="lessThan">
      <formula>0</formula>
    </cfRule>
  </conditionalFormatting>
  <conditionalFormatting sqref="F136:G1048576 G86:G135">
    <cfRule type="cellIs" dxfId="1453" priority="5523" operator="lessThan">
      <formula>0</formula>
    </cfRule>
  </conditionalFormatting>
  <conditionalFormatting sqref="F136:G1048576 G86:G135">
    <cfRule type="cellIs" dxfId="1452" priority="5522" operator="lessThan">
      <formula>0</formula>
    </cfRule>
  </conditionalFormatting>
  <conditionalFormatting sqref="F136:G1048576 G86:G135">
    <cfRule type="cellIs" dxfId="1451" priority="5521" operator="lessThan">
      <formula>0</formula>
    </cfRule>
  </conditionalFormatting>
  <conditionalFormatting sqref="F136:G1048576 G86:G135">
    <cfRule type="cellIs" dxfId="1450" priority="5520" operator="lessThan">
      <formula>0</formula>
    </cfRule>
  </conditionalFormatting>
  <conditionalFormatting sqref="F136:G1048576 G86:G135">
    <cfRule type="cellIs" dxfId="1449" priority="5519" operator="lessThan">
      <formula>0</formula>
    </cfRule>
  </conditionalFormatting>
  <conditionalFormatting sqref="F136:G1048576 G86:G135">
    <cfRule type="cellIs" dxfId="1448" priority="5518" operator="lessThan">
      <formula>0</formula>
    </cfRule>
  </conditionalFormatting>
  <conditionalFormatting sqref="F136:G1048576 G86:G135">
    <cfRule type="cellIs" dxfId="1447" priority="5517" operator="lessThan">
      <formula>0</formula>
    </cfRule>
  </conditionalFormatting>
  <conditionalFormatting sqref="F136:G1048576 G86:G135">
    <cfRule type="cellIs" dxfId="1446" priority="5516" operator="lessThan">
      <formula>0</formula>
    </cfRule>
  </conditionalFormatting>
  <conditionalFormatting sqref="F136:G1048576 G86:G135">
    <cfRule type="cellIs" dxfId="1445" priority="5515" operator="lessThan">
      <formula>0</formula>
    </cfRule>
  </conditionalFormatting>
  <conditionalFormatting sqref="F136:G1048576 G86:G135">
    <cfRule type="cellIs" dxfId="1444" priority="5514" operator="lessThan">
      <formula>0</formula>
    </cfRule>
  </conditionalFormatting>
  <conditionalFormatting sqref="F136:G1048576 G86:G135">
    <cfRule type="cellIs" dxfId="1443" priority="5513" operator="lessThan">
      <formula>0</formula>
    </cfRule>
  </conditionalFormatting>
  <conditionalFormatting sqref="F136:G1048576 G86:G135">
    <cfRule type="cellIs" dxfId="1442" priority="5512" operator="lessThan">
      <formula>0</formula>
    </cfRule>
  </conditionalFormatting>
  <conditionalFormatting sqref="F136:G1048576 G86:G135">
    <cfRule type="cellIs" dxfId="1441" priority="5511" operator="lessThan">
      <formula>0</formula>
    </cfRule>
  </conditionalFormatting>
  <conditionalFormatting sqref="F136:G1048576 G86:G135">
    <cfRule type="cellIs" dxfId="1440" priority="5510" operator="lessThan">
      <formula>0</formula>
    </cfRule>
  </conditionalFormatting>
  <conditionalFormatting sqref="F136:G1048576 G86:G135">
    <cfRule type="cellIs" dxfId="1439" priority="5509" operator="lessThan">
      <formula>0</formula>
    </cfRule>
  </conditionalFormatting>
  <conditionalFormatting sqref="F136:G1048576 G86:G135">
    <cfRule type="cellIs" dxfId="1438" priority="5508" operator="lessThan">
      <formula>0</formula>
    </cfRule>
  </conditionalFormatting>
  <conditionalFormatting sqref="F136:G1048576 G86:G135">
    <cfRule type="cellIs" dxfId="1437" priority="5507" operator="lessThan">
      <formula>0</formula>
    </cfRule>
  </conditionalFormatting>
  <conditionalFormatting sqref="F136:G1048576 G86:G135">
    <cfRule type="cellIs" dxfId="1436" priority="5506" operator="lessThan">
      <formula>0</formula>
    </cfRule>
  </conditionalFormatting>
  <conditionalFormatting sqref="F136:G1048576 G86:G135">
    <cfRule type="cellIs" dxfId="1435" priority="5505" operator="lessThan">
      <formula>0</formula>
    </cfRule>
  </conditionalFormatting>
  <conditionalFormatting sqref="F136:G1048576 G86:G135">
    <cfRule type="cellIs" dxfId="1434" priority="5504" operator="lessThan">
      <formula>0</formula>
    </cfRule>
  </conditionalFormatting>
  <conditionalFormatting sqref="F136:G1048576 G86:G135">
    <cfRule type="cellIs" dxfId="1433" priority="5503" operator="lessThan">
      <formula>0</formula>
    </cfRule>
  </conditionalFormatting>
  <conditionalFormatting sqref="F136:G1048576 G86:G135">
    <cfRule type="cellIs" dxfId="1432" priority="5502" operator="lessThan">
      <formula>0</formula>
    </cfRule>
  </conditionalFormatting>
  <conditionalFormatting sqref="F136:G1048576 G86:G135">
    <cfRule type="cellIs" dxfId="1431" priority="5501" operator="lessThan">
      <formula>0</formula>
    </cfRule>
  </conditionalFormatting>
  <conditionalFormatting sqref="F136:G1048576 G86:G135">
    <cfRule type="cellIs" dxfId="1430" priority="5500" operator="lessThan">
      <formula>0</formula>
    </cfRule>
  </conditionalFormatting>
  <conditionalFormatting sqref="F136:G1048576 G86:G135">
    <cfRule type="cellIs" dxfId="1429" priority="5499" operator="lessThan">
      <formula>0</formula>
    </cfRule>
  </conditionalFormatting>
  <conditionalFormatting sqref="F136:G1048576 G86:G135">
    <cfRule type="cellIs" dxfId="1428" priority="5498" operator="lessThan">
      <formula>0</formula>
    </cfRule>
  </conditionalFormatting>
  <conditionalFormatting sqref="F136:G1048576 G86:G135">
    <cfRule type="cellIs" dxfId="1427" priority="5497" operator="lessThan">
      <formula>0</formula>
    </cfRule>
  </conditionalFormatting>
  <conditionalFormatting sqref="F136:G1048576 G86:G135">
    <cfRule type="cellIs" dxfId="1426" priority="5496" operator="lessThan">
      <formula>0</formula>
    </cfRule>
  </conditionalFormatting>
  <conditionalFormatting sqref="F136:G1048576 G86:G135">
    <cfRule type="cellIs" dxfId="1425" priority="5495" operator="lessThan">
      <formula>0</formula>
    </cfRule>
  </conditionalFormatting>
  <conditionalFormatting sqref="F136:G1048576 G86:G135">
    <cfRule type="cellIs" dxfId="1424" priority="5494" operator="lessThan">
      <formula>0</formula>
    </cfRule>
  </conditionalFormatting>
  <conditionalFormatting sqref="F136:G1048576 G86:G135">
    <cfRule type="cellIs" dxfId="1423" priority="5493" operator="lessThan">
      <formula>0</formula>
    </cfRule>
  </conditionalFormatting>
  <conditionalFormatting sqref="F136:G1048576 G86:G135">
    <cfRule type="cellIs" dxfId="1422" priority="5492" operator="lessThan">
      <formula>0</formula>
    </cfRule>
  </conditionalFormatting>
  <conditionalFormatting sqref="F136:G1048576 G86:G135">
    <cfRule type="cellIs" dxfId="1421" priority="5491" operator="lessThan">
      <formula>0</formula>
    </cfRule>
  </conditionalFormatting>
  <conditionalFormatting sqref="F136:G1048576 G86:G135">
    <cfRule type="cellIs" dxfId="1420" priority="5490" operator="lessThan">
      <formula>0</formula>
    </cfRule>
  </conditionalFormatting>
  <conditionalFormatting sqref="F136:G1048576 G86:G135">
    <cfRule type="cellIs" dxfId="1419" priority="5489" operator="lessThan">
      <formula>0</formula>
    </cfRule>
  </conditionalFormatting>
  <conditionalFormatting sqref="F136:G1048576 G86:G135">
    <cfRule type="cellIs" dxfId="1418" priority="5488" operator="lessThan">
      <formula>0</formula>
    </cfRule>
  </conditionalFormatting>
  <conditionalFormatting sqref="F136:G1048576 G86:G135">
    <cfRule type="cellIs" dxfId="1417" priority="5487" operator="lessThan">
      <formula>0</formula>
    </cfRule>
  </conditionalFormatting>
  <conditionalFormatting sqref="F136:G1048576 G86:G135">
    <cfRule type="cellIs" dxfId="1416" priority="5486" operator="lessThan">
      <formula>0</formula>
    </cfRule>
  </conditionalFormatting>
  <conditionalFormatting sqref="F136:G1048576 G86:G135">
    <cfRule type="cellIs" dxfId="1415" priority="5485" operator="lessThan">
      <formula>0</formula>
    </cfRule>
  </conditionalFormatting>
  <conditionalFormatting sqref="F136:G1048576 G86:G135">
    <cfRule type="cellIs" dxfId="1414" priority="5484" operator="lessThan">
      <formula>0</formula>
    </cfRule>
  </conditionalFormatting>
  <conditionalFormatting sqref="F136:G1048576 G86:G135">
    <cfRule type="cellIs" dxfId="1413" priority="5483" operator="lessThan">
      <formula>0</formula>
    </cfRule>
  </conditionalFormatting>
  <conditionalFormatting sqref="F136:G1048576 G86:G135">
    <cfRule type="cellIs" dxfId="1412" priority="5482" operator="lessThan">
      <formula>0</formula>
    </cfRule>
  </conditionalFormatting>
  <conditionalFormatting sqref="F136:G1048576 G86:G135">
    <cfRule type="cellIs" dxfId="1411" priority="5481" operator="lessThan">
      <formula>0</formula>
    </cfRule>
  </conditionalFormatting>
  <conditionalFormatting sqref="F136:G1048576 G86:G135">
    <cfRule type="cellIs" dxfId="1410" priority="5480" operator="lessThan">
      <formula>0</formula>
    </cfRule>
  </conditionalFormatting>
  <conditionalFormatting sqref="F136:G1048576 G86:G135">
    <cfRule type="cellIs" dxfId="1409" priority="5479" operator="lessThan">
      <formula>0</formula>
    </cfRule>
  </conditionalFormatting>
  <conditionalFormatting sqref="F136:G1048576 G86:G135">
    <cfRule type="cellIs" dxfId="1408" priority="5478" operator="lessThan">
      <formula>0</formula>
    </cfRule>
  </conditionalFormatting>
  <conditionalFormatting sqref="F136:G1048576 G86:G135">
    <cfRule type="cellIs" dxfId="1407" priority="5477" operator="lessThan">
      <formula>0</formula>
    </cfRule>
  </conditionalFormatting>
  <conditionalFormatting sqref="F136:G1048576 G86:G135">
    <cfRule type="cellIs" dxfId="1406" priority="5476" operator="lessThan">
      <formula>0</formula>
    </cfRule>
  </conditionalFormatting>
  <conditionalFormatting sqref="F136:G1048576 G86:G135">
    <cfRule type="cellIs" dxfId="1405" priority="5475" operator="lessThan">
      <formula>0</formula>
    </cfRule>
  </conditionalFormatting>
  <conditionalFormatting sqref="F136:G1048576 G86:G135">
    <cfRule type="cellIs" dxfId="1404" priority="5474" operator="lessThan">
      <formula>0</formula>
    </cfRule>
  </conditionalFormatting>
  <conditionalFormatting sqref="F136:G1048576 G86:G135">
    <cfRule type="cellIs" dxfId="1403" priority="5473" operator="lessThan">
      <formula>0</formula>
    </cfRule>
  </conditionalFormatting>
  <conditionalFormatting sqref="F136:G1048576 G86:G135">
    <cfRule type="cellIs" dxfId="1402" priority="5472" operator="lessThan">
      <formula>0</formula>
    </cfRule>
  </conditionalFormatting>
  <conditionalFormatting sqref="F136:G1048576 G86:G135">
    <cfRule type="cellIs" dxfId="1401" priority="5471" operator="lessThan">
      <formula>0</formula>
    </cfRule>
  </conditionalFormatting>
  <conditionalFormatting sqref="F136:G1048576 G86:G135">
    <cfRule type="cellIs" dxfId="1400" priority="5470" operator="lessThan">
      <formula>0</formula>
    </cfRule>
  </conditionalFormatting>
  <conditionalFormatting sqref="F136:G1048576 G86:G135">
    <cfRule type="cellIs" dxfId="1399" priority="5469" operator="lessThan">
      <formula>0</formula>
    </cfRule>
  </conditionalFormatting>
  <conditionalFormatting sqref="F136:G1048576 G61:G135">
    <cfRule type="cellIs" dxfId="1398" priority="5468" operator="lessThan">
      <formula>0</formula>
    </cfRule>
  </conditionalFormatting>
  <conditionalFormatting sqref="F136:G1048576 G61:G135">
    <cfRule type="cellIs" dxfId="1397" priority="5467" operator="lessThan">
      <formula>0</formula>
    </cfRule>
  </conditionalFormatting>
  <conditionalFormatting sqref="F136:G1048576 G61:G135">
    <cfRule type="cellIs" dxfId="1396" priority="5466" operator="lessThan">
      <formula>0</formula>
    </cfRule>
  </conditionalFormatting>
  <conditionalFormatting sqref="F136:G1048576 G61:G135">
    <cfRule type="cellIs" dxfId="1395" priority="5465" operator="lessThan">
      <formula>0</formula>
    </cfRule>
  </conditionalFormatting>
  <conditionalFormatting sqref="F136:G1048576 G61:G135">
    <cfRule type="cellIs" dxfId="1394" priority="5464" operator="lessThan">
      <formula>0</formula>
    </cfRule>
  </conditionalFormatting>
  <conditionalFormatting sqref="F136:G1048576 G61:G135">
    <cfRule type="cellIs" dxfId="1393" priority="5463" operator="lessThan">
      <formula>0</formula>
    </cfRule>
  </conditionalFormatting>
  <conditionalFormatting sqref="F136:G1048576 G61:G135">
    <cfRule type="cellIs" dxfId="1392" priority="5462" operator="lessThan">
      <formula>0</formula>
    </cfRule>
  </conditionalFormatting>
  <conditionalFormatting sqref="F136:G1048576 G61:G135">
    <cfRule type="cellIs" dxfId="1391" priority="5461" operator="lessThan">
      <formula>0</formula>
    </cfRule>
  </conditionalFormatting>
  <conditionalFormatting sqref="F136:G1048576 G61:G135">
    <cfRule type="cellIs" dxfId="1390" priority="5460" operator="lessThan">
      <formula>0</formula>
    </cfRule>
  </conditionalFormatting>
  <conditionalFormatting sqref="F136:G1048576 G61:G135">
    <cfRule type="cellIs" dxfId="1389" priority="5459" operator="lessThan">
      <formula>0</formula>
    </cfRule>
  </conditionalFormatting>
  <conditionalFormatting sqref="F136:G1048576 G61:G135">
    <cfRule type="cellIs" dxfId="1388" priority="5458" operator="lessThan">
      <formula>0</formula>
    </cfRule>
  </conditionalFormatting>
  <conditionalFormatting sqref="F136:G1048576 G61:G135">
    <cfRule type="cellIs" dxfId="1387" priority="5457" operator="lessThan">
      <formula>0</formula>
    </cfRule>
  </conditionalFormatting>
  <conditionalFormatting sqref="F136:G1048576 G61:G135">
    <cfRule type="cellIs" dxfId="1386" priority="5456" operator="lessThan">
      <formula>0</formula>
    </cfRule>
  </conditionalFormatting>
  <conditionalFormatting sqref="F136:G1048576 G61:G135">
    <cfRule type="cellIs" dxfId="1385" priority="5455" operator="lessThan">
      <formula>0</formula>
    </cfRule>
  </conditionalFormatting>
  <conditionalFormatting sqref="F136:G1048576 G61:G135">
    <cfRule type="cellIs" dxfId="1384" priority="5454" operator="lessThan">
      <formula>0</formula>
    </cfRule>
  </conditionalFormatting>
  <conditionalFormatting sqref="F136:G1048576 G61:G135">
    <cfRule type="cellIs" dxfId="1383" priority="5453" operator="lessThan">
      <formula>0</formula>
    </cfRule>
  </conditionalFormatting>
  <conditionalFormatting sqref="F136:G1048576 G61:G135">
    <cfRule type="cellIs" dxfId="1382" priority="5452" operator="lessThan">
      <formula>0</formula>
    </cfRule>
  </conditionalFormatting>
  <conditionalFormatting sqref="F136:G1048576 G61:G135">
    <cfRule type="cellIs" dxfId="1381" priority="5451" operator="lessThan">
      <formula>0</formula>
    </cfRule>
  </conditionalFormatting>
  <conditionalFormatting sqref="F136:G1048576 G61:G135">
    <cfRule type="cellIs" dxfId="1380" priority="5450" operator="lessThan">
      <formula>0</formula>
    </cfRule>
  </conditionalFormatting>
  <conditionalFormatting sqref="F136:G1048576 G61:G135">
    <cfRule type="cellIs" dxfId="1379" priority="5449" operator="lessThan">
      <formula>0</formula>
    </cfRule>
  </conditionalFormatting>
  <conditionalFormatting sqref="F136:G1048576 G61:G135">
    <cfRule type="cellIs" dxfId="1378" priority="5448" operator="lessThan">
      <formula>0</formula>
    </cfRule>
  </conditionalFormatting>
  <conditionalFormatting sqref="F136:G1048576 G61:G135">
    <cfRule type="cellIs" dxfId="1377" priority="5447" operator="lessThan">
      <formula>0</formula>
    </cfRule>
  </conditionalFormatting>
  <conditionalFormatting sqref="F136:G1048576 G61:G135">
    <cfRule type="cellIs" dxfId="1376" priority="5446" operator="lessThan">
      <formula>0</formula>
    </cfRule>
  </conditionalFormatting>
  <conditionalFormatting sqref="F136:G1048576 G61:G135">
    <cfRule type="cellIs" dxfId="1375" priority="5445" operator="lessThan">
      <formula>0</formula>
    </cfRule>
  </conditionalFormatting>
  <conditionalFormatting sqref="F136:G1048576 G61:G135">
    <cfRule type="cellIs" dxfId="1374" priority="5444" operator="lessThan">
      <formula>0</formula>
    </cfRule>
  </conditionalFormatting>
  <conditionalFormatting sqref="F136:G1048576 G61:G135">
    <cfRule type="cellIs" dxfId="1373" priority="5443" operator="lessThan">
      <formula>0</formula>
    </cfRule>
  </conditionalFormatting>
  <conditionalFormatting sqref="F136:G1048576 G61:G135">
    <cfRule type="cellIs" dxfId="1372" priority="5442" operator="lessThan">
      <formula>0</formula>
    </cfRule>
  </conditionalFormatting>
  <conditionalFormatting sqref="F136:G1048576 G61:G135">
    <cfRule type="cellIs" dxfId="1371" priority="5441" operator="lessThan">
      <formula>0</formula>
    </cfRule>
  </conditionalFormatting>
  <conditionalFormatting sqref="F136:G1048576 G61:G135">
    <cfRule type="cellIs" dxfId="1370" priority="5440" operator="lessThan">
      <formula>0</formula>
    </cfRule>
  </conditionalFormatting>
  <conditionalFormatting sqref="F136:G1048576 G61:G135">
    <cfRule type="cellIs" dxfId="1369" priority="5439" operator="lessThan">
      <formula>0</formula>
    </cfRule>
  </conditionalFormatting>
  <conditionalFormatting sqref="F136:G1048576 G61:G135">
    <cfRule type="cellIs" dxfId="1368" priority="5438" operator="lessThan">
      <formula>0</formula>
    </cfRule>
  </conditionalFormatting>
  <conditionalFormatting sqref="F136:G1048576 G61:G135">
    <cfRule type="cellIs" dxfId="1367" priority="5437" operator="lessThan">
      <formula>0</formula>
    </cfRule>
  </conditionalFormatting>
  <conditionalFormatting sqref="F136:G1048576 G61:G135">
    <cfRule type="cellIs" dxfId="1366" priority="5436" operator="lessThan">
      <formula>0</formula>
    </cfRule>
  </conditionalFormatting>
  <conditionalFormatting sqref="F136:G1048576 G61:G135">
    <cfRule type="cellIs" dxfId="1365" priority="5435" operator="lessThan">
      <formula>0</formula>
    </cfRule>
  </conditionalFormatting>
  <conditionalFormatting sqref="F136:G1048576 G61:G135">
    <cfRule type="cellIs" dxfId="1364" priority="5434" operator="lessThan">
      <formula>0</formula>
    </cfRule>
  </conditionalFormatting>
  <conditionalFormatting sqref="F136:G1048576 G61:G135">
    <cfRule type="cellIs" dxfId="1363" priority="5433" operator="lessThan">
      <formula>0</formula>
    </cfRule>
  </conditionalFormatting>
  <conditionalFormatting sqref="F136:G1048576 G61:G135">
    <cfRule type="cellIs" dxfId="1362" priority="5432" operator="lessThan">
      <formula>0</formula>
    </cfRule>
  </conditionalFormatting>
  <conditionalFormatting sqref="F136:G1048576 G61:G135">
    <cfRule type="cellIs" dxfId="1361" priority="5431" operator="lessThan">
      <formula>0</formula>
    </cfRule>
  </conditionalFormatting>
  <conditionalFormatting sqref="F136:G1048576 G61:G135">
    <cfRule type="cellIs" dxfId="1360" priority="5430" operator="lessThan">
      <formula>0</formula>
    </cfRule>
  </conditionalFormatting>
  <conditionalFormatting sqref="F136:G1048576 G61:G135">
    <cfRule type="cellIs" dxfId="1359" priority="5429" operator="lessThan">
      <formula>0</formula>
    </cfRule>
  </conditionalFormatting>
  <conditionalFormatting sqref="F136:G1048576 G61:G135">
    <cfRule type="cellIs" dxfId="1358" priority="5428" operator="lessThan">
      <formula>0</formula>
    </cfRule>
  </conditionalFormatting>
  <conditionalFormatting sqref="F136:G1048576 G61:G135">
    <cfRule type="cellIs" dxfId="1357" priority="5427" operator="lessThan">
      <formula>0</formula>
    </cfRule>
  </conditionalFormatting>
  <conditionalFormatting sqref="F136:G1048576 G61:G135">
    <cfRule type="cellIs" dxfId="1356" priority="5426" operator="lessThan">
      <formula>0</formula>
    </cfRule>
  </conditionalFormatting>
  <conditionalFormatting sqref="F136:G1048576 G61:G135">
    <cfRule type="cellIs" dxfId="1355" priority="5425" operator="lessThan">
      <formula>0</formula>
    </cfRule>
  </conditionalFormatting>
  <conditionalFormatting sqref="F136:G1048576 G61:G135">
    <cfRule type="cellIs" dxfId="1354" priority="5424" operator="lessThan">
      <formula>0</formula>
    </cfRule>
  </conditionalFormatting>
  <conditionalFormatting sqref="F136:G1048576 G61:G135">
    <cfRule type="cellIs" dxfId="1353" priority="5423" operator="lessThan">
      <formula>0</formula>
    </cfRule>
  </conditionalFormatting>
  <conditionalFormatting sqref="F136:G1048576 G61:G135">
    <cfRule type="cellIs" dxfId="1352" priority="5422" operator="lessThan">
      <formula>0</formula>
    </cfRule>
  </conditionalFormatting>
  <conditionalFormatting sqref="F136:G1048576 G61:G135">
    <cfRule type="cellIs" dxfId="1351" priority="5421" operator="lessThan">
      <formula>0</formula>
    </cfRule>
  </conditionalFormatting>
  <conditionalFormatting sqref="F136:G1048576 G61:G135">
    <cfRule type="cellIs" dxfId="1350" priority="5420" operator="lessThan">
      <formula>0</formula>
    </cfRule>
  </conditionalFormatting>
  <conditionalFormatting sqref="F136:G1048576 G61:G135">
    <cfRule type="cellIs" dxfId="1349" priority="5419" operator="lessThan">
      <formula>0</formula>
    </cfRule>
  </conditionalFormatting>
  <conditionalFormatting sqref="F136:G1048576 G61:G135">
    <cfRule type="cellIs" dxfId="1348" priority="5418" operator="lessThan">
      <formula>0</formula>
    </cfRule>
  </conditionalFormatting>
  <conditionalFormatting sqref="F136:G1048576 G61:G135">
    <cfRule type="cellIs" dxfId="1347" priority="5417" operator="lessThan">
      <formula>0</formula>
    </cfRule>
  </conditionalFormatting>
  <conditionalFormatting sqref="F136:G1048576 G61:G135">
    <cfRule type="cellIs" dxfId="1346" priority="5416" operator="lessThan">
      <formula>0</formula>
    </cfRule>
  </conditionalFormatting>
  <conditionalFormatting sqref="F136:G1048576 G61:G135">
    <cfRule type="cellIs" dxfId="1345" priority="5415" operator="lessThan">
      <formula>0</formula>
    </cfRule>
  </conditionalFormatting>
  <conditionalFormatting sqref="F136:G1048576 G61:G135">
    <cfRule type="cellIs" dxfId="1344" priority="5414" operator="lessThan">
      <formula>0</formula>
    </cfRule>
  </conditionalFormatting>
  <conditionalFormatting sqref="F136:G1048576 G61:G135">
    <cfRule type="cellIs" dxfId="1343" priority="5413" operator="lessThan">
      <formula>0</formula>
    </cfRule>
  </conditionalFormatting>
  <conditionalFormatting sqref="F136:G1048576 G61:G135">
    <cfRule type="cellIs" dxfId="1342" priority="5412" operator="lessThan">
      <formula>0</formula>
    </cfRule>
  </conditionalFormatting>
  <conditionalFormatting sqref="F136:G1048576 G61:G135">
    <cfRule type="cellIs" dxfId="1341" priority="5411" operator="lessThan">
      <formula>0</formula>
    </cfRule>
  </conditionalFormatting>
  <conditionalFormatting sqref="F136:G1048576 G61:G135">
    <cfRule type="cellIs" dxfId="1340" priority="5410" operator="lessThan">
      <formula>0</formula>
    </cfRule>
  </conditionalFormatting>
  <conditionalFormatting sqref="F136:G1048576 G61:G135">
    <cfRule type="cellIs" dxfId="1339" priority="5409" operator="lessThan">
      <formula>0</formula>
    </cfRule>
  </conditionalFormatting>
  <conditionalFormatting sqref="F136:G1048576 G61:G135">
    <cfRule type="cellIs" dxfId="1338" priority="5408" operator="lessThan">
      <formula>0</formula>
    </cfRule>
  </conditionalFormatting>
  <conditionalFormatting sqref="F136:G1048576 G61:G135">
    <cfRule type="cellIs" dxfId="1337" priority="5407" operator="lessThan">
      <formula>0</formula>
    </cfRule>
  </conditionalFormatting>
  <conditionalFormatting sqref="F136:G1048576 G61:G135">
    <cfRule type="cellIs" dxfId="1336" priority="5406" operator="lessThan">
      <formula>0</formula>
    </cfRule>
  </conditionalFormatting>
  <conditionalFormatting sqref="F136:G1048576 G61:G135">
    <cfRule type="cellIs" dxfId="1335" priority="5405" operator="lessThan">
      <formula>0</formula>
    </cfRule>
  </conditionalFormatting>
  <conditionalFormatting sqref="F136:G1048576 G61:G135">
    <cfRule type="cellIs" dxfId="1334" priority="5404" operator="lessThan">
      <formula>0</formula>
    </cfRule>
  </conditionalFormatting>
  <conditionalFormatting sqref="F136:G1048576 G61:G135">
    <cfRule type="cellIs" dxfId="1333" priority="5403" operator="lessThan">
      <formula>0</formula>
    </cfRule>
  </conditionalFormatting>
  <conditionalFormatting sqref="F136:G1048576 G61:G135">
    <cfRule type="cellIs" dxfId="1332" priority="5402" operator="lessThan">
      <formula>0</formula>
    </cfRule>
  </conditionalFormatting>
  <conditionalFormatting sqref="F136:G1048576 G61:G135">
    <cfRule type="cellIs" dxfId="1331" priority="5401" operator="lessThan">
      <formula>0</formula>
    </cfRule>
  </conditionalFormatting>
  <conditionalFormatting sqref="F136:G1048576 G61:G135">
    <cfRule type="cellIs" dxfId="1330" priority="5400" operator="lessThan">
      <formula>0</formula>
    </cfRule>
  </conditionalFormatting>
  <conditionalFormatting sqref="F136:G1048576 G61:G135">
    <cfRule type="cellIs" dxfId="1329" priority="5399" operator="lessThan">
      <formula>0</formula>
    </cfRule>
  </conditionalFormatting>
  <conditionalFormatting sqref="F136:G1048576 G61:G135">
    <cfRule type="cellIs" dxfId="1328" priority="5398" operator="lessThan">
      <formula>0</formula>
    </cfRule>
  </conditionalFormatting>
  <conditionalFormatting sqref="F136:G1048576 G61:G135">
    <cfRule type="cellIs" dxfId="1327" priority="5397" operator="lessThan">
      <formula>0</formula>
    </cfRule>
  </conditionalFormatting>
  <conditionalFormatting sqref="F136:G1048576 G61:G135">
    <cfRule type="cellIs" dxfId="1326" priority="5396" operator="lessThan">
      <formula>0</formula>
    </cfRule>
  </conditionalFormatting>
  <conditionalFormatting sqref="F136:G1048576 G61:G135">
    <cfRule type="cellIs" dxfId="1325" priority="5395" operator="lessThan">
      <formula>0</formula>
    </cfRule>
  </conditionalFormatting>
  <conditionalFormatting sqref="F136:G1048576 G61:G135">
    <cfRule type="cellIs" dxfId="1324" priority="5394" operator="lessThan">
      <formula>0</formula>
    </cfRule>
  </conditionalFormatting>
  <conditionalFormatting sqref="F136:G1048576 G61:G135">
    <cfRule type="cellIs" dxfId="1323" priority="5393" operator="lessThan">
      <formula>0</formula>
    </cfRule>
  </conditionalFormatting>
  <conditionalFormatting sqref="F136:G1048576 G61:G135">
    <cfRule type="cellIs" dxfId="1322" priority="5392" operator="lessThan">
      <formula>0</formula>
    </cfRule>
  </conditionalFormatting>
  <conditionalFormatting sqref="F136:G1048576 G61:G135">
    <cfRule type="cellIs" dxfId="1321" priority="5391" operator="lessThan">
      <formula>0</formula>
    </cfRule>
  </conditionalFormatting>
  <conditionalFormatting sqref="F136:G1048576 G61:G135">
    <cfRule type="cellIs" dxfId="1320" priority="5390" operator="lessThan">
      <formula>0</formula>
    </cfRule>
  </conditionalFormatting>
  <conditionalFormatting sqref="F136:G1048576 G61:G135">
    <cfRule type="cellIs" dxfId="1319" priority="5389" operator="lessThan">
      <formula>0</formula>
    </cfRule>
  </conditionalFormatting>
  <conditionalFormatting sqref="F136:G1048576 G61:G135">
    <cfRule type="cellIs" dxfId="1318" priority="5388" operator="lessThan">
      <formula>0</formula>
    </cfRule>
  </conditionalFormatting>
  <conditionalFormatting sqref="F136:G1048576 G61:G135">
    <cfRule type="cellIs" dxfId="1317" priority="5387" operator="lessThan">
      <formula>0</formula>
    </cfRule>
  </conditionalFormatting>
  <conditionalFormatting sqref="F136:G1048576 G61:G135">
    <cfRule type="cellIs" dxfId="1316" priority="5386" operator="lessThan">
      <formula>0</formula>
    </cfRule>
  </conditionalFormatting>
  <conditionalFormatting sqref="F136:G1048576 G61:G135">
    <cfRule type="cellIs" dxfId="1315" priority="5385" operator="lessThan">
      <formula>0</formula>
    </cfRule>
  </conditionalFormatting>
  <conditionalFormatting sqref="F136:G1048576 G61:G135">
    <cfRule type="cellIs" dxfId="1314" priority="5384" operator="lessThan">
      <formula>0</formula>
    </cfRule>
  </conditionalFormatting>
  <conditionalFormatting sqref="F136:G1048576 G61:G135">
    <cfRule type="cellIs" dxfId="1313" priority="5383" operator="lessThan">
      <formula>0</formula>
    </cfRule>
  </conditionalFormatting>
  <conditionalFormatting sqref="F136:G1048576 G61:G135">
    <cfRule type="cellIs" dxfId="1312" priority="5382" operator="lessThan">
      <formula>0</formula>
    </cfRule>
  </conditionalFormatting>
  <conditionalFormatting sqref="F136:G1048576 G61:G135">
    <cfRule type="cellIs" dxfId="1311" priority="5381" operator="lessThan">
      <formula>0</formula>
    </cfRule>
  </conditionalFormatting>
  <conditionalFormatting sqref="F136:G1048576 G61:G135">
    <cfRule type="cellIs" dxfId="1310" priority="5380" operator="lessThan">
      <formula>0</formula>
    </cfRule>
  </conditionalFormatting>
  <conditionalFormatting sqref="F136:G1048576 G61:G135">
    <cfRule type="cellIs" dxfId="1309" priority="5379" operator="lessThan">
      <formula>0</formula>
    </cfRule>
  </conditionalFormatting>
  <conditionalFormatting sqref="F136:G1048576 G61:G135">
    <cfRule type="cellIs" dxfId="1308" priority="5378" operator="lessThan">
      <formula>0</formula>
    </cfRule>
  </conditionalFormatting>
  <conditionalFormatting sqref="F136:G1048576 G61:G135">
    <cfRule type="cellIs" dxfId="1307" priority="5377" operator="lessThan">
      <formula>0</formula>
    </cfRule>
  </conditionalFormatting>
  <conditionalFormatting sqref="F136:G1048576 G61:G135">
    <cfRule type="cellIs" dxfId="1306" priority="5376" operator="lessThan">
      <formula>0</formula>
    </cfRule>
  </conditionalFormatting>
  <conditionalFormatting sqref="F136:G1048576 G61:G135">
    <cfRule type="cellIs" dxfId="1305" priority="5375" operator="lessThan">
      <formula>0</formula>
    </cfRule>
  </conditionalFormatting>
  <conditionalFormatting sqref="F136:G1048576 G61:G135">
    <cfRule type="cellIs" dxfId="1304" priority="5374" operator="lessThan">
      <formula>0</formula>
    </cfRule>
  </conditionalFormatting>
  <conditionalFormatting sqref="F136:G1048576 G61:G135">
    <cfRule type="cellIs" dxfId="1303" priority="5373" operator="lessThan">
      <formula>0</formula>
    </cfRule>
  </conditionalFormatting>
  <conditionalFormatting sqref="F136:G1048576 G61:G135">
    <cfRule type="cellIs" dxfId="1302" priority="5372" operator="lessThan">
      <formula>0</formula>
    </cfRule>
  </conditionalFormatting>
  <conditionalFormatting sqref="F136:G1048576 G61:G135">
    <cfRule type="cellIs" dxfId="1301" priority="5371" operator="lessThan">
      <formula>0</formula>
    </cfRule>
  </conditionalFormatting>
  <conditionalFormatting sqref="F136:G1048576 G61:G135">
    <cfRule type="cellIs" dxfId="1300" priority="5370" operator="lessThan">
      <formula>0</formula>
    </cfRule>
  </conditionalFormatting>
  <conditionalFormatting sqref="F136:G1048576 G61:G135">
    <cfRule type="cellIs" dxfId="1299" priority="5369" operator="lessThan">
      <formula>0</formula>
    </cfRule>
  </conditionalFormatting>
  <conditionalFormatting sqref="F136:G1048576 G61:G135">
    <cfRule type="cellIs" dxfId="1298" priority="5368" operator="lessThan">
      <formula>0</formula>
    </cfRule>
  </conditionalFormatting>
  <conditionalFormatting sqref="F136:G1048576 G61:G135">
    <cfRule type="cellIs" dxfId="1297" priority="5367" operator="lessThan">
      <formula>0</formula>
    </cfRule>
  </conditionalFormatting>
  <conditionalFormatting sqref="F136:G1048576 G61:G135">
    <cfRule type="cellIs" dxfId="1296" priority="5366" operator="lessThan">
      <formula>0</formula>
    </cfRule>
  </conditionalFormatting>
  <conditionalFormatting sqref="F136:G1048576 G61:G135">
    <cfRule type="cellIs" dxfId="1295" priority="5365" operator="lessThan">
      <formula>0</formula>
    </cfRule>
  </conditionalFormatting>
  <conditionalFormatting sqref="F136:G1048576 G61:G135">
    <cfRule type="cellIs" dxfId="1294" priority="5364" operator="lessThan">
      <formula>0</formula>
    </cfRule>
  </conditionalFormatting>
  <conditionalFormatting sqref="F136:G1048576 G61:G135">
    <cfRule type="cellIs" dxfId="1293" priority="5363" operator="lessThan">
      <formula>0</formula>
    </cfRule>
  </conditionalFormatting>
  <conditionalFormatting sqref="F136:G1048576 G61:G135">
    <cfRule type="cellIs" dxfId="1292" priority="5362" operator="lessThan">
      <formula>0</formula>
    </cfRule>
  </conditionalFormatting>
  <conditionalFormatting sqref="F136:G1048576 G61:G135">
    <cfRule type="cellIs" dxfId="1291" priority="5361" operator="lessThan">
      <formula>0</formula>
    </cfRule>
  </conditionalFormatting>
  <conditionalFormatting sqref="F136:G1048576 G61:G135">
    <cfRule type="cellIs" dxfId="1290" priority="5360" operator="lessThan">
      <formula>0</formula>
    </cfRule>
  </conditionalFormatting>
  <conditionalFormatting sqref="F136:G1048576 G61:G135">
    <cfRule type="cellIs" dxfId="1289" priority="5359" operator="lessThan">
      <formula>0</formula>
    </cfRule>
  </conditionalFormatting>
  <conditionalFormatting sqref="F136:G1048576 G61:G135">
    <cfRule type="cellIs" dxfId="1288" priority="5358" operator="lessThan">
      <formula>0</formula>
    </cfRule>
  </conditionalFormatting>
  <conditionalFormatting sqref="F136:G1048576 G61:G135">
    <cfRule type="cellIs" dxfId="1287" priority="5357" operator="lessThan">
      <formula>0</formula>
    </cfRule>
  </conditionalFormatting>
  <conditionalFormatting sqref="F136:G1048576 G61:G135">
    <cfRule type="cellIs" dxfId="1286" priority="5356" operator="lessThan">
      <formula>0</formula>
    </cfRule>
  </conditionalFormatting>
  <conditionalFormatting sqref="F136:G1048576 G61:G135">
    <cfRule type="cellIs" dxfId="1285" priority="5355" operator="lessThan">
      <formula>0</formula>
    </cfRule>
  </conditionalFormatting>
  <conditionalFormatting sqref="F136:G1048576 G61:G135">
    <cfRule type="cellIs" dxfId="1284" priority="5354" operator="lessThan">
      <formula>0</formula>
    </cfRule>
  </conditionalFormatting>
  <conditionalFormatting sqref="F136:G1048576 G61:G135">
    <cfRule type="cellIs" dxfId="1283" priority="5353" operator="lessThan">
      <formula>0</formula>
    </cfRule>
  </conditionalFormatting>
  <conditionalFormatting sqref="F136:G1048576 G61:G135">
    <cfRule type="cellIs" dxfId="1282" priority="5352" operator="lessThan">
      <formula>0</formula>
    </cfRule>
  </conditionalFormatting>
  <conditionalFormatting sqref="F136:G1048576 G61:G135">
    <cfRule type="cellIs" dxfId="1281" priority="5351" operator="lessThan">
      <formula>0</formula>
    </cfRule>
  </conditionalFormatting>
  <conditionalFormatting sqref="F136:G1048576 G61:G135">
    <cfRule type="cellIs" dxfId="1280" priority="5350" operator="lessThan">
      <formula>0</formula>
    </cfRule>
  </conditionalFormatting>
  <conditionalFormatting sqref="F136:G1048576 G61:G135">
    <cfRule type="cellIs" dxfId="1279" priority="5349" operator="lessThan">
      <formula>0</formula>
    </cfRule>
  </conditionalFormatting>
  <conditionalFormatting sqref="F136:G1048576 G61:G135">
    <cfRule type="cellIs" dxfId="1278" priority="5348" operator="lessThan">
      <formula>0</formula>
    </cfRule>
  </conditionalFormatting>
  <conditionalFormatting sqref="F136:G1048576 G61:G135">
    <cfRule type="cellIs" dxfId="1277" priority="5347" operator="lessThan">
      <formula>0</formula>
    </cfRule>
  </conditionalFormatting>
  <conditionalFormatting sqref="F136:G1048576 G61:G135">
    <cfRule type="cellIs" dxfId="1276" priority="5346" operator="lessThan">
      <formula>0</formula>
    </cfRule>
  </conditionalFormatting>
  <conditionalFormatting sqref="F136:G1048576 G61:G135">
    <cfRule type="cellIs" dxfId="1275" priority="5345" operator="lessThan">
      <formula>0</formula>
    </cfRule>
  </conditionalFormatting>
  <conditionalFormatting sqref="F136:G1048576 G61:G135">
    <cfRule type="cellIs" dxfId="1274" priority="5344" operator="lessThan">
      <formula>0</formula>
    </cfRule>
  </conditionalFormatting>
  <conditionalFormatting sqref="F136:G1048576 G61:G135">
    <cfRule type="cellIs" dxfId="1273" priority="5343" operator="lessThan">
      <formula>0</formula>
    </cfRule>
  </conditionalFormatting>
  <conditionalFormatting sqref="F136:G1048576 G61:G135">
    <cfRule type="cellIs" dxfId="1272" priority="5342" operator="lessThan">
      <formula>0</formula>
    </cfRule>
  </conditionalFormatting>
  <conditionalFormatting sqref="F136:G1048576 G61:G135">
    <cfRule type="cellIs" dxfId="1271" priority="5341" operator="lessThan">
      <formula>0</formula>
    </cfRule>
  </conditionalFormatting>
  <conditionalFormatting sqref="F136:G1048576 G61:G135">
    <cfRule type="cellIs" dxfId="1270" priority="5340" operator="lessThan">
      <formula>0</formula>
    </cfRule>
  </conditionalFormatting>
  <conditionalFormatting sqref="F136:G1048576 G61:G135">
    <cfRule type="cellIs" dxfId="1269" priority="5339" operator="lessThan">
      <formula>0</formula>
    </cfRule>
  </conditionalFormatting>
  <conditionalFormatting sqref="F136:G1048576 G61:G135">
    <cfRule type="cellIs" dxfId="1268" priority="5338" operator="lessThan">
      <formula>0</formula>
    </cfRule>
  </conditionalFormatting>
  <conditionalFormatting sqref="F136:G1048576 G61:G135">
    <cfRule type="cellIs" dxfId="1267" priority="5337" operator="lessThan">
      <formula>0</formula>
    </cfRule>
  </conditionalFormatting>
  <conditionalFormatting sqref="F136:G1048576 G61:G135">
    <cfRule type="cellIs" dxfId="1266" priority="5336" operator="lessThan">
      <formula>0</formula>
    </cfRule>
  </conditionalFormatting>
  <conditionalFormatting sqref="F136:G1048576 G61:G135">
    <cfRule type="cellIs" dxfId="1265" priority="5335" operator="lessThan">
      <formula>0</formula>
    </cfRule>
  </conditionalFormatting>
  <conditionalFormatting sqref="F136:G1048576 G61:G135">
    <cfRule type="cellIs" dxfId="1264" priority="5334" operator="lessThan">
      <formula>0</formula>
    </cfRule>
  </conditionalFormatting>
  <conditionalFormatting sqref="F136:G1048576 G61:G135">
    <cfRule type="cellIs" dxfId="1263" priority="5333" operator="lessThan">
      <formula>0</formula>
    </cfRule>
  </conditionalFormatting>
  <conditionalFormatting sqref="F136:G1048576 G61:G135">
    <cfRule type="cellIs" dxfId="1262" priority="5332" operator="lessThan">
      <formula>0</formula>
    </cfRule>
  </conditionalFormatting>
  <conditionalFormatting sqref="F136:G1048576 G61:G135">
    <cfRule type="cellIs" dxfId="1261" priority="5331" operator="lessThan">
      <formula>0</formula>
    </cfRule>
  </conditionalFormatting>
  <conditionalFormatting sqref="F136:G1048576 G61:G135">
    <cfRule type="cellIs" dxfId="1260" priority="5330" operator="lessThan">
      <formula>0</formula>
    </cfRule>
  </conditionalFormatting>
  <conditionalFormatting sqref="F136:G1048576 G61:G135">
    <cfRule type="cellIs" dxfId="1259" priority="5329" operator="lessThan">
      <formula>0</formula>
    </cfRule>
  </conditionalFormatting>
  <conditionalFormatting sqref="F136:G1048576 G61:G135">
    <cfRule type="cellIs" dxfId="1258" priority="5328" operator="lessThan">
      <formula>0</formula>
    </cfRule>
  </conditionalFormatting>
  <conditionalFormatting sqref="F136:G1048576 G61:G135">
    <cfRule type="cellIs" dxfId="1257" priority="5327" operator="lessThan">
      <formula>0</formula>
    </cfRule>
  </conditionalFormatting>
  <conditionalFormatting sqref="F136:G1048576 G61:G135">
    <cfRule type="cellIs" dxfId="1256" priority="5326" operator="lessThan">
      <formula>0</formula>
    </cfRule>
  </conditionalFormatting>
  <conditionalFormatting sqref="F136:G1048576 G61:G135">
    <cfRule type="cellIs" dxfId="1255" priority="5325" operator="lessThan">
      <formula>0</formula>
    </cfRule>
  </conditionalFormatting>
  <conditionalFormatting sqref="F136:G1048576 G61:G135">
    <cfRule type="cellIs" dxfId="1254" priority="5324" operator="lessThan">
      <formula>0</formula>
    </cfRule>
  </conditionalFormatting>
  <conditionalFormatting sqref="F136:G1048576 G61:G135">
    <cfRule type="cellIs" dxfId="1253" priority="5323" operator="lessThan">
      <formula>0</formula>
    </cfRule>
  </conditionalFormatting>
  <conditionalFormatting sqref="F136:G1048576 G61:G135">
    <cfRule type="cellIs" dxfId="1252" priority="5322" operator="lessThan">
      <formula>0</formula>
    </cfRule>
  </conditionalFormatting>
  <conditionalFormatting sqref="F136:G1048576 G61:G135">
    <cfRule type="cellIs" dxfId="1251" priority="5321" operator="lessThan">
      <formula>0</formula>
    </cfRule>
  </conditionalFormatting>
  <conditionalFormatting sqref="F136:G1048576 G61:G135">
    <cfRule type="cellIs" dxfId="1250" priority="5320" operator="lessThan">
      <formula>0</formula>
    </cfRule>
  </conditionalFormatting>
  <conditionalFormatting sqref="F136:G1048576 G61:G135">
    <cfRule type="cellIs" dxfId="1249" priority="5319" operator="lessThan">
      <formula>0</formula>
    </cfRule>
  </conditionalFormatting>
  <conditionalFormatting sqref="F136:G1048576 G61:G135">
    <cfRule type="cellIs" dxfId="1248" priority="5318" operator="lessThan">
      <formula>0</formula>
    </cfRule>
  </conditionalFormatting>
  <conditionalFormatting sqref="F136:G1048576 G61:G135">
    <cfRule type="cellIs" dxfId="1247" priority="5317" operator="lessThan">
      <formula>0</formula>
    </cfRule>
  </conditionalFormatting>
  <conditionalFormatting sqref="F136:G1048576 G61:G135">
    <cfRule type="cellIs" dxfId="1246" priority="5316" operator="lessThan">
      <formula>0</formula>
    </cfRule>
  </conditionalFormatting>
  <conditionalFormatting sqref="F136:G1048576 G61:G135">
    <cfRule type="cellIs" dxfId="1245" priority="5315" operator="lessThan">
      <formula>0</formula>
    </cfRule>
  </conditionalFormatting>
  <conditionalFormatting sqref="F136:G1048576 G61:G135">
    <cfRule type="cellIs" dxfId="1244" priority="5314" operator="lessThan">
      <formula>0</formula>
    </cfRule>
  </conditionalFormatting>
  <conditionalFormatting sqref="F136:G1048576 G61:G135">
    <cfRule type="cellIs" dxfId="1243" priority="5313" operator="lessThan">
      <formula>0</formula>
    </cfRule>
  </conditionalFormatting>
  <conditionalFormatting sqref="F136:G1048576 G61:G135">
    <cfRule type="cellIs" dxfId="1242" priority="5312" operator="lessThan">
      <formula>0</formula>
    </cfRule>
  </conditionalFormatting>
  <conditionalFormatting sqref="F136:G1048576 G61:G135">
    <cfRule type="cellIs" dxfId="1241" priority="5311" operator="lessThan">
      <formula>0</formula>
    </cfRule>
  </conditionalFormatting>
  <conditionalFormatting sqref="F136:G1048576 G61:G135">
    <cfRule type="cellIs" dxfId="1240" priority="5310" operator="lessThan">
      <formula>0</formula>
    </cfRule>
  </conditionalFormatting>
  <conditionalFormatting sqref="F136:G1048576 G61:G135">
    <cfRule type="cellIs" dxfId="1239" priority="5309" operator="lessThan">
      <formula>0</formula>
    </cfRule>
  </conditionalFormatting>
  <conditionalFormatting sqref="F136:G1048576 G61:G135">
    <cfRule type="cellIs" dxfId="1238" priority="5308" operator="lessThan">
      <formula>0</formula>
    </cfRule>
  </conditionalFormatting>
  <conditionalFormatting sqref="G42">
    <cfRule type="cellIs" dxfId="1237" priority="4605" operator="lessThan">
      <formula>0</formula>
    </cfRule>
  </conditionalFormatting>
  <conditionalFormatting sqref="G42">
    <cfRule type="cellIs" dxfId="1236" priority="4604" operator="lessThan">
      <formula>0</formula>
    </cfRule>
  </conditionalFormatting>
  <conditionalFormatting sqref="G42">
    <cfRule type="cellIs" dxfId="1235" priority="4603" operator="lessThan">
      <formula>0</formula>
    </cfRule>
  </conditionalFormatting>
  <conditionalFormatting sqref="G42">
    <cfRule type="cellIs" dxfId="1234" priority="4602" operator="lessThan">
      <formula>0</formula>
    </cfRule>
  </conditionalFormatting>
  <conditionalFormatting sqref="G42">
    <cfRule type="cellIs" dxfId="1233" priority="4601" operator="lessThan">
      <formula>0</formula>
    </cfRule>
  </conditionalFormatting>
  <conditionalFormatting sqref="G42">
    <cfRule type="cellIs" dxfId="1232" priority="4600" operator="lessThan">
      <formula>0</formula>
    </cfRule>
  </conditionalFormatting>
  <conditionalFormatting sqref="G42">
    <cfRule type="cellIs" dxfId="1231" priority="4599" operator="lessThan">
      <formula>0</formula>
    </cfRule>
  </conditionalFormatting>
  <conditionalFormatting sqref="G42">
    <cfRule type="cellIs" dxfId="1230" priority="4598" operator="lessThan">
      <formula>0</formula>
    </cfRule>
  </conditionalFormatting>
  <conditionalFormatting sqref="G42">
    <cfRule type="cellIs" dxfId="1229" priority="4597" operator="lessThan">
      <formula>0</formula>
    </cfRule>
  </conditionalFormatting>
  <conditionalFormatting sqref="G42">
    <cfRule type="cellIs" dxfId="1228" priority="4596" operator="lessThan">
      <formula>0</formula>
    </cfRule>
  </conditionalFormatting>
  <conditionalFormatting sqref="G42">
    <cfRule type="cellIs" dxfId="1227" priority="4595" operator="lessThan">
      <formula>0</formula>
    </cfRule>
  </conditionalFormatting>
  <conditionalFormatting sqref="G42">
    <cfRule type="cellIs" dxfId="1226" priority="4594" operator="lessThan">
      <formula>0</formula>
    </cfRule>
  </conditionalFormatting>
  <conditionalFormatting sqref="G42">
    <cfRule type="cellIs" dxfId="1225" priority="4593" operator="lessThan">
      <formula>0</formula>
    </cfRule>
  </conditionalFormatting>
  <conditionalFormatting sqref="G42">
    <cfRule type="cellIs" dxfId="1224" priority="4592" operator="lessThan">
      <formula>0</formula>
    </cfRule>
  </conditionalFormatting>
  <conditionalFormatting sqref="G42">
    <cfRule type="cellIs" dxfId="1223" priority="4591" operator="lessThan">
      <formula>0</formula>
    </cfRule>
  </conditionalFormatting>
  <conditionalFormatting sqref="G42">
    <cfRule type="cellIs" dxfId="1222" priority="4590" operator="lessThan">
      <formula>0</formula>
    </cfRule>
  </conditionalFormatting>
  <conditionalFormatting sqref="G42">
    <cfRule type="cellIs" dxfId="1221" priority="4589" operator="lessThan">
      <formula>0</formula>
    </cfRule>
  </conditionalFormatting>
  <conditionalFormatting sqref="G42">
    <cfRule type="cellIs" dxfId="1220" priority="4588" operator="lessThan">
      <formula>0</formula>
    </cfRule>
  </conditionalFormatting>
  <conditionalFormatting sqref="G42">
    <cfRule type="cellIs" dxfId="1219" priority="4587" operator="lessThan">
      <formula>0</formula>
    </cfRule>
  </conditionalFormatting>
  <conditionalFormatting pivot="1" sqref="F13:F44">
    <cfRule type="cellIs" dxfId="1218" priority="3532" operator="lessThan">
      <formula>0</formula>
    </cfRule>
  </conditionalFormatting>
  <conditionalFormatting sqref="H86:H1048576">
    <cfRule type="cellIs" dxfId="1217" priority="3328" operator="lessThan">
      <formula>0</formula>
    </cfRule>
  </conditionalFormatting>
  <conditionalFormatting sqref="H86:H1048576">
    <cfRule type="cellIs" dxfId="1216" priority="3327" operator="lessThan">
      <formula>0</formula>
    </cfRule>
  </conditionalFormatting>
  <conditionalFormatting sqref="H86:H1048576">
    <cfRule type="cellIs" dxfId="1215" priority="3326" operator="lessThan">
      <formula>0</formula>
    </cfRule>
  </conditionalFormatting>
  <conditionalFormatting sqref="H86:H1048576">
    <cfRule type="cellIs" dxfId="1214" priority="3325" operator="lessThan">
      <formula>0</formula>
    </cfRule>
  </conditionalFormatting>
  <conditionalFormatting sqref="H86:H1048576">
    <cfRule type="cellIs" dxfId="1213" priority="3324" operator="lessThan">
      <formula>0</formula>
    </cfRule>
  </conditionalFormatting>
  <conditionalFormatting sqref="H86:H1048576">
    <cfRule type="cellIs" dxfId="1212" priority="3323" operator="lessThan">
      <formula>0</formula>
    </cfRule>
  </conditionalFormatting>
  <conditionalFormatting sqref="H86:H1048576">
    <cfRule type="cellIs" dxfId="1211" priority="3322" operator="lessThan">
      <formula>0</formula>
    </cfRule>
  </conditionalFormatting>
  <conditionalFormatting sqref="H86:H1048576">
    <cfRule type="cellIs" dxfId="1210" priority="3321" operator="lessThan">
      <formula>0</formula>
    </cfRule>
  </conditionalFormatting>
  <conditionalFormatting sqref="H86:H1048576">
    <cfRule type="cellIs" dxfId="1209" priority="3320" operator="lessThan">
      <formula>0</formula>
    </cfRule>
  </conditionalFormatting>
  <conditionalFormatting sqref="H86:H1048576">
    <cfRule type="cellIs" dxfId="1208" priority="3319" operator="lessThan">
      <formula>0</formula>
    </cfRule>
  </conditionalFormatting>
  <conditionalFormatting sqref="H86:H1048576">
    <cfRule type="cellIs" dxfId="1207" priority="3318" operator="lessThan">
      <formula>0</formula>
    </cfRule>
  </conditionalFormatting>
  <conditionalFormatting sqref="H86:H1048576">
    <cfRule type="cellIs" dxfId="1206" priority="3317" operator="lessThan">
      <formula>0</formula>
    </cfRule>
  </conditionalFormatting>
  <conditionalFormatting sqref="H86:H1048576">
    <cfRule type="cellIs" dxfId="1205" priority="3316" operator="lessThan">
      <formula>0</formula>
    </cfRule>
  </conditionalFormatting>
  <conditionalFormatting sqref="H86:H1048576">
    <cfRule type="cellIs" dxfId="1204" priority="3315" operator="lessThan">
      <formula>0</formula>
    </cfRule>
  </conditionalFormatting>
  <conditionalFormatting sqref="H86:H1048576">
    <cfRule type="cellIs" dxfId="1203" priority="3314" operator="lessThan">
      <formula>0</formula>
    </cfRule>
  </conditionalFormatting>
  <conditionalFormatting sqref="H86:H1048576">
    <cfRule type="cellIs" dxfId="1202" priority="3313" operator="lessThan">
      <formula>0</formula>
    </cfRule>
  </conditionalFormatting>
  <conditionalFormatting sqref="H86:H1048576">
    <cfRule type="cellIs" dxfId="1201" priority="3312" operator="lessThan">
      <formula>0</formula>
    </cfRule>
  </conditionalFormatting>
  <conditionalFormatting sqref="H86:H1048576">
    <cfRule type="cellIs" dxfId="1200" priority="3311" operator="lessThan">
      <formula>0</formula>
    </cfRule>
  </conditionalFormatting>
  <conditionalFormatting sqref="H86:H1048576">
    <cfRule type="cellIs" dxfId="1199" priority="3310" operator="lessThan">
      <formula>0</formula>
    </cfRule>
  </conditionalFormatting>
  <conditionalFormatting sqref="H86:H1048576">
    <cfRule type="cellIs" dxfId="1198" priority="3309" operator="lessThan">
      <formula>0</formula>
    </cfRule>
  </conditionalFormatting>
  <conditionalFormatting sqref="H86:H1048576">
    <cfRule type="cellIs" dxfId="1197" priority="3308" operator="lessThan">
      <formula>0</formula>
    </cfRule>
  </conditionalFormatting>
  <conditionalFormatting sqref="H86:H1048576">
    <cfRule type="cellIs" dxfId="1196" priority="3307" operator="lessThan">
      <formula>0</formula>
    </cfRule>
  </conditionalFormatting>
  <conditionalFormatting sqref="H86:H1048576">
    <cfRule type="cellIs" dxfId="1195" priority="3306" operator="lessThan">
      <formula>0</formula>
    </cfRule>
  </conditionalFormatting>
  <conditionalFormatting sqref="H86:H1048576">
    <cfRule type="cellIs" dxfId="1194" priority="3305" operator="lessThan">
      <formula>0</formula>
    </cfRule>
  </conditionalFormatting>
  <conditionalFormatting sqref="H86:H1048576">
    <cfRule type="cellIs" dxfId="1193" priority="3304" operator="lessThan">
      <formula>0</formula>
    </cfRule>
  </conditionalFormatting>
  <conditionalFormatting sqref="H86:H1048576">
    <cfRule type="cellIs" dxfId="1192" priority="3303" operator="lessThan">
      <formula>0</formula>
    </cfRule>
  </conditionalFormatting>
  <conditionalFormatting sqref="H86:H1048576">
    <cfRule type="cellIs" dxfId="1191" priority="3302" operator="lessThan">
      <formula>0</formula>
    </cfRule>
  </conditionalFormatting>
  <conditionalFormatting sqref="H86:H1048576">
    <cfRule type="cellIs" dxfId="1190" priority="3301" operator="lessThan">
      <formula>0</formula>
    </cfRule>
  </conditionalFormatting>
  <conditionalFormatting sqref="H86:H1048576">
    <cfRule type="cellIs" dxfId="1189" priority="3300" operator="lessThan">
      <formula>0</formula>
    </cfRule>
  </conditionalFormatting>
  <conditionalFormatting sqref="H86:H1048576">
    <cfRule type="cellIs" dxfId="1188" priority="3299" operator="lessThan">
      <formula>0</formula>
    </cfRule>
  </conditionalFormatting>
  <conditionalFormatting sqref="H86:H1048576">
    <cfRule type="cellIs" dxfId="1187" priority="3298" operator="lessThan">
      <formula>0</formula>
    </cfRule>
  </conditionalFormatting>
  <conditionalFormatting sqref="H86:H1048576">
    <cfRule type="cellIs" dxfId="1186" priority="3297" operator="lessThan">
      <formula>0</formula>
    </cfRule>
  </conditionalFormatting>
  <conditionalFormatting sqref="H86:H1048576">
    <cfRule type="cellIs" dxfId="1185" priority="3296" operator="lessThan">
      <formula>0</formula>
    </cfRule>
  </conditionalFormatting>
  <conditionalFormatting sqref="H86:H1048576">
    <cfRule type="cellIs" dxfId="1184" priority="3295" operator="lessThan">
      <formula>0</formula>
    </cfRule>
  </conditionalFormatting>
  <conditionalFormatting sqref="H86:H1048576">
    <cfRule type="cellIs" dxfId="1183" priority="3294" operator="lessThan">
      <formula>0</formula>
    </cfRule>
  </conditionalFormatting>
  <conditionalFormatting sqref="H86:H1048576">
    <cfRule type="cellIs" dxfId="1182" priority="3293" operator="lessThan">
      <formula>0</formula>
    </cfRule>
  </conditionalFormatting>
  <conditionalFormatting sqref="H86:H1048576">
    <cfRule type="cellIs" dxfId="1181" priority="3292" operator="lessThan">
      <formula>0</formula>
    </cfRule>
  </conditionalFormatting>
  <conditionalFormatting sqref="H86:H1048576">
    <cfRule type="cellIs" dxfId="1180" priority="3291" operator="lessThan">
      <formula>0</formula>
    </cfRule>
  </conditionalFormatting>
  <conditionalFormatting sqref="H86:H1048576">
    <cfRule type="cellIs" dxfId="1179" priority="3290" operator="lessThan">
      <formula>0</formula>
    </cfRule>
  </conditionalFormatting>
  <conditionalFormatting sqref="H86:H1048576">
    <cfRule type="cellIs" dxfId="1178" priority="3289" operator="lessThan">
      <formula>0</formula>
    </cfRule>
  </conditionalFormatting>
  <conditionalFormatting sqref="H86:H1048576">
    <cfRule type="cellIs" dxfId="1177" priority="3288" operator="lessThan">
      <formula>0</formula>
    </cfRule>
  </conditionalFormatting>
  <conditionalFormatting sqref="H86:H1048576">
    <cfRule type="cellIs" dxfId="1176" priority="3287" operator="lessThan">
      <formula>0</formula>
    </cfRule>
  </conditionalFormatting>
  <conditionalFormatting sqref="H86:H1048576">
    <cfRule type="cellIs" dxfId="1175" priority="3286" operator="lessThan">
      <formula>0</formula>
    </cfRule>
  </conditionalFormatting>
  <conditionalFormatting sqref="H86:H1048576">
    <cfRule type="cellIs" dxfId="1174" priority="3285" operator="lessThan">
      <formula>0</formula>
    </cfRule>
  </conditionalFormatting>
  <conditionalFormatting sqref="H86:H1048576">
    <cfRule type="cellIs" dxfId="1173" priority="3284" operator="lessThan">
      <formula>0</formula>
    </cfRule>
  </conditionalFormatting>
  <conditionalFormatting sqref="H86:H1048576">
    <cfRule type="cellIs" dxfId="1172" priority="3283" operator="lessThan">
      <formula>0</formula>
    </cfRule>
  </conditionalFormatting>
  <conditionalFormatting sqref="H86:H1048576">
    <cfRule type="cellIs" dxfId="1171" priority="3282" operator="lessThan">
      <formula>0</formula>
    </cfRule>
  </conditionalFormatting>
  <conditionalFormatting sqref="H86:H1048576">
    <cfRule type="cellIs" dxfId="1170" priority="3281" operator="lessThan">
      <formula>0</formula>
    </cfRule>
  </conditionalFormatting>
  <conditionalFormatting sqref="H86:H1048576">
    <cfRule type="cellIs" dxfId="1169" priority="3280" operator="lessThan">
      <formula>0</formula>
    </cfRule>
  </conditionalFormatting>
  <conditionalFormatting sqref="H86:H1048576">
    <cfRule type="cellIs" dxfId="1168" priority="3279" operator="lessThan">
      <formula>0</formula>
    </cfRule>
  </conditionalFormatting>
  <conditionalFormatting sqref="H86:H1048576">
    <cfRule type="cellIs" dxfId="1167" priority="3278" operator="lessThan">
      <formula>0</formula>
    </cfRule>
  </conditionalFormatting>
  <conditionalFormatting sqref="H86:H1048576">
    <cfRule type="cellIs" dxfId="1166" priority="3277" operator="lessThan">
      <formula>0</formula>
    </cfRule>
  </conditionalFormatting>
  <conditionalFormatting sqref="H86:H1048576">
    <cfRule type="cellIs" dxfId="1165" priority="3276" operator="lessThan">
      <formula>0</formula>
    </cfRule>
  </conditionalFormatting>
  <conditionalFormatting sqref="H86:H1048576">
    <cfRule type="cellIs" dxfId="1164" priority="3275" operator="lessThan">
      <formula>0</formula>
    </cfRule>
  </conditionalFormatting>
  <conditionalFormatting sqref="H86:H1048576">
    <cfRule type="cellIs" dxfId="1163" priority="3274" operator="lessThan">
      <formula>0</formula>
    </cfRule>
  </conditionalFormatting>
  <conditionalFormatting sqref="H86:H1048576">
    <cfRule type="cellIs" dxfId="1162" priority="3273" operator="lessThan">
      <formula>0</formula>
    </cfRule>
  </conditionalFormatting>
  <conditionalFormatting sqref="H86:H1048576">
    <cfRule type="cellIs" dxfId="1161" priority="3272" operator="lessThan">
      <formula>0</formula>
    </cfRule>
  </conditionalFormatting>
  <conditionalFormatting sqref="H86:H1048576">
    <cfRule type="cellIs" dxfId="1160" priority="3271" operator="lessThan">
      <formula>0</formula>
    </cfRule>
  </conditionalFormatting>
  <conditionalFormatting sqref="H86:H1048576">
    <cfRule type="cellIs" dxfId="1159" priority="3270" operator="lessThan">
      <formula>0</formula>
    </cfRule>
  </conditionalFormatting>
  <conditionalFormatting sqref="H86:H1048576">
    <cfRule type="cellIs" dxfId="1158" priority="3269" operator="lessThan">
      <formula>0</formula>
    </cfRule>
  </conditionalFormatting>
  <conditionalFormatting sqref="H86:H1048576">
    <cfRule type="cellIs" dxfId="1157" priority="3268" operator="lessThan">
      <formula>0</formula>
    </cfRule>
  </conditionalFormatting>
  <conditionalFormatting sqref="H86:H1048576">
    <cfRule type="cellIs" dxfId="1156" priority="3267" operator="lessThan">
      <formula>0</formula>
    </cfRule>
  </conditionalFormatting>
  <conditionalFormatting sqref="H86:H1048576">
    <cfRule type="cellIs" dxfId="1155" priority="3266" operator="lessThan">
      <formula>0</formula>
    </cfRule>
  </conditionalFormatting>
  <conditionalFormatting sqref="H86:H1048576">
    <cfRule type="cellIs" dxfId="1154" priority="3265" operator="lessThan">
      <formula>0</formula>
    </cfRule>
  </conditionalFormatting>
  <conditionalFormatting sqref="H86:H1048576">
    <cfRule type="cellIs" dxfId="1153" priority="3264" operator="lessThan">
      <formula>0</formula>
    </cfRule>
  </conditionalFormatting>
  <conditionalFormatting sqref="H86:H1048576">
    <cfRule type="cellIs" dxfId="1152" priority="3263" operator="lessThan">
      <formula>0</formula>
    </cfRule>
  </conditionalFormatting>
  <conditionalFormatting sqref="H86:H1048576">
    <cfRule type="cellIs" dxfId="1151" priority="3262" operator="lessThan">
      <formula>0</formula>
    </cfRule>
  </conditionalFormatting>
  <conditionalFormatting sqref="H86:H1048576">
    <cfRule type="cellIs" dxfId="1150" priority="3261" operator="lessThan">
      <formula>0</formula>
    </cfRule>
  </conditionalFormatting>
  <conditionalFormatting sqref="H86:H1048576">
    <cfRule type="cellIs" dxfId="1149" priority="3260" operator="lessThan">
      <formula>0</formula>
    </cfRule>
  </conditionalFormatting>
  <conditionalFormatting sqref="H86:H1048576">
    <cfRule type="cellIs" dxfId="1148" priority="3259" operator="lessThan">
      <formula>0</formula>
    </cfRule>
  </conditionalFormatting>
  <conditionalFormatting sqref="H86:H1048576">
    <cfRule type="cellIs" dxfId="1147" priority="3258" operator="lessThan">
      <formula>0</formula>
    </cfRule>
  </conditionalFormatting>
  <conditionalFormatting sqref="H86:H1048576">
    <cfRule type="cellIs" dxfId="1146" priority="3257" operator="lessThan">
      <formula>0</formula>
    </cfRule>
  </conditionalFormatting>
  <conditionalFormatting sqref="H86:H1048576">
    <cfRule type="cellIs" dxfId="1145" priority="3256" operator="lessThan">
      <formula>0</formula>
    </cfRule>
  </conditionalFormatting>
  <conditionalFormatting sqref="H86:H1048576">
    <cfRule type="cellIs" dxfId="1144" priority="3255" operator="lessThan">
      <formula>0</formula>
    </cfRule>
  </conditionalFormatting>
  <conditionalFormatting sqref="H86:H1048576">
    <cfRule type="cellIs" dxfId="1143" priority="3254" operator="lessThan">
      <formula>0</formula>
    </cfRule>
  </conditionalFormatting>
  <conditionalFormatting sqref="H86:H1048576">
    <cfRule type="cellIs" dxfId="1142" priority="3253" operator="lessThan">
      <formula>0</formula>
    </cfRule>
  </conditionalFormatting>
  <conditionalFormatting sqref="H86:H1048576">
    <cfRule type="cellIs" dxfId="1141" priority="3252" operator="lessThan">
      <formula>0</formula>
    </cfRule>
  </conditionalFormatting>
  <conditionalFormatting sqref="H86:H1048576">
    <cfRule type="cellIs" dxfId="1140" priority="3251" operator="lessThan">
      <formula>0</formula>
    </cfRule>
  </conditionalFormatting>
  <conditionalFormatting sqref="H86:H1048576">
    <cfRule type="cellIs" dxfId="1139" priority="3250" operator="lessThan">
      <formula>0</formula>
    </cfRule>
  </conditionalFormatting>
  <conditionalFormatting sqref="H86:H1048576">
    <cfRule type="cellIs" dxfId="1138" priority="3249" operator="lessThan">
      <formula>0</formula>
    </cfRule>
  </conditionalFormatting>
  <conditionalFormatting sqref="H86:H1048576">
    <cfRule type="cellIs" dxfId="1137" priority="3248" operator="lessThan">
      <formula>0</formula>
    </cfRule>
  </conditionalFormatting>
  <conditionalFormatting sqref="H86:H1048576">
    <cfRule type="cellIs" dxfId="1136" priority="3247" operator="lessThan">
      <formula>0</formula>
    </cfRule>
  </conditionalFormatting>
  <conditionalFormatting sqref="H86:H1048576">
    <cfRule type="cellIs" dxfId="1135" priority="3246" operator="lessThan">
      <formula>0</formula>
    </cfRule>
  </conditionalFormatting>
  <conditionalFormatting sqref="H86:H1048576">
    <cfRule type="cellIs" dxfId="1134" priority="3245" operator="lessThan">
      <formula>0</formula>
    </cfRule>
  </conditionalFormatting>
  <conditionalFormatting sqref="H86:H1048576">
    <cfRule type="cellIs" dxfId="1133" priority="3244" operator="lessThan">
      <formula>0</formula>
    </cfRule>
  </conditionalFormatting>
  <conditionalFormatting sqref="H86:H1048576">
    <cfRule type="cellIs" dxfId="1132" priority="3243" operator="lessThan">
      <formula>0</formula>
    </cfRule>
  </conditionalFormatting>
  <conditionalFormatting sqref="H86:H1048576">
    <cfRule type="cellIs" dxfId="1131" priority="3242" operator="lessThan">
      <formula>0</formula>
    </cfRule>
  </conditionalFormatting>
  <conditionalFormatting sqref="H86:H1048576">
    <cfRule type="cellIs" dxfId="1130" priority="3241" operator="lessThan">
      <formula>0</formula>
    </cfRule>
  </conditionalFormatting>
  <conditionalFormatting sqref="H86:H1048576">
    <cfRule type="cellIs" dxfId="1129" priority="3240" operator="lessThan">
      <formula>0</formula>
    </cfRule>
  </conditionalFormatting>
  <conditionalFormatting sqref="H86:H1048576">
    <cfRule type="cellIs" dxfId="1128" priority="3239" operator="lessThan">
      <formula>0</formula>
    </cfRule>
  </conditionalFormatting>
  <conditionalFormatting sqref="H86:H1048576">
    <cfRule type="cellIs" dxfId="1127" priority="3238" operator="lessThan">
      <formula>0</formula>
    </cfRule>
  </conditionalFormatting>
  <conditionalFormatting sqref="H86:H1048576">
    <cfRule type="cellIs" dxfId="1126" priority="3237" operator="lessThan">
      <formula>0</formula>
    </cfRule>
  </conditionalFormatting>
  <conditionalFormatting sqref="H86:H1048576">
    <cfRule type="cellIs" dxfId="1125" priority="3236" operator="lessThan">
      <formula>0</formula>
    </cfRule>
  </conditionalFormatting>
  <conditionalFormatting sqref="H86:H1048576">
    <cfRule type="cellIs" dxfId="1124" priority="3235" operator="lessThan">
      <formula>0</formula>
    </cfRule>
  </conditionalFormatting>
  <conditionalFormatting sqref="H86:H1048576">
    <cfRule type="cellIs" dxfId="1123" priority="3234" operator="lessThan">
      <formula>0</formula>
    </cfRule>
  </conditionalFormatting>
  <conditionalFormatting sqref="H86:H1048576">
    <cfRule type="cellIs" dxfId="1122" priority="3233" operator="lessThan">
      <formula>0</formula>
    </cfRule>
  </conditionalFormatting>
  <conditionalFormatting sqref="H86:H1048576">
    <cfRule type="cellIs" dxfId="1121" priority="3232" operator="lessThan">
      <formula>0</formula>
    </cfRule>
  </conditionalFormatting>
  <conditionalFormatting sqref="H86:H1048576">
    <cfRule type="cellIs" dxfId="1120" priority="3231" operator="lessThan">
      <formula>0</formula>
    </cfRule>
  </conditionalFormatting>
  <conditionalFormatting sqref="H86:H1048576">
    <cfRule type="cellIs" dxfId="1119" priority="3230" operator="lessThan">
      <formula>0</formula>
    </cfRule>
  </conditionalFormatting>
  <conditionalFormatting sqref="H86:H1048576">
    <cfRule type="cellIs" dxfId="1118" priority="3229" operator="lessThan">
      <formula>0</formula>
    </cfRule>
  </conditionalFormatting>
  <conditionalFormatting sqref="H86:H1048576">
    <cfRule type="cellIs" dxfId="1117" priority="3228" operator="lessThan">
      <formula>0</formula>
    </cfRule>
  </conditionalFormatting>
  <conditionalFormatting sqref="H86:H1048576">
    <cfRule type="cellIs" dxfId="1116" priority="3227" operator="lessThan">
      <formula>0</formula>
    </cfRule>
  </conditionalFormatting>
  <conditionalFormatting sqref="H86:H1048576">
    <cfRule type="cellIs" dxfId="1115" priority="3226" operator="lessThan">
      <formula>0</formula>
    </cfRule>
  </conditionalFormatting>
  <conditionalFormatting sqref="H86:H1048576">
    <cfRule type="cellIs" dxfId="1114" priority="3225" operator="lessThan">
      <formula>0</formula>
    </cfRule>
  </conditionalFormatting>
  <conditionalFormatting sqref="H86:H1048576">
    <cfRule type="cellIs" dxfId="1113" priority="3224" operator="lessThan">
      <formula>0</formula>
    </cfRule>
  </conditionalFormatting>
  <conditionalFormatting sqref="H86:H1048576">
    <cfRule type="cellIs" dxfId="1112" priority="3223" operator="lessThan">
      <formula>0</formula>
    </cfRule>
  </conditionalFormatting>
  <conditionalFormatting sqref="H86:H1048576">
    <cfRule type="cellIs" dxfId="1111" priority="3222" operator="lessThan">
      <formula>0</formula>
    </cfRule>
  </conditionalFormatting>
  <conditionalFormatting sqref="H86:H1048576">
    <cfRule type="cellIs" dxfId="1110" priority="3221" operator="lessThan">
      <formula>0</formula>
    </cfRule>
  </conditionalFormatting>
  <conditionalFormatting sqref="H86:H1048576">
    <cfRule type="cellIs" dxfId="1109" priority="3220" operator="lessThan">
      <formula>0</formula>
    </cfRule>
  </conditionalFormatting>
  <conditionalFormatting sqref="H86:H1048576">
    <cfRule type="cellIs" dxfId="1108" priority="3219" operator="lessThan">
      <formula>0</formula>
    </cfRule>
  </conditionalFormatting>
  <conditionalFormatting sqref="H86:H1048576">
    <cfRule type="cellIs" dxfId="1107" priority="3218" operator="lessThan">
      <formula>0</formula>
    </cfRule>
  </conditionalFormatting>
  <conditionalFormatting sqref="H86:H1048576">
    <cfRule type="cellIs" dxfId="1106" priority="3217" operator="lessThan">
      <formula>0</formula>
    </cfRule>
  </conditionalFormatting>
  <conditionalFormatting sqref="H86:H1048576">
    <cfRule type="cellIs" dxfId="1105" priority="3216" operator="lessThan">
      <formula>0</formula>
    </cfRule>
  </conditionalFormatting>
  <conditionalFormatting sqref="H86:H1048576">
    <cfRule type="cellIs" dxfId="1104" priority="3215" operator="lessThan">
      <formula>0</formula>
    </cfRule>
  </conditionalFormatting>
  <conditionalFormatting sqref="H86:H1048576">
    <cfRule type="cellIs" dxfId="1103" priority="3214" operator="lessThan">
      <formula>0</formula>
    </cfRule>
  </conditionalFormatting>
  <conditionalFormatting sqref="H86:H1048576">
    <cfRule type="cellIs" dxfId="1102" priority="3213" operator="lessThan">
      <formula>0</formula>
    </cfRule>
  </conditionalFormatting>
  <conditionalFormatting sqref="H86:H1048576">
    <cfRule type="cellIs" dxfId="1101" priority="3212" operator="lessThan">
      <formula>0</formula>
    </cfRule>
  </conditionalFormatting>
  <conditionalFormatting sqref="H86:H1048576">
    <cfRule type="cellIs" dxfId="1100" priority="3211" operator="lessThan">
      <formula>0</formula>
    </cfRule>
  </conditionalFormatting>
  <conditionalFormatting sqref="H86:H1048576">
    <cfRule type="cellIs" dxfId="1099" priority="3210" operator="lessThan">
      <formula>0</formula>
    </cfRule>
  </conditionalFormatting>
  <conditionalFormatting sqref="H86:H1048576">
    <cfRule type="cellIs" dxfId="1098" priority="3209" operator="lessThan">
      <formula>0</formula>
    </cfRule>
  </conditionalFormatting>
  <conditionalFormatting sqref="H86:H1048576">
    <cfRule type="cellIs" dxfId="1097" priority="3208" operator="lessThan">
      <formula>0</formula>
    </cfRule>
  </conditionalFormatting>
  <conditionalFormatting sqref="H86:H1048576">
    <cfRule type="cellIs" dxfId="1096" priority="3207" operator="lessThan">
      <formula>0</formula>
    </cfRule>
  </conditionalFormatting>
  <conditionalFormatting sqref="H86:H1048576">
    <cfRule type="cellIs" dxfId="1095" priority="3206" operator="lessThan">
      <formula>0</formula>
    </cfRule>
  </conditionalFormatting>
  <conditionalFormatting sqref="H86:H1048576">
    <cfRule type="cellIs" dxfId="1094" priority="3205" operator="lessThan">
      <formula>0</formula>
    </cfRule>
  </conditionalFormatting>
  <conditionalFormatting sqref="H86:H1048576">
    <cfRule type="cellIs" dxfId="1093" priority="3204" operator="lessThan">
      <formula>0</formula>
    </cfRule>
  </conditionalFormatting>
  <conditionalFormatting sqref="H86:H1048576">
    <cfRule type="cellIs" dxfId="1092" priority="3203" operator="lessThan">
      <formula>0</formula>
    </cfRule>
  </conditionalFormatting>
  <conditionalFormatting sqref="H86:H1048576">
    <cfRule type="cellIs" dxfId="1091" priority="3202" operator="lessThan">
      <formula>0</formula>
    </cfRule>
  </conditionalFormatting>
  <conditionalFormatting sqref="H86:H1048576">
    <cfRule type="cellIs" dxfId="1090" priority="3201" operator="lessThan">
      <formula>0</formula>
    </cfRule>
  </conditionalFormatting>
  <conditionalFormatting sqref="H86:H1048576">
    <cfRule type="cellIs" dxfId="1089" priority="3200" operator="lessThan">
      <formula>0</formula>
    </cfRule>
  </conditionalFormatting>
  <conditionalFormatting sqref="H86:H1048576">
    <cfRule type="cellIs" dxfId="1088" priority="3199" operator="lessThan">
      <formula>0</formula>
    </cfRule>
  </conditionalFormatting>
  <conditionalFormatting sqref="H86:H1048576">
    <cfRule type="cellIs" dxfId="1087" priority="3198" operator="lessThan">
      <formula>0</formula>
    </cfRule>
  </conditionalFormatting>
  <conditionalFormatting sqref="H86:H1048576">
    <cfRule type="cellIs" dxfId="1086" priority="3197" operator="lessThan">
      <formula>0</formula>
    </cfRule>
  </conditionalFormatting>
  <conditionalFormatting sqref="H86:H1048576">
    <cfRule type="cellIs" dxfId="1085" priority="3196" operator="lessThan">
      <formula>0</formula>
    </cfRule>
  </conditionalFormatting>
  <conditionalFormatting sqref="H86:H1048576">
    <cfRule type="cellIs" dxfId="1084" priority="3195" operator="lessThan">
      <formula>0</formula>
    </cfRule>
  </conditionalFormatting>
  <conditionalFormatting sqref="H86:H1048576">
    <cfRule type="cellIs" dxfId="1083" priority="3194" operator="lessThan">
      <formula>0</formula>
    </cfRule>
  </conditionalFormatting>
  <conditionalFormatting sqref="H86:H1048576">
    <cfRule type="cellIs" dxfId="1082" priority="3193" operator="lessThan">
      <formula>0</formula>
    </cfRule>
  </conditionalFormatting>
  <conditionalFormatting sqref="H86:H1048576">
    <cfRule type="cellIs" dxfId="1081" priority="3192" operator="lessThan">
      <formula>0</formula>
    </cfRule>
  </conditionalFormatting>
  <conditionalFormatting sqref="H86:H1048576">
    <cfRule type="cellIs" dxfId="1080" priority="3191" operator="lessThan">
      <formula>0</formula>
    </cfRule>
  </conditionalFormatting>
  <conditionalFormatting sqref="H86:H1048576">
    <cfRule type="cellIs" dxfId="1079" priority="3190" operator="lessThan">
      <formula>0</formula>
    </cfRule>
  </conditionalFormatting>
  <conditionalFormatting sqref="H86:H1048576">
    <cfRule type="cellIs" dxfId="1078" priority="3189" operator="lessThan">
      <formula>0</formula>
    </cfRule>
  </conditionalFormatting>
  <conditionalFormatting sqref="H86:H1048576">
    <cfRule type="cellIs" dxfId="1077" priority="3188" operator="lessThan">
      <formula>0</formula>
    </cfRule>
  </conditionalFormatting>
  <conditionalFormatting sqref="H86:H1048576">
    <cfRule type="cellIs" dxfId="1076" priority="3187" operator="lessThan">
      <formula>0</formula>
    </cfRule>
  </conditionalFormatting>
  <conditionalFormatting sqref="H86:H1048576">
    <cfRule type="cellIs" dxfId="1075" priority="3186" operator="lessThan">
      <formula>0</formula>
    </cfRule>
  </conditionalFormatting>
  <conditionalFormatting sqref="H86:H1048576">
    <cfRule type="cellIs" dxfId="1074" priority="3185" operator="lessThan">
      <formula>0</formula>
    </cfRule>
  </conditionalFormatting>
  <conditionalFormatting sqref="H86:H1048576">
    <cfRule type="cellIs" dxfId="1073" priority="3184" operator="lessThan">
      <formula>0</formula>
    </cfRule>
  </conditionalFormatting>
  <conditionalFormatting sqref="H86:H1048576">
    <cfRule type="cellIs" dxfId="1072" priority="3183" operator="lessThan">
      <formula>0</formula>
    </cfRule>
  </conditionalFormatting>
  <conditionalFormatting sqref="H86:H1048576">
    <cfRule type="cellIs" dxfId="1071" priority="3182" operator="lessThan">
      <formula>0</formula>
    </cfRule>
  </conditionalFormatting>
  <conditionalFormatting sqref="H86:H1048576">
    <cfRule type="cellIs" dxfId="1070" priority="3181" operator="lessThan">
      <formula>0</formula>
    </cfRule>
  </conditionalFormatting>
  <conditionalFormatting sqref="H86:H1048576">
    <cfRule type="cellIs" dxfId="1069" priority="3180" operator="lessThan">
      <formula>0</formula>
    </cfRule>
  </conditionalFormatting>
  <conditionalFormatting sqref="H86:H1048576">
    <cfRule type="cellIs" dxfId="1068" priority="3179" operator="lessThan">
      <formula>0</formula>
    </cfRule>
  </conditionalFormatting>
  <conditionalFormatting sqref="H86:H1048576">
    <cfRule type="cellIs" dxfId="1067" priority="3178" operator="lessThan">
      <formula>0</formula>
    </cfRule>
  </conditionalFormatting>
  <conditionalFormatting sqref="H86:H1048576">
    <cfRule type="cellIs" dxfId="1066" priority="3177" operator="lessThan">
      <formula>0</formula>
    </cfRule>
  </conditionalFormatting>
  <conditionalFormatting sqref="H86:H1048576">
    <cfRule type="cellIs" dxfId="1065" priority="3176" operator="lessThan">
      <formula>0</formula>
    </cfRule>
  </conditionalFormatting>
  <conditionalFormatting sqref="H86:H1048576">
    <cfRule type="cellIs" dxfId="1064" priority="3175" operator="lessThan">
      <formula>0</formula>
    </cfRule>
  </conditionalFormatting>
  <conditionalFormatting sqref="H86:H1048576">
    <cfRule type="cellIs" dxfId="1063" priority="3174" operator="lessThan">
      <formula>0</formula>
    </cfRule>
  </conditionalFormatting>
  <conditionalFormatting sqref="H86:H1048576">
    <cfRule type="cellIs" dxfId="1062" priority="3173" operator="lessThan">
      <formula>0</formula>
    </cfRule>
  </conditionalFormatting>
  <conditionalFormatting sqref="H86:H1048576">
    <cfRule type="cellIs" dxfId="1061" priority="3172" operator="lessThan">
      <formula>0</formula>
    </cfRule>
  </conditionalFormatting>
  <conditionalFormatting sqref="H86:H1048576">
    <cfRule type="cellIs" dxfId="1060" priority="3171" operator="lessThan">
      <formula>0</formula>
    </cfRule>
  </conditionalFormatting>
  <conditionalFormatting sqref="H86:H1048576">
    <cfRule type="cellIs" dxfId="1059" priority="3170" operator="lessThan">
      <formula>0</formula>
    </cfRule>
  </conditionalFormatting>
  <conditionalFormatting sqref="H86:H1048576">
    <cfRule type="cellIs" dxfId="1058" priority="3169" operator="lessThan">
      <formula>0</formula>
    </cfRule>
  </conditionalFormatting>
  <conditionalFormatting sqref="H86:H1048576">
    <cfRule type="cellIs" dxfId="1057" priority="3168" operator="lessThan">
      <formula>0</formula>
    </cfRule>
  </conditionalFormatting>
  <conditionalFormatting sqref="H86:H1048576">
    <cfRule type="cellIs" dxfId="1056" priority="3167" operator="lessThan">
      <formula>0</formula>
    </cfRule>
  </conditionalFormatting>
  <conditionalFormatting sqref="H86:H1048576">
    <cfRule type="cellIs" dxfId="1055" priority="3166" operator="lessThan">
      <formula>0</formula>
    </cfRule>
  </conditionalFormatting>
  <conditionalFormatting sqref="H86:H1048576">
    <cfRule type="cellIs" dxfId="1054" priority="3165" operator="lessThan">
      <formula>0</formula>
    </cfRule>
  </conditionalFormatting>
  <conditionalFormatting sqref="H86:H1048576">
    <cfRule type="cellIs" dxfId="1053" priority="3164" operator="lessThan">
      <formula>0</formula>
    </cfRule>
  </conditionalFormatting>
  <conditionalFormatting sqref="H86:H1048576">
    <cfRule type="cellIs" dxfId="1052" priority="3163" operator="lessThan">
      <formula>0</formula>
    </cfRule>
  </conditionalFormatting>
  <conditionalFormatting sqref="H86:H1048576">
    <cfRule type="cellIs" dxfId="1051" priority="3162" operator="lessThan">
      <formula>0</formula>
    </cfRule>
  </conditionalFormatting>
  <conditionalFormatting sqref="H86:H1048576">
    <cfRule type="cellIs" dxfId="1050" priority="3161" operator="lessThan">
      <formula>0</formula>
    </cfRule>
  </conditionalFormatting>
  <conditionalFormatting sqref="H86:H1048576">
    <cfRule type="cellIs" dxfId="1049" priority="3160" operator="lessThan">
      <formula>0</formula>
    </cfRule>
  </conditionalFormatting>
  <conditionalFormatting sqref="H86:H1048576">
    <cfRule type="cellIs" dxfId="1048" priority="3159" operator="lessThan">
      <formula>0</formula>
    </cfRule>
  </conditionalFormatting>
  <conditionalFormatting sqref="H86:H1048576">
    <cfRule type="cellIs" dxfId="1047" priority="3158" operator="lessThan">
      <formula>0</formula>
    </cfRule>
  </conditionalFormatting>
  <conditionalFormatting sqref="H86:H1048576">
    <cfRule type="cellIs" dxfId="1046" priority="3157" operator="lessThan">
      <formula>0</formula>
    </cfRule>
  </conditionalFormatting>
  <conditionalFormatting sqref="H86:H1048576">
    <cfRule type="cellIs" dxfId="1045" priority="3156" operator="lessThan">
      <formula>0</formula>
    </cfRule>
  </conditionalFormatting>
  <conditionalFormatting sqref="H86:H1048576">
    <cfRule type="cellIs" dxfId="1044" priority="3155" operator="lessThan">
      <formula>0</formula>
    </cfRule>
  </conditionalFormatting>
  <conditionalFormatting sqref="H86:H1048576">
    <cfRule type="cellIs" dxfId="1043" priority="3154" operator="lessThan">
      <formula>0</formula>
    </cfRule>
  </conditionalFormatting>
  <conditionalFormatting sqref="H86:H1048576">
    <cfRule type="cellIs" dxfId="1042" priority="3153" operator="lessThan">
      <formula>0</formula>
    </cfRule>
  </conditionalFormatting>
  <conditionalFormatting sqref="H86:H1048576">
    <cfRule type="cellIs" dxfId="1041" priority="3152" operator="lessThan">
      <formula>0</formula>
    </cfRule>
  </conditionalFormatting>
  <conditionalFormatting sqref="H86:H1048576">
    <cfRule type="cellIs" dxfId="1040" priority="3151" operator="lessThan">
      <formula>0</formula>
    </cfRule>
  </conditionalFormatting>
  <conditionalFormatting sqref="H86:H1048576">
    <cfRule type="cellIs" dxfId="1039" priority="3150" operator="lessThan">
      <formula>0</formula>
    </cfRule>
  </conditionalFormatting>
  <conditionalFormatting sqref="H86:H1048576">
    <cfRule type="cellIs" dxfId="1038" priority="3149" operator="lessThan">
      <formula>0</formula>
    </cfRule>
  </conditionalFormatting>
  <conditionalFormatting sqref="H86:H1048576">
    <cfRule type="cellIs" dxfId="1037" priority="3148" operator="lessThan">
      <formula>0</formula>
    </cfRule>
  </conditionalFormatting>
  <conditionalFormatting sqref="H86:H1048576">
    <cfRule type="cellIs" dxfId="1036" priority="3147" operator="lessThan">
      <formula>0</formula>
    </cfRule>
  </conditionalFormatting>
  <conditionalFormatting sqref="H86:H1048576">
    <cfRule type="cellIs" dxfId="1035" priority="3146" operator="lessThan">
      <formula>0</formula>
    </cfRule>
  </conditionalFormatting>
  <conditionalFormatting sqref="H86:H1048576">
    <cfRule type="cellIs" dxfId="1034" priority="3145" operator="lessThan">
      <formula>0</formula>
    </cfRule>
  </conditionalFormatting>
  <conditionalFormatting sqref="H86:H1048576">
    <cfRule type="cellIs" dxfId="1033" priority="3144" operator="lessThan">
      <formula>0</formula>
    </cfRule>
  </conditionalFormatting>
  <conditionalFormatting sqref="H86:H1048576">
    <cfRule type="cellIs" dxfId="1032" priority="3143" operator="lessThan">
      <formula>0</formula>
    </cfRule>
  </conditionalFormatting>
  <conditionalFormatting sqref="H86:H1048576">
    <cfRule type="cellIs" dxfId="1031" priority="3142" operator="lessThan">
      <formula>0</formula>
    </cfRule>
  </conditionalFormatting>
  <conditionalFormatting sqref="H86:H1048576">
    <cfRule type="cellIs" dxfId="1030" priority="3141" operator="lessThan">
      <formula>0</formula>
    </cfRule>
  </conditionalFormatting>
  <conditionalFormatting sqref="H86:H1048576">
    <cfRule type="cellIs" dxfId="1029" priority="3140" operator="lessThan">
      <formula>0</formula>
    </cfRule>
  </conditionalFormatting>
  <conditionalFormatting sqref="H86:H1048576">
    <cfRule type="cellIs" dxfId="1028" priority="3139" operator="lessThan">
      <formula>0</formula>
    </cfRule>
  </conditionalFormatting>
  <conditionalFormatting sqref="H86:H1048576">
    <cfRule type="cellIs" dxfId="1027" priority="3138" operator="lessThan">
      <formula>0</formula>
    </cfRule>
  </conditionalFormatting>
  <conditionalFormatting sqref="H86:H1048576">
    <cfRule type="cellIs" dxfId="1026" priority="3137" operator="lessThan">
      <formula>0</formula>
    </cfRule>
  </conditionalFormatting>
  <conditionalFormatting sqref="H86:H1048576">
    <cfRule type="cellIs" dxfId="1025" priority="3136" operator="lessThan">
      <formula>0</formula>
    </cfRule>
  </conditionalFormatting>
  <conditionalFormatting sqref="H86:H1048576">
    <cfRule type="cellIs" dxfId="1024" priority="3135" operator="lessThan">
      <formula>0</formula>
    </cfRule>
  </conditionalFormatting>
  <conditionalFormatting sqref="H86:H1048576">
    <cfRule type="cellIs" dxfId="1023" priority="3134" operator="lessThan">
      <formula>0</formula>
    </cfRule>
  </conditionalFormatting>
  <conditionalFormatting sqref="H86:H1048576">
    <cfRule type="cellIs" dxfId="1022" priority="3133" operator="lessThan">
      <formula>0</formula>
    </cfRule>
  </conditionalFormatting>
  <conditionalFormatting sqref="H86:H1048576">
    <cfRule type="cellIs" dxfId="1021" priority="3132" operator="lessThan">
      <formula>0</formula>
    </cfRule>
  </conditionalFormatting>
  <conditionalFormatting sqref="H86:H1048576">
    <cfRule type="cellIs" dxfId="1020" priority="3131" operator="lessThan">
      <formula>0</formula>
    </cfRule>
  </conditionalFormatting>
  <conditionalFormatting sqref="H86:H1048576">
    <cfRule type="cellIs" dxfId="1019" priority="3130" operator="lessThan">
      <formula>0</formula>
    </cfRule>
  </conditionalFormatting>
  <conditionalFormatting sqref="H86:H1048576">
    <cfRule type="cellIs" dxfId="1018" priority="3129" operator="lessThan">
      <formula>0</formula>
    </cfRule>
  </conditionalFormatting>
  <conditionalFormatting sqref="H86:H1048576">
    <cfRule type="cellIs" dxfId="1017" priority="3128" operator="lessThan">
      <formula>0</formula>
    </cfRule>
  </conditionalFormatting>
  <conditionalFormatting sqref="H86:H1048576">
    <cfRule type="cellIs" dxfId="1016" priority="3127" operator="lessThan">
      <formula>0</formula>
    </cfRule>
  </conditionalFormatting>
  <conditionalFormatting sqref="H86:H1048576">
    <cfRule type="cellIs" dxfId="1015" priority="3126" operator="lessThan">
      <formula>0</formula>
    </cfRule>
  </conditionalFormatting>
  <conditionalFormatting sqref="H86:H1048576">
    <cfRule type="cellIs" dxfId="1014" priority="3125" operator="lessThan">
      <formula>0</formula>
    </cfRule>
  </conditionalFormatting>
  <conditionalFormatting sqref="H86:H1048576">
    <cfRule type="cellIs" dxfId="1013" priority="3124" operator="lessThan">
      <formula>0</formula>
    </cfRule>
  </conditionalFormatting>
  <conditionalFormatting sqref="H86:H1048576">
    <cfRule type="cellIs" dxfId="1012" priority="3123" operator="lessThan">
      <formula>0</formula>
    </cfRule>
  </conditionalFormatting>
  <conditionalFormatting sqref="H86:H1048576">
    <cfRule type="cellIs" dxfId="1011" priority="3122" operator="lessThan">
      <formula>0</formula>
    </cfRule>
  </conditionalFormatting>
  <conditionalFormatting sqref="H86:H1048576">
    <cfRule type="cellIs" dxfId="1010" priority="3121" operator="lessThan">
      <formula>0</formula>
    </cfRule>
  </conditionalFormatting>
  <conditionalFormatting sqref="H86:H1048576">
    <cfRule type="cellIs" dxfId="1009" priority="3120" operator="lessThan">
      <formula>0</formula>
    </cfRule>
  </conditionalFormatting>
  <conditionalFormatting sqref="H86:H1048576">
    <cfRule type="cellIs" dxfId="1008" priority="3119" operator="lessThan">
      <formula>0</formula>
    </cfRule>
  </conditionalFormatting>
  <conditionalFormatting sqref="H86:H1048576">
    <cfRule type="cellIs" dxfId="1007" priority="3118" operator="lessThan">
      <formula>0</formula>
    </cfRule>
  </conditionalFormatting>
  <conditionalFormatting sqref="H86:H1048576">
    <cfRule type="cellIs" dxfId="1006" priority="3117" operator="lessThan">
      <formula>0</formula>
    </cfRule>
  </conditionalFormatting>
  <conditionalFormatting sqref="H86:H1048576">
    <cfRule type="cellIs" dxfId="1005" priority="3116" operator="lessThan">
      <formula>0</formula>
    </cfRule>
  </conditionalFormatting>
  <conditionalFormatting sqref="H86:H1048576">
    <cfRule type="cellIs" dxfId="1004" priority="3115" operator="lessThan">
      <formula>0</formula>
    </cfRule>
  </conditionalFormatting>
  <conditionalFormatting sqref="H86:H1048576">
    <cfRule type="cellIs" dxfId="1003" priority="3114" operator="lessThan">
      <formula>0</formula>
    </cfRule>
  </conditionalFormatting>
  <conditionalFormatting sqref="H86:H1048576">
    <cfRule type="cellIs" dxfId="1002" priority="3113" operator="lessThan">
      <formula>0</formula>
    </cfRule>
  </conditionalFormatting>
  <conditionalFormatting sqref="H86:H1048576">
    <cfRule type="cellIs" dxfId="1001" priority="3112" operator="lessThan">
      <formula>0</formula>
    </cfRule>
  </conditionalFormatting>
  <conditionalFormatting sqref="H86:H1048576">
    <cfRule type="cellIs" dxfId="1000" priority="3111" operator="lessThan">
      <formula>0</formula>
    </cfRule>
  </conditionalFormatting>
  <conditionalFormatting sqref="H86:H1048576">
    <cfRule type="cellIs" dxfId="999" priority="3110" operator="lessThan">
      <formula>0</formula>
    </cfRule>
  </conditionalFormatting>
  <conditionalFormatting sqref="H86:H1048576">
    <cfRule type="cellIs" dxfId="998" priority="3109" operator="lessThan">
      <formula>0</formula>
    </cfRule>
  </conditionalFormatting>
  <conditionalFormatting sqref="H86:H1048576">
    <cfRule type="cellIs" dxfId="997" priority="3108" operator="lessThan">
      <formula>0</formula>
    </cfRule>
  </conditionalFormatting>
  <conditionalFormatting sqref="H86:H1048576">
    <cfRule type="cellIs" dxfId="996" priority="3107" operator="lessThan">
      <formula>0</formula>
    </cfRule>
  </conditionalFormatting>
  <conditionalFormatting sqref="H86:H1048576">
    <cfRule type="cellIs" dxfId="995" priority="3106" operator="lessThan">
      <formula>0</formula>
    </cfRule>
  </conditionalFormatting>
  <conditionalFormatting sqref="H86:H1048576">
    <cfRule type="cellIs" dxfId="994" priority="3105" operator="lessThan">
      <formula>0</formula>
    </cfRule>
  </conditionalFormatting>
  <conditionalFormatting sqref="H86:H1048576">
    <cfRule type="cellIs" dxfId="993" priority="3104" operator="lessThan">
      <formula>0</formula>
    </cfRule>
  </conditionalFormatting>
  <conditionalFormatting sqref="H86:H1048576">
    <cfRule type="cellIs" dxfId="992" priority="3103" operator="lessThan">
      <formula>0</formula>
    </cfRule>
  </conditionalFormatting>
  <conditionalFormatting sqref="H86:H1048576">
    <cfRule type="cellIs" dxfId="991" priority="3102" operator="lessThan">
      <formula>0</formula>
    </cfRule>
  </conditionalFormatting>
  <conditionalFormatting sqref="H86:H1048576">
    <cfRule type="cellIs" dxfId="990" priority="3101" operator="lessThan">
      <formula>0</formula>
    </cfRule>
  </conditionalFormatting>
  <conditionalFormatting sqref="H86:H1048576">
    <cfRule type="cellIs" dxfId="989" priority="3100" operator="lessThan">
      <formula>0</formula>
    </cfRule>
  </conditionalFormatting>
  <conditionalFormatting sqref="H86:H1048576">
    <cfRule type="cellIs" dxfId="988" priority="3099" operator="lessThan">
      <formula>0</formula>
    </cfRule>
  </conditionalFormatting>
  <conditionalFormatting sqref="H86:H1048576">
    <cfRule type="cellIs" dxfId="987" priority="3098" operator="lessThan">
      <formula>0</formula>
    </cfRule>
  </conditionalFormatting>
  <conditionalFormatting sqref="H86:H1048576">
    <cfRule type="cellIs" dxfId="986" priority="3097" operator="lessThan">
      <formula>0</formula>
    </cfRule>
  </conditionalFormatting>
  <conditionalFormatting sqref="H86:H1048576">
    <cfRule type="cellIs" dxfId="985" priority="3096" operator="lessThan">
      <formula>0</formula>
    </cfRule>
  </conditionalFormatting>
  <conditionalFormatting sqref="H86:H1048576">
    <cfRule type="cellIs" dxfId="984" priority="3095" operator="lessThan">
      <formula>0</formula>
    </cfRule>
  </conditionalFormatting>
  <conditionalFormatting sqref="H86:H1048576">
    <cfRule type="cellIs" dxfId="983" priority="3094" operator="lessThan">
      <formula>0</formula>
    </cfRule>
  </conditionalFormatting>
  <conditionalFormatting sqref="H86:H1048576">
    <cfRule type="cellIs" dxfId="982" priority="3093" operator="lessThan">
      <formula>0</formula>
    </cfRule>
  </conditionalFormatting>
  <conditionalFormatting sqref="H86:H1048576">
    <cfRule type="cellIs" dxfId="981" priority="3092" operator="lessThan">
      <formula>0</formula>
    </cfRule>
  </conditionalFormatting>
  <conditionalFormatting sqref="H86:H1048576">
    <cfRule type="cellIs" dxfId="980" priority="3091" operator="lessThan">
      <formula>0</formula>
    </cfRule>
  </conditionalFormatting>
  <conditionalFormatting sqref="H86:H1048576">
    <cfRule type="cellIs" dxfId="979" priority="3090" operator="lessThan">
      <formula>0</formula>
    </cfRule>
  </conditionalFormatting>
  <conditionalFormatting sqref="H86:H1048576">
    <cfRule type="cellIs" dxfId="978" priority="3089" operator="lessThan">
      <formula>0</formula>
    </cfRule>
  </conditionalFormatting>
  <conditionalFormatting sqref="H86:H1048576">
    <cfRule type="cellIs" dxfId="977" priority="3088" operator="lessThan">
      <formula>0</formula>
    </cfRule>
  </conditionalFormatting>
  <conditionalFormatting sqref="H86:H1048576">
    <cfRule type="cellIs" dxfId="976" priority="3087" operator="lessThan">
      <formula>0</formula>
    </cfRule>
  </conditionalFormatting>
  <conditionalFormatting sqref="H86:H1048576">
    <cfRule type="cellIs" dxfId="975" priority="3086" operator="lessThan">
      <formula>0</formula>
    </cfRule>
  </conditionalFormatting>
  <conditionalFormatting sqref="H86:H1048576">
    <cfRule type="cellIs" dxfId="974" priority="3085" operator="lessThan">
      <formula>0</formula>
    </cfRule>
  </conditionalFormatting>
  <conditionalFormatting sqref="H86:H1048576">
    <cfRule type="cellIs" dxfId="973" priority="3084" operator="lessThan">
      <formula>0</formula>
    </cfRule>
  </conditionalFormatting>
  <conditionalFormatting sqref="H86:H1048576">
    <cfRule type="cellIs" dxfId="972" priority="3083" operator="lessThan">
      <formula>0</formula>
    </cfRule>
  </conditionalFormatting>
  <conditionalFormatting sqref="H86:H1048576">
    <cfRule type="cellIs" dxfId="971" priority="3082" operator="lessThan">
      <formula>0</formula>
    </cfRule>
  </conditionalFormatting>
  <conditionalFormatting sqref="H86:H1048576">
    <cfRule type="cellIs" dxfId="970" priority="3081" operator="lessThan">
      <formula>0</formula>
    </cfRule>
  </conditionalFormatting>
  <conditionalFormatting sqref="H86:H1048576">
    <cfRule type="cellIs" dxfId="969" priority="3080" operator="lessThan">
      <formula>0</formula>
    </cfRule>
  </conditionalFormatting>
  <conditionalFormatting sqref="H86:H1048576">
    <cfRule type="cellIs" dxfId="968" priority="3079" operator="lessThan">
      <formula>0</formula>
    </cfRule>
  </conditionalFormatting>
  <conditionalFormatting sqref="H86:H1048576">
    <cfRule type="cellIs" dxfId="967" priority="3078" operator="lessThan">
      <formula>0</formula>
    </cfRule>
  </conditionalFormatting>
  <conditionalFormatting sqref="H86:H1048576">
    <cfRule type="cellIs" dxfId="966" priority="3077" operator="lessThan">
      <formula>0</formula>
    </cfRule>
  </conditionalFormatting>
  <conditionalFormatting sqref="H86:H1048576">
    <cfRule type="cellIs" dxfId="965" priority="3076" operator="lessThan">
      <formula>0</formula>
    </cfRule>
  </conditionalFormatting>
  <conditionalFormatting sqref="H10:H1048576">
    <cfRule type="cellIs" dxfId="964" priority="3075" operator="lessThan">
      <formula>0</formula>
    </cfRule>
  </conditionalFormatting>
  <conditionalFormatting sqref="H10:H1048576">
    <cfRule type="cellIs" dxfId="963" priority="3074" operator="lessThan">
      <formula>0</formula>
    </cfRule>
  </conditionalFormatting>
  <conditionalFormatting sqref="H10:H1048576">
    <cfRule type="cellIs" dxfId="962" priority="3073" operator="lessThan">
      <formula>0</formula>
    </cfRule>
  </conditionalFormatting>
  <conditionalFormatting sqref="H10:H1048576">
    <cfRule type="cellIs" dxfId="961" priority="3072" operator="lessThan">
      <formula>0</formula>
    </cfRule>
  </conditionalFormatting>
  <conditionalFormatting sqref="H10:H1048576">
    <cfRule type="cellIs" dxfId="960" priority="3071" operator="lessThan">
      <formula>0</formula>
    </cfRule>
  </conditionalFormatting>
  <conditionalFormatting sqref="H10:H1048576">
    <cfRule type="cellIs" dxfId="959" priority="3070" operator="lessThan">
      <formula>0</formula>
    </cfRule>
  </conditionalFormatting>
  <conditionalFormatting sqref="H10:H1048576">
    <cfRule type="cellIs" dxfId="958" priority="3069" operator="lessThan">
      <formula>0</formula>
    </cfRule>
  </conditionalFormatting>
  <conditionalFormatting sqref="H10:H1048576">
    <cfRule type="cellIs" dxfId="957" priority="3068" operator="lessThan">
      <formula>0</formula>
    </cfRule>
  </conditionalFormatting>
  <conditionalFormatting sqref="H10:H1048576">
    <cfRule type="cellIs" dxfId="956" priority="3067" operator="lessThan">
      <formula>0</formula>
    </cfRule>
  </conditionalFormatting>
  <conditionalFormatting sqref="H10:H1048576">
    <cfRule type="cellIs" dxfId="955" priority="3066" operator="lessThan">
      <formula>0</formula>
    </cfRule>
  </conditionalFormatting>
  <conditionalFormatting sqref="H10:H1048576">
    <cfRule type="cellIs" dxfId="954" priority="3065" operator="lessThan">
      <formula>0</formula>
    </cfRule>
  </conditionalFormatting>
  <conditionalFormatting sqref="H10:H1048576">
    <cfRule type="cellIs" dxfId="953" priority="3064" operator="lessThan">
      <formula>0</formula>
    </cfRule>
  </conditionalFormatting>
  <conditionalFormatting sqref="H10:H1048576">
    <cfRule type="cellIs" dxfId="952" priority="3063" operator="lessThan">
      <formula>0</formula>
    </cfRule>
  </conditionalFormatting>
  <conditionalFormatting sqref="H10:H1048576">
    <cfRule type="cellIs" dxfId="951" priority="3062" operator="lessThan">
      <formula>0</formula>
    </cfRule>
  </conditionalFormatting>
  <conditionalFormatting sqref="H10:H1048576">
    <cfRule type="cellIs" dxfId="950" priority="3061" operator="lessThan">
      <formula>0</formula>
    </cfRule>
  </conditionalFormatting>
  <conditionalFormatting sqref="H10:H1048576">
    <cfRule type="cellIs" dxfId="949" priority="3060" operator="lessThan">
      <formula>0</formula>
    </cfRule>
  </conditionalFormatting>
  <conditionalFormatting sqref="H10:H1048576">
    <cfRule type="cellIs" dxfId="948" priority="3059" operator="lessThan">
      <formula>0</formula>
    </cfRule>
  </conditionalFormatting>
  <conditionalFormatting sqref="H10:H1048576">
    <cfRule type="cellIs" dxfId="947" priority="3058" operator="lessThan">
      <formula>0</formula>
    </cfRule>
  </conditionalFormatting>
  <conditionalFormatting sqref="H10:H1048576">
    <cfRule type="cellIs" dxfId="946" priority="3057" operator="lessThan">
      <formula>0</formula>
    </cfRule>
  </conditionalFormatting>
  <conditionalFormatting sqref="H10:H1048576">
    <cfRule type="cellIs" dxfId="945" priority="3056" operator="lessThan">
      <formula>0</formula>
    </cfRule>
  </conditionalFormatting>
  <conditionalFormatting sqref="H10:H1048576">
    <cfRule type="cellIs" dxfId="944" priority="3055" operator="lessThan">
      <formula>0</formula>
    </cfRule>
  </conditionalFormatting>
  <conditionalFormatting sqref="H10:H1048576">
    <cfRule type="cellIs" dxfId="943" priority="3054" operator="lessThan">
      <formula>0</formula>
    </cfRule>
  </conditionalFormatting>
  <conditionalFormatting sqref="H10:H1048576">
    <cfRule type="cellIs" dxfId="942" priority="3053" operator="lessThan">
      <formula>0</formula>
    </cfRule>
  </conditionalFormatting>
  <conditionalFormatting sqref="H10:H1048576">
    <cfRule type="cellIs" dxfId="941" priority="3052" operator="lessThan">
      <formula>0</formula>
    </cfRule>
  </conditionalFormatting>
  <conditionalFormatting sqref="H10:H1048576">
    <cfRule type="cellIs" dxfId="940" priority="3051" operator="lessThan">
      <formula>0</formula>
    </cfRule>
  </conditionalFormatting>
  <conditionalFormatting sqref="H10:H1048576">
    <cfRule type="cellIs" dxfId="939" priority="3050" operator="lessThan">
      <formula>0</formula>
    </cfRule>
  </conditionalFormatting>
  <conditionalFormatting sqref="H10:H1048576">
    <cfRule type="cellIs" dxfId="938" priority="3049" operator="lessThan">
      <formula>0</formula>
    </cfRule>
  </conditionalFormatting>
  <conditionalFormatting sqref="H10:H1048576">
    <cfRule type="cellIs" dxfId="937" priority="3048" operator="lessThan">
      <formula>0</formula>
    </cfRule>
  </conditionalFormatting>
  <conditionalFormatting sqref="H10:H1048576">
    <cfRule type="cellIs" dxfId="936" priority="3047" operator="lessThan">
      <formula>0</formula>
    </cfRule>
  </conditionalFormatting>
  <conditionalFormatting sqref="H10:H1048576">
    <cfRule type="cellIs" dxfId="935" priority="3046" operator="lessThan">
      <formula>0</formula>
    </cfRule>
  </conditionalFormatting>
  <conditionalFormatting sqref="H10:H1048576">
    <cfRule type="cellIs" dxfId="934" priority="3045" operator="lessThan">
      <formula>0</formula>
    </cfRule>
  </conditionalFormatting>
  <conditionalFormatting sqref="H10:H1048576">
    <cfRule type="cellIs" dxfId="933" priority="3044" operator="lessThan">
      <formula>0</formula>
    </cfRule>
  </conditionalFormatting>
  <conditionalFormatting sqref="H10:H1048576">
    <cfRule type="cellIs" dxfId="932" priority="3043" operator="lessThan">
      <formula>0</formula>
    </cfRule>
  </conditionalFormatting>
  <conditionalFormatting sqref="H10:H1048576">
    <cfRule type="cellIs" dxfId="931" priority="3042" operator="lessThan">
      <formula>0</formula>
    </cfRule>
  </conditionalFormatting>
  <conditionalFormatting sqref="H10:H1048576">
    <cfRule type="cellIs" dxfId="930" priority="3041" operator="lessThan">
      <formula>0</formula>
    </cfRule>
  </conditionalFormatting>
  <conditionalFormatting sqref="H10:H1048576">
    <cfRule type="cellIs" dxfId="929" priority="3040" operator="lessThan">
      <formula>0</formula>
    </cfRule>
  </conditionalFormatting>
  <conditionalFormatting sqref="H10:H1048576">
    <cfRule type="cellIs" dxfId="928" priority="3039" operator="lessThan">
      <formula>0</formula>
    </cfRule>
  </conditionalFormatting>
  <conditionalFormatting sqref="H10:H1048576">
    <cfRule type="cellIs" dxfId="927" priority="3038" operator="lessThan">
      <formula>0</formula>
    </cfRule>
  </conditionalFormatting>
  <conditionalFormatting sqref="H10:H1048576">
    <cfRule type="cellIs" dxfId="926" priority="3037" operator="lessThan">
      <formula>0</formula>
    </cfRule>
  </conditionalFormatting>
  <conditionalFormatting sqref="H10:H1048576">
    <cfRule type="cellIs" dxfId="925" priority="3036" operator="lessThan">
      <formula>0</formula>
    </cfRule>
  </conditionalFormatting>
  <conditionalFormatting sqref="H10:H1048576">
    <cfRule type="cellIs" dxfId="924" priority="3035" operator="lessThan">
      <formula>0</formula>
    </cfRule>
  </conditionalFormatting>
  <conditionalFormatting sqref="H10:H1048576">
    <cfRule type="cellIs" dxfId="923" priority="3034" operator="lessThan">
      <formula>0</formula>
    </cfRule>
  </conditionalFormatting>
  <conditionalFormatting sqref="H10:H1048576">
    <cfRule type="cellIs" dxfId="922" priority="3033" operator="lessThan">
      <formula>0</formula>
    </cfRule>
  </conditionalFormatting>
  <conditionalFormatting sqref="H10:H1048576">
    <cfRule type="cellIs" dxfId="921" priority="3032" operator="lessThan">
      <formula>0</formula>
    </cfRule>
  </conditionalFormatting>
  <conditionalFormatting sqref="H10:H1048576">
    <cfRule type="cellIs" dxfId="920" priority="3031" operator="lessThan">
      <formula>0</formula>
    </cfRule>
  </conditionalFormatting>
  <conditionalFormatting sqref="H10:H1048576">
    <cfRule type="cellIs" dxfId="919" priority="3030" operator="lessThan">
      <formula>0</formula>
    </cfRule>
  </conditionalFormatting>
  <conditionalFormatting sqref="H10:H1048576">
    <cfRule type="cellIs" dxfId="918" priority="3029" operator="lessThan">
      <formula>0</formula>
    </cfRule>
  </conditionalFormatting>
  <conditionalFormatting sqref="H10:H1048576">
    <cfRule type="cellIs" dxfId="917" priority="3028" operator="lessThan">
      <formula>0</formula>
    </cfRule>
  </conditionalFormatting>
  <conditionalFormatting sqref="H10:H1048576">
    <cfRule type="cellIs" dxfId="916" priority="3027" operator="lessThan">
      <formula>0</formula>
    </cfRule>
  </conditionalFormatting>
  <conditionalFormatting sqref="H10:H1048576">
    <cfRule type="cellIs" dxfId="915" priority="3026" operator="lessThan">
      <formula>0</formula>
    </cfRule>
  </conditionalFormatting>
  <conditionalFormatting sqref="H10:H1048576">
    <cfRule type="cellIs" dxfId="914" priority="3025" operator="lessThan">
      <formula>0</formula>
    </cfRule>
  </conditionalFormatting>
  <conditionalFormatting sqref="H10:H1048576">
    <cfRule type="cellIs" dxfId="913" priority="3024" operator="lessThan">
      <formula>0</formula>
    </cfRule>
  </conditionalFormatting>
  <conditionalFormatting sqref="H10:H1048576">
    <cfRule type="cellIs" dxfId="912" priority="3023" operator="lessThan">
      <formula>0</formula>
    </cfRule>
  </conditionalFormatting>
  <conditionalFormatting sqref="H10:H1048576">
    <cfRule type="cellIs" dxfId="911" priority="3022" operator="lessThan">
      <formula>0</formula>
    </cfRule>
  </conditionalFormatting>
  <conditionalFormatting sqref="H10:H1048576">
    <cfRule type="cellIs" dxfId="910" priority="3021" operator="lessThan">
      <formula>0</formula>
    </cfRule>
  </conditionalFormatting>
  <conditionalFormatting sqref="H10:H1048576">
    <cfRule type="cellIs" dxfId="909" priority="3020" operator="lessThan">
      <formula>0</formula>
    </cfRule>
  </conditionalFormatting>
  <conditionalFormatting sqref="H10:H1048576">
    <cfRule type="cellIs" dxfId="908" priority="3019" operator="lessThan">
      <formula>0</formula>
    </cfRule>
  </conditionalFormatting>
  <conditionalFormatting sqref="H10:H1048576">
    <cfRule type="cellIs" dxfId="907" priority="3018" operator="lessThan">
      <formula>0</formula>
    </cfRule>
  </conditionalFormatting>
  <conditionalFormatting sqref="H10:H1048576">
    <cfRule type="cellIs" dxfId="906" priority="3017" operator="lessThan">
      <formula>0</formula>
    </cfRule>
  </conditionalFormatting>
  <conditionalFormatting sqref="H10:H1048576">
    <cfRule type="cellIs" dxfId="905" priority="3016" operator="lessThan">
      <formula>0</formula>
    </cfRule>
  </conditionalFormatting>
  <conditionalFormatting sqref="H10:H1048576">
    <cfRule type="cellIs" dxfId="904" priority="3015" operator="lessThan">
      <formula>0</formula>
    </cfRule>
  </conditionalFormatting>
  <conditionalFormatting sqref="H10:H1048576">
    <cfRule type="cellIs" dxfId="903" priority="3014" operator="lessThan">
      <formula>0</formula>
    </cfRule>
  </conditionalFormatting>
  <conditionalFormatting sqref="H10:H1048576">
    <cfRule type="cellIs" dxfId="902" priority="3013" operator="lessThan">
      <formula>0</formula>
    </cfRule>
  </conditionalFormatting>
  <conditionalFormatting sqref="H10:H1048576">
    <cfRule type="cellIs" dxfId="901" priority="3012" operator="lessThan">
      <formula>0</formula>
    </cfRule>
  </conditionalFormatting>
  <conditionalFormatting sqref="H10:H1048576">
    <cfRule type="cellIs" dxfId="900" priority="3011" operator="lessThan">
      <formula>0</formula>
    </cfRule>
  </conditionalFormatting>
  <conditionalFormatting sqref="H10:H1048576">
    <cfRule type="cellIs" dxfId="899" priority="3010" operator="lessThan">
      <formula>0</formula>
    </cfRule>
  </conditionalFormatting>
  <conditionalFormatting sqref="H10:H1048576">
    <cfRule type="cellIs" dxfId="898" priority="3009" operator="lessThan">
      <formula>0</formula>
    </cfRule>
  </conditionalFormatting>
  <conditionalFormatting sqref="H10:H1048576">
    <cfRule type="cellIs" dxfId="897" priority="3008" operator="lessThan">
      <formula>0</formula>
    </cfRule>
  </conditionalFormatting>
  <conditionalFormatting sqref="H10:H1048576">
    <cfRule type="cellIs" dxfId="896" priority="3007" operator="lessThan">
      <formula>0</formula>
    </cfRule>
  </conditionalFormatting>
  <conditionalFormatting sqref="H10:H1048576">
    <cfRule type="cellIs" dxfId="895" priority="3006" operator="lessThan">
      <formula>0</formula>
    </cfRule>
  </conditionalFormatting>
  <conditionalFormatting sqref="H10:H1048576">
    <cfRule type="cellIs" dxfId="894" priority="3005" operator="lessThan">
      <formula>0</formula>
    </cfRule>
  </conditionalFormatting>
  <conditionalFormatting sqref="H10:H1048576">
    <cfRule type="cellIs" dxfId="893" priority="3004" operator="lessThan">
      <formula>0</formula>
    </cfRule>
  </conditionalFormatting>
  <conditionalFormatting sqref="H10:H1048576">
    <cfRule type="cellIs" dxfId="892" priority="3003" operator="lessThan">
      <formula>0</formula>
    </cfRule>
  </conditionalFormatting>
  <conditionalFormatting sqref="H10:H1048576">
    <cfRule type="cellIs" dxfId="891" priority="3002" operator="lessThan">
      <formula>0</formula>
    </cfRule>
  </conditionalFormatting>
  <conditionalFormatting sqref="H10:H1048576">
    <cfRule type="cellIs" dxfId="890" priority="3001" operator="lessThan">
      <formula>0</formula>
    </cfRule>
  </conditionalFormatting>
  <conditionalFormatting sqref="H10:H1048576">
    <cfRule type="cellIs" dxfId="889" priority="3000" operator="lessThan">
      <formula>0</formula>
    </cfRule>
  </conditionalFormatting>
  <conditionalFormatting sqref="H10:H1048576">
    <cfRule type="cellIs" dxfId="888" priority="2999" operator="lessThan">
      <formula>0</formula>
    </cfRule>
  </conditionalFormatting>
  <conditionalFormatting sqref="H10:H1048576">
    <cfRule type="cellIs" dxfId="887" priority="2998" operator="lessThan">
      <formula>0</formula>
    </cfRule>
  </conditionalFormatting>
  <conditionalFormatting sqref="H10:H1048576">
    <cfRule type="cellIs" dxfId="886" priority="2997" operator="lessThan">
      <formula>0</formula>
    </cfRule>
  </conditionalFormatting>
  <conditionalFormatting sqref="H10:H1048576">
    <cfRule type="cellIs" dxfId="885" priority="2996" operator="lessThan">
      <formula>0</formula>
    </cfRule>
  </conditionalFormatting>
  <conditionalFormatting sqref="H10:H1048576">
    <cfRule type="cellIs" dxfId="884" priority="2995" operator="lessThan">
      <formula>0</formula>
    </cfRule>
  </conditionalFormatting>
  <conditionalFormatting sqref="H10:H1048576">
    <cfRule type="cellIs" dxfId="883" priority="2994" operator="lessThan">
      <formula>0</formula>
    </cfRule>
  </conditionalFormatting>
  <conditionalFormatting sqref="H10:H1048576">
    <cfRule type="cellIs" dxfId="882" priority="2993" operator="lessThan">
      <formula>0</formula>
    </cfRule>
  </conditionalFormatting>
  <conditionalFormatting sqref="H10:H1048576">
    <cfRule type="cellIs" dxfId="881" priority="2992" operator="lessThan">
      <formula>0</formula>
    </cfRule>
  </conditionalFormatting>
  <conditionalFormatting sqref="H10:H1048576">
    <cfRule type="cellIs" dxfId="880" priority="2991" operator="lessThan">
      <formula>0</formula>
    </cfRule>
  </conditionalFormatting>
  <conditionalFormatting sqref="H10:H1048576">
    <cfRule type="cellIs" dxfId="879" priority="2990" operator="lessThan">
      <formula>0</formula>
    </cfRule>
  </conditionalFormatting>
  <conditionalFormatting sqref="H10:H1048576">
    <cfRule type="cellIs" dxfId="878" priority="2989" operator="lessThan">
      <formula>0</formula>
    </cfRule>
  </conditionalFormatting>
  <conditionalFormatting sqref="H10:H1048576">
    <cfRule type="cellIs" dxfId="877" priority="2988" operator="lessThan">
      <formula>0</formula>
    </cfRule>
  </conditionalFormatting>
  <conditionalFormatting sqref="H10:H1048576">
    <cfRule type="cellIs" dxfId="876" priority="2987" operator="lessThan">
      <formula>0</formula>
    </cfRule>
  </conditionalFormatting>
  <conditionalFormatting sqref="H10:H1048576">
    <cfRule type="cellIs" dxfId="875" priority="2986" operator="lessThan">
      <formula>0</formula>
    </cfRule>
  </conditionalFormatting>
  <conditionalFormatting sqref="H10:H1048576">
    <cfRule type="cellIs" dxfId="874" priority="2985" operator="lessThan">
      <formula>0</formula>
    </cfRule>
  </conditionalFormatting>
  <conditionalFormatting sqref="H10:H1048576">
    <cfRule type="cellIs" dxfId="873" priority="2984" operator="lessThan">
      <formula>0</formula>
    </cfRule>
  </conditionalFormatting>
  <conditionalFormatting sqref="H10:H1048576">
    <cfRule type="cellIs" dxfId="872" priority="2983" operator="lessThan">
      <formula>0</formula>
    </cfRule>
  </conditionalFormatting>
  <conditionalFormatting sqref="H10:H1048576">
    <cfRule type="cellIs" dxfId="871" priority="2982" operator="lessThan">
      <formula>0</formula>
    </cfRule>
  </conditionalFormatting>
  <conditionalFormatting sqref="H10:H1048576">
    <cfRule type="cellIs" dxfId="870" priority="2981" operator="lessThan">
      <formula>0</formula>
    </cfRule>
  </conditionalFormatting>
  <conditionalFormatting sqref="H10:H1048576">
    <cfRule type="cellIs" dxfId="869" priority="2980" operator="lessThan">
      <formula>0</formula>
    </cfRule>
  </conditionalFormatting>
  <conditionalFormatting sqref="H10:H1048576">
    <cfRule type="cellIs" dxfId="868" priority="2979" operator="lessThan">
      <formula>0</formula>
    </cfRule>
  </conditionalFormatting>
  <conditionalFormatting sqref="H10:H1048576">
    <cfRule type="cellIs" dxfId="867" priority="2978" operator="lessThan">
      <formula>0</formula>
    </cfRule>
  </conditionalFormatting>
  <conditionalFormatting sqref="H10:H1048576">
    <cfRule type="cellIs" dxfId="866" priority="2977" operator="lessThan">
      <formula>0</formula>
    </cfRule>
  </conditionalFormatting>
  <conditionalFormatting sqref="H10:H1048576">
    <cfRule type="cellIs" dxfId="865" priority="2976" operator="lessThan">
      <formula>0</formula>
    </cfRule>
  </conditionalFormatting>
  <conditionalFormatting sqref="H10:H1048576">
    <cfRule type="cellIs" dxfId="864" priority="2975" operator="lessThan">
      <formula>0</formula>
    </cfRule>
  </conditionalFormatting>
  <conditionalFormatting sqref="H10:H1048576">
    <cfRule type="cellIs" dxfId="863" priority="2974" operator="lessThan">
      <formula>0</formula>
    </cfRule>
  </conditionalFormatting>
  <conditionalFormatting sqref="H10:H1048576">
    <cfRule type="cellIs" dxfId="862" priority="2973" operator="lessThan">
      <formula>0</formula>
    </cfRule>
  </conditionalFormatting>
  <conditionalFormatting sqref="H10:H1048576">
    <cfRule type="cellIs" dxfId="861" priority="2972" operator="lessThan">
      <formula>0</formula>
    </cfRule>
  </conditionalFormatting>
  <conditionalFormatting sqref="H10:H1048576">
    <cfRule type="cellIs" dxfId="860" priority="2971" operator="lessThan">
      <formula>0</formula>
    </cfRule>
  </conditionalFormatting>
  <conditionalFormatting sqref="H10:H1048576">
    <cfRule type="cellIs" dxfId="859" priority="2970" operator="lessThan">
      <formula>0</formula>
    </cfRule>
  </conditionalFormatting>
  <conditionalFormatting sqref="H10:H1048576">
    <cfRule type="cellIs" dxfId="858" priority="2969" operator="lessThan">
      <formula>0</formula>
    </cfRule>
  </conditionalFormatting>
  <conditionalFormatting sqref="H10:H1048576">
    <cfRule type="cellIs" dxfId="857" priority="2968" operator="lessThan">
      <formula>0</formula>
    </cfRule>
  </conditionalFormatting>
  <conditionalFormatting sqref="H10:H1048576">
    <cfRule type="cellIs" dxfId="856" priority="2967" operator="lessThan">
      <formula>0</formula>
    </cfRule>
  </conditionalFormatting>
  <conditionalFormatting sqref="H10:H1048576">
    <cfRule type="cellIs" dxfId="855" priority="2966" operator="lessThan">
      <formula>0</formula>
    </cfRule>
  </conditionalFormatting>
  <conditionalFormatting sqref="H10:H1048576">
    <cfRule type="cellIs" dxfId="854" priority="2965" operator="lessThan">
      <formula>0</formula>
    </cfRule>
  </conditionalFormatting>
  <conditionalFormatting sqref="H10:H1048576">
    <cfRule type="cellIs" dxfId="853" priority="2964" operator="lessThan">
      <formula>0</formula>
    </cfRule>
  </conditionalFormatting>
  <conditionalFormatting sqref="H10:H1048576">
    <cfRule type="cellIs" dxfId="852" priority="2963" operator="lessThan">
      <formula>0</formula>
    </cfRule>
  </conditionalFormatting>
  <conditionalFormatting sqref="H10:H1048576">
    <cfRule type="cellIs" dxfId="851" priority="2962" operator="lessThan">
      <formula>0</formula>
    </cfRule>
  </conditionalFormatting>
  <conditionalFormatting sqref="H10:H1048576">
    <cfRule type="cellIs" dxfId="850" priority="2961" operator="lessThan">
      <formula>0</formula>
    </cfRule>
  </conditionalFormatting>
  <conditionalFormatting sqref="H10:H1048576">
    <cfRule type="cellIs" dxfId="849" priority="2960" operator="lessThan">
      <formula>0</formula>
    </cfRule>
  </conditionalFormatting>
  <conditionalFormatting sqref="H10:H1048576">
    <cfRule type="cellIs" dxfId="848" priority="2959" operator="lessThan">
      <formula>0</formula>
    </cfRule>
  </conditionalFormatting>
  <conditionalFormatting sqref="H10:H1048576">
    <cfRule type="cellIs" dxfId="847" priority="2958" operator="lessThan">
      <formula>0</formula>
    </cfRule>
  </conditionalFormatting>
  <conditionalFormatting sqref="H10:H1048576">
    <cfRule type="cellIs" dxfId="846" priority="2957" operator="lessThan">
      <formula>0</formula>
    </cfRule>
  </conditionalFormatting>
  <conditionalFormatting sqref="H10:H1048576">
    <cfRule type="cellIs" dxfId="845" priority="2956" operator="lessThan">
      <formula>0</formula>
    </cfRule>
  </conditionalFormatting>
  <conditionalFormatting sqref="H10:H1048576">
    <cfRule type="cellIs" dxfId="844" priority="2955" operator="lessThan">
      <formula>0</formula>
    </cfRule>
  </conditionalFormatting>
  <conditionalFormatting sqref="H10:H1048576">
    <cfRule type="cellIs" dxfId="843" priority="2954" operator="lessThan">
      <formula>0</formula>
    </cfRule>
  </conditionalFormatting>
  <conditionalFormatting sqref="H10:H1048576">
    <cfRule type="cellIs" dxfId="842" priority="2953" operator="lessThan">
      <formula>0</formula>
    </cfRule>
  </conditionalFormatting>
  <conditionalFormatting sqref="H10:H1048576">
    <cfRule type="cellIs" dxfId="841" priority="2952" operator="lessThan">
      <formula>0</formula>
    </cfRule>
  </conditionalFormatting>
  <conditionalFormatting sqref="H10:H1048576">
    <cfRule type="cellIs" dxfId="840" priority="2951" operator="lessThan">
      <formula>0</formula>
    </cfRule>
  </conditionalFormatting>
  <conditionalFormatting sqref="H10:H1048576">
    <cfRule type="cellIs" dxfId="839" priority="2950" operator="lessThan">
      <formula>0</formula>
    </cfRule>
  </conditionalFormatting>
  <conditionalFormatting sqref="H10:H1048576">
    <cfRule type="cellIs" dxfId="838" priority="2949" operator="lessThan">
      <formula>0</formula>
    </cfRule>
  </conditionalFormatting>
  <conditionalFormatting sqref="H10:H1048576">
    <cfRule type="cellIs" dxfId="837" priority="2948" operator="lessThan">
      <formula>0</formula>
    </cfRule>
  </conditionalFormatting>
  <conditionalFormatting sqref="H10:H1048576">
    <cfRule type="cellIs" dxfId="836" priority="2947" operator="lessThan">
      <formula>0</formula>
    </cfRule>
  </conditionalFormatting>
  <conditionalFormatting sqref="H10:H1048576">
    <cfRule type="cellIs" dxfId="835" priority="2946" operator="lessThan">
      <formula>0</formula>
    </cfRule>
  </conditionalFormatting>
  <conditionalFormatting sqref="H10:H1048576">
    <cfRule type="cellIs" dxfId="834" priority="2945" operator="lessThan">
      <formula>0</formula>
    </cfRule>
  </conditionalFormatting>
  <conditionalFormatting sqref="H10:H1048576">
    <cfRule type="cellIs" dxfId="833" priority="2944" operator="lessThan">
      <formula>0</formula>
    </cfRule>
  </conditionalFormatting>
  <conditionalFormatting sqref="H10:H1048576">
    <cfRule type="cellIs" dxfId="832" priority="2943" operator="lessThan">
      <formula>0</formula>
    </cfRule>
  </conditionalFormatting>
  <conditionalFormatting sqref="H10:H1048576">
    <cfRule type="cellIs" dxfId="831" priority="2942" operator="lessThan">
      <formula>0</formula>
    </cfRule>
  </conditionalFormatting>
  <conditionalFormatting sqref="H10:H1048576">
    <cfRule type="cellIs" dxfId="830" priority="2941" operator="lessThan">
      <formula>0</formula>
    </cfRule>
  </conditionalFormatting>
  <conditionalFormatting sqref="H10:H1048576">
    <cfRule type="cellIs" dxfId="829" priority="2940" operator="lessThan">
      <formula>0</formula>
    </cfRule>
  </conditionalFormatting>
  <conditionalFormatting sqref="H10:H1048576">
    <cfRule type="cellIs" dxfId="828" priority="2939" operator="lessThan">
      <formula>0</formula>
    </cfRule>
  </conditionalFormatting>
  <conditionalFormatting sqref="H10:H1048576">
    <cfRule type="cellIs" dxfId="827" priority="2938" operator="lessThan">
      <formula>0</formula>
    </cfRule>
  </conditionalFormatting>
  <conditionalFormatting sqref="H10:H1048576">
    <cfRule type="cellIs" dxfId="826" priority="2937" operator="lessThan">
      <formula>0</formula>
    </cfRule>
  </conditionalFormatting>
  <conditionalFormatting sqref="H10:H1048576">
    <cfRule type="cellIs" dxfId="825" priority="2936" operator="lessThan">
      <formula>0</formula>
    </cfRule>
  </conditionalFormatting>
  <conditionalFormatting sqref="H10:H1048576">
    <cfRule type="cellIs" dxfId="824" priority="2935" operator="lessThan">
      <formula>0</formula>
    </cfRule>
  </conditionalFormatting>
  <conditionalFormatting sqref="H10:H1048576">
    <cfRule type="cellIs" dxfId="823" priority="2934" operator="lessThan">
      <formula>0</formula>
    </cfRule>
  </conditionalFormatting>
  <conditionalFormatting sqref="H10:H1048576">
    <cfRule type="cellIs" dxfId="822" priority="2933" operator="lessThan">
      <formula>0</formula>
    </cfRule>
  </conditionalFormatting>
  <conditionalFormatting sqref="H10:H1048576">
    <cfRule type="cellIs" dxfId="821" priority="2932" operator="lessThan">
      <formula>0</formula>
    </cfRule>
  </conditionalFormatting>
  <conditionalFormatting sqref="H10:H1048576">
    <cfRule type="cellIs" dxfId="820" priority="2931" operator="lessThan">
      <formula>0</formula>
    </cfRule>
  </conditionalFormatting>
  <conditionalFormatting sqref="H10:H1048576">
    <cfRule type="cellIs" dxfId="819" priority="2930" operator="lessThan">
      <formula>0</formula>
    </cfRule>
  </conditionalFormatting>
  <conditionalFormatting sqref="H10:H1048576">
    <cfRule type="cellIs" dxfId="818" priority="2929" operator="lessThan">
      <formula>0</formula>
    </cfRule>
  </conditionalFormatting>
  <conditionalFormatting sqref="H10:H1048576">
    <cfRule type="cellIs" dxfId="817" priority="2928" operator="lessThan">
      <formula>0</formula>
    </cfRule>
  </conditionalFormatting>
  <conditionalFormatting sqref="H10:H1048576">
    <cfRule type="cellIs" dxfId="816" priority="2927" operator="lessThan">
      <formula>0</formula>
    </cfRule>
  </conditionalFormatting>
  <conditionalFormatting sqref="H10:H1048576">
    <cfRule type="cellIs" dxfId="815" priority="2926" operator="lessThan">
      <formula>0</formula>
    </cfRule>
  </conditionalFormatting>
  <conditionalFormatting sqref="H10:H1048576">
    <cfRule type="cellIs" dxfId="814" priority="2925" operator="lessThan">
      <formula>0</formula>
    </cfRule>
  </conditionalFormatting>
  <conditionalFormatting sqref="H10:H1048576">
    <cfRule type="cellIs" dxfId="813" priority="2924" operator="lessThan">
      <formula>0</formula>
    </cfRule>
  </conditionalFormatting>
  <conditionalFormatting sqref="H10:H1048576">
    <cfRule type="cellIs" dxfId="812" priority="2923" operator="lessThan">
      <formula>0</formula>
    </cfRule>
  </conditionalFormatting>
  <conditionalFormatting sqref="H10:H1048576">
    <cfRule type="cellIs" dxfId="811" priority="2922" operator="lessThan">
      <formula>0</formula>
    </cfRule>
  </conditionalFormatting>
  <conditionalFormatting sqref="H10:H1048576">
    <cfRule type="cellIs" dxfId="810" priority="2921" operator="lessThan">
      <formula>0</formula>
    </cfRule>
  </conditionalFormatting>
  <conditionalFormatting sqref="H10:H1048576">
    <cfRule type="cellIs" dxfId="809" priority="2920" operator="lessThan">
      <formula>0</formula>
    </cfRule>
  </conditionalFormatting>
  <conditionalFormatting sqref="H10:H1048576">
    <cfRule type="cellIs" dxfId="808" priority="2919" operator="lessThan">
      <formula>0</formula>
    </cfRule>
  </conditionalFormatting>
  <conditionalFormatting sqref="H10:H1048576">
    <cfRule type="cellIs" dxfId="807" priority="2918" operator="lessThan">
      <formula>0</formula>
    </cfRule>
  </conditionalFormatting>
  <conditionalFormatting sqref="H10:H1048576">
    <cfRule type="cellIs" dxfId="806" priority="2917" operator="lessThan">
      <formula>0</formula>
    </cfRule>
  </conditionalFormatting>
  <conditionalFormatting sqref="H10:H1048576">
    <cfRule type="cellIs" dxfId="805" priority="2916" operator="lessThan">
      <formula>0</formula>
    </cfRule>
  </conditionalFormatting>
  <conditionalFormatting sqref="H10:H1048576">
    <cfRule type="cellIs" dxfId="804" priority="2915" operator="lessThan">
      <formula>0</formula>
    </cfRule>
  </conditionalFormatting>
  <conditionalFormatting sqref="H10:H1048576">
    <cfRule type="cellIs" dxfId="803" priority="2914" operator="lessThan">
      <formula>0</formula>
    </cfRule>
  </conditionalFormatting>
  <conditionalFormatting sqref="H10:H1048576">
    <cfRule type="cellIs" dxfId="802" priority="2913" operator="lessThan">
      <formula>0</formula>
    </cfRule>
  </conditionalFormatting>
  <conditionalFormatting sqref="H10:H1048576">
    <cfRule type="cellIs" dxfId="801" priority="2912" operator="lessThan">
      <formula>0</formula>
    </cfRule>
  </conditionalFormatting>
  <conditionalFormatting sqref="H10:H1048576">
    <cfRule type="cellIs" dxfId="800" priority="2911" operator="lessThan">
      <formula>0</formula>
    </cfRule>
  </conditionalFormatting>
  <conditionalFormatting sqref="H10:H1048576">
    <cfRule type="cellIs" dxfId="799" priority="2910" operator="lessThan">
      <formula>0</formula>
    </cfRule>
  </conditionalFormatting>
  <conditionalFormatting sqref="H10:H1048576">
    <cfRule type="cellIs" dxfId="798" priority="2909" operator="lessThan">
      <formula>0</formula>
    </cfRule>
  </conditionalFormatting>
  <conditionalFormatting sqref="H10:H1048576">
    <cfRule type="cellIs" dxfId="797" priority="2908" operator="lessThan">
      <formula>0</formula>
    </cfRule>
  </conditionalFormatting>
  <conditionalFormatting sqref="H10:H1048576">
    <cfRule type="cellIs" dxfId="796" priority="2907" operator="lessThan">
      <formula>0</formula>
    </cfRule>
  </conditionalFormatting>
  <conditionalFormatting sqref="H10:H1048576">
    <cfRule type="cellIs" dxfId="795" priority="2906" operator="lessThan">
      <formula>0</formula>
    </cfRule>
  </conditionalFormatting>
  <conditionalFormatting sqref="H10:H1048576">
    <cfRule type="cellIs" dxfId="794" priority="2905" operator="lessThan">
      <formula>0</formula>
    </cfRule>
  </conditionalFormatting>
  <conditionalFormatting sqref="H10:H1048576">
    <cfRule type="cellIs" dxfId="793" priority="2904" operator="lessThan">
      <formula>0</formula>
    </cfRule>
  </conditionalFormatting>
  <conditionalFormatting sqref="H10:H1048576">
    <cfRule type="cellIs" dxfId="792" priority="2903" operator="lessThan">
      <formula>0</formula>
    </cfRule>
  </conditionalFormatting>
  <conditionalFormatting sqref="H10:H1048576">
    <cfRule type="cellIs" dxfId="791" priority="2902" operator="lessThan">
      <formula>0</formula>
    </cfRule>
  </conditionalFormatting>
  <conditionalFormatting sqref="H10:H1048576">
    <cfRule type="cellIs" dxfId="790" priority="2901" operator="lessThan">
      <formula>0</formula>
    </cfRule>
  </conditionalFormatting>
  <conditionalFormatting sqref="H10:H1048576">
    <cfRule type="cellIs" dxfId="789" priority="2900" operator="lessThan">
      <formula>0</formula>
    </cfRule>
  </conditionalFormatting>
  <conditionalFormatting sqref="H10:H1048576">
    <cfRule type="cellIs" dxfId="788" priority="2899" operator="lessThan">
      <formula>0</formula>
    </cfRule>
  </conditionalFormatting>
  <conditionalFormatting sqref="H10:H1048576">
    <cfRule type="cellIs" dxfId="787" priority="2898" operator="lessThan">
      <formula>0</formula>
    </cfRule>
  </conditionalFormatting>
  <conditionalFormatting sqref="H10:H1048576">
    <cfRule type="cellIs" dxfId="786" priority="2897" operator="lessThan">
      <formula>0</formula>
    </cfRule>
  </conditionalFormatting>
  <conditionalFormatting sqref="H10:H1048576">
    <cfRule type="cellIs" dxfId="785" priority="2896" operator="lessThan">
      <formula>0</formula>
    </cfRule>
  </conditionalFormatting>
  <conditionalFormatting sqref="H10:H1048576">
    <cfRule type="cellIs" dxfId="784" priority="2895" operator="lessThan">
      <formula>0</formula>
    </cfRule>
  </conditionalFormatting>
  <conditionalFormatting sqref="H10:H1048576">
    <cfRule type="cellIs" dxfId="783" priority="2894" operator="lessThan">
      <formula>0</formula>
    </cfRule>
  </conditionalFormatting>
  <conditionalFormatting sqref="H10:H1048576">
    <cfRule type="cellIs" dxfId="782" priority="2893" operator="lessThan">
      <formula>0</formula>
    </cfRule>
  </conditionalFormatting>
  <conditionalFormatting sqref="H10:H1048576">
    <cfRule type="cellIs" dxfId="781" priority="2892" operator="lessThan">
      <formula>0</formula>
    </cfRule>
  </conditionalFormatting>
  <conditionalFormatting sqref="H10:H1048576">
    <cfRule type="cellIs" dxfId="780" priority="2891" operator="lessThan">
      <formula>0</formula>
    </cfRule>
  </conditionalFormatting>
  <conditionalFormatting sqref="H10:H1048576">
    <cfRule type="cellIs" dxfId="779" priority="2890" operator="lessThan">
      <formula>0</formula>
    </cfRule>
  </conditionalFormatting>
  <conditionalFormatting sqref="H10:H1048576">
    <cfRule type="cellIs" dxfId="778" priority="2889" operator="lessThan">
      <formula>0</formula>
    </cfRule>
  </conditionalFormatting>
  <conditionalFormatting sqref="H10:H1048576">
    <cfRule type="cellIs" dxfId="777" priority="2888" operator="lessThan">
      <formula>0</formula>
    </cfRule>
  </conditionalFormatting>
  <conditionalFormatting sqref="H10:H1048576">
    <cfRule type="cellIs" dxfId="776" priority="2887" operator="lessThan">
      <formula>0</formula>
    </cfRule>
  </conditionalFormatting>
  <conditionalFormatting sqref="H10:H1048576">
    <cfRule type="cellIs" dxfId="775" priority="2886" operator="lessThan">
      <formula>0</formula>
    </cfRule>
  </conditionalFormatting>
  <conditionalFormatting sqref="H10:H1048576">
    <cfRule type="cellIs" dxfId="774" priority="2885" operator="lessThan">
      <formula>0</formula>
    </cfRule>
  </conditionalFormatting>
  <conditionalFormatting sqref="H10:H1048576">
    <cfRule type="cellIs" dxfId="773" priority="2884" operator="lessThan">
      <formula>0</formula>
    </cfRule>
  </conditionalFormatting>
  <conditionalFormatting sqref="H10:H1048576">
    <cfRule type="cellIs" dxfId="772" priority="2883" operator="lessThan">
      <formula>0</formula>
    </cfRule>
  </conditionalFormatting>
  <conditionalFormatting sqref="H10:H1048576">
    <cfRule type="cellIs" dxfId="771" priority="2882" operator="lessThan">
      <formula>0</formula>
    </cfRule>
  </conditionalFormatting>
  <conditionalFormatting sqref="H10:H1048576">
    <cfRule type="cellIs" dxfId="770" priority="2881" operator="lessThan">
      <formula>0</formula>
    </cfRule>
  </conditionalFormatting>
  <conditionalFormatting sqref="H10:H1048576">
    <cfRule type="cellIs" dxfId="769" priority="2880" operator="lessThan">
      <formula>0</formula>
    </cfRule>
  </conditionalFormatting>
  <conditionalFormatting sqref="H10:H1048576">
    <cfRule type="cellIs" dxfId="768" priority="2879" operator="lessThan">
      <formula>0</formula>
    </cfRule>
  </conditionalFormatting>
  <conditionalFormatting sqref="H10:H1048576">
    <cfRule type="cellIs" dxfId="767" priority="2878" operator="lessThan">
      <formula>0</formula>
    </cfRule>
  </conditionalFormatting>
  <conditionalFormatting sqref="H10:H1048576">
    <cfRule type="cellIs" dxfId="766" priority="2877" operator="lessThan">
      <formula>0</formula>
    </cfRule>
  </conditionalFormatting>
  <conditionalFormatting sqref="H10:H1048576">
    <cfRule type="cellIs" dxfId="765" priority="2876" operator="lessThan">
      <formula>0</formula>
    </cfRule>
  </conditionalFormatting>
  <conditionalFormatting sqref="H10:H1048576">
    <cfRule type="cellIs" dxfId="764" priority="2875" operator="lessThan">
      <formula>0</formula>
    </cfRule>
  </conditionalFormatting>
  <conditionalFormatting sqref="H10:H1048576">
    <cfRule type="cellIs" dxfId="763" priority="2874" operator="lessThan">
      <formula>0</formula>
    </cfRule>
  </conditionalFormatting>
  <conditionalFormatting sqref="H10:H1048576">
    <cfRule type="cellIs" dxfId="762" priority="2873" operator="lessThan">
      <formula>0</formula>
    </cfRule>
  </conditionalFormatting>
  <conditionalFormatting sqref="H10:H1048576">
    <cfRule type="cellIs" dxfId="761" priority="2872" operator="lessThan">
      <formula>0</formula>
    </cfRule>
  </conditionalFormatting>
  <conditionalFormatting sqref="H10:H1048576">
    <cfRule type="cellIs" dxfId="760" priority="2871" operator="lessThan">
      <formula>0</formula>
    </cfRule>
  </conditionalFormatting>
  <conditionalFormatting sqref="H10:H1048576">
    <cfRule type="cellIs" dxfId="759" priority="2870" operator="lessThan">
      <formula>0</formula>
    </cfRule>
  </conditionalFormatting>
  <conditionalFormatting sqref="H10:H1048576">
    <cfRule type="cellIs" dxfId="758" priority="2869" operator="lessThan">
      <formula>0</formula>
    </cfRule>
  </conditionalFormatting>
  <conditionalFormatting sqref="H10:H1048576">
    <cfRule type="cellIs" dxfId="757" priority="2868" operator="lessThan">
      <formula>0</formula>
    </cfRule>
  </conditionalFormatting>
  <conditionalFormatting sqref="H10:H1048576">
    <cfRule type="cellIs" dxfId="756" priority="2867" operator="lessThan">
      <formula>0</formula>
    </cfRule>
  </conditionalFormatting>
  <conditionalFormatting sqref="H10:H1048576">
    <cfRule type="cellIs" dxfId="755" priority="2866" operator="lessThan">
      <formula>0</formula>
    </cfRule>
  </conditionalFormatting>
  <conditionalFormatting sqref="H10:H1048576">
    <cfRule type="cellIs" dxfId="754" priority="2865" operator="lessThan">
      <formula>0</formula>
    </cfRule>
  </conditionalFormatting>
  <conditionalFormatting sqref="H10:H1048576">
    <cfRule type="cellIs" dxfId="753" priority="2864" operator="lessThan">
      <formula>0</formula>
    </cfRule>
  </conditionalFormatting>
  <conditionalFormatting sqref="H10:H1048576">
    <cfRule type="cellIs" dxfId="752" priority="2863" operator="lessThan">
      <formula>0</formula>
    </cfRule>
  </conditionalFormatting>
  <conditionalFormatting sqref="H10:H1048576">
    <cfRule type="cellIs" dxfId="751" priority="2862" operator="lessThan">
      <formula>0</formula>
    </cfRule>
  </conditionalFormatting>
  <conditionalFormatting sqref="H10:H1048576">
    <cfRule type="cellIs" dxfId="750" priority="2861" operator="lessThan">
      <formula>0</formula>
    </cfRule>
  </conditionalFormatting>
  <conditionalFormatting sqref="H10:H1048576">
    <cfRule type="cellIs" dxfId="749" priority="2860" operator="lessThan">
      <formula>0</formula>
    </cfRule>
  </conditionalFormatting>
  <conditionalFormatting sqref="H10:H1048576">
    <cfRule type="cellIs" dxfId="748" priority="2859" operator="lessThan">
      <formula>0</formula>
    </cfRule>
  </conditionalFormatting>
  <conditionalFormatting sqref="H10:H1048576">
    <cfRule type="cellIs" dxfId="747" priority="2858" operator="lessThan">
      <formula>0</formula>
    </cfRule>
  </conditionalFormatting>
  <conditionalFormatting sqref="H10:H1048576">
    <cfRule type="cellIs" dxfId="746" priority="2857" operator="lessThan">
      <formula>0</formula>
    </cfRule>
  </conditionalFormatting>
  <conditionalFormatting sqref="H10:H1048576">
    <cfRule type="cellIs" dxfId="745" priority="2856" operator="lessThan">
      <formula>0</formula>
    </cfRule>
  </conditionalFormatting>
  <conditionalFormatting sqref="H10:H1048576">
    <cfRule type="cellIs" dxfId="744" priority="2855" operator="lessThan">
      <formula>0</formula>
    </cfRule>
  </conditionalFormatting>
  <conditionalFormatting sqref="H10:H1048576">
    <cfRule type="cellIs" dxfId="743" priority="2854" operator="lessThan">
      <formula>0</formula>
    </cfRule>
  </conditionalFormatting>
  <conditionalFormatting sqref="H10:H1048576">
    <cfRule type="cellIs" dxfId="742" priority="2853" operator="lessThan">
      <formula>0</formula>
    </cfRule>
  </conditionalFormatting>
  <conditionalFormatting sqref="H10:H1048576">
    <cfRule type="cellIs" dxfId="741" priority="2852" operator="lessThan">
      <formula>0</formula>
    </cfRule>
  </conditionalFormatting>
  <conditionalFormatting sqref="H10:H1048576">
    <cfRule type="cellIs" dxfId="740" priority="2851" operator="lessThan">
      <formula>0</formula>
    </cfRule>
  </conditionalFormatting>
  <conditionalFormatting sqref="H10:H1048576">
    <cfRule type="cellIs" dxfId="739" priority="2850" operator="lessThan">
      <formula>0</formula>
    </cfRule>
  </conditionalFormatting>
  <conditionalFormatting sqref="H10:H1048576">
    <cfRule type="cellIs" dxfId="738" priority="2849" operator="lessThan">
      <formula>0</formula>
    </cfRule>
  </conditionalFormatting>
  <conditionalFormatting sqref="H10:H1048576">
    <cfRule type="cellIs" dxfId="737" priority="2848" operator="lessThan">
      <formula>0</formula>
    </cfRule>
  </conditionalFormatting>
  <conditionalFormatting sqref="H10:H1048576">
    <cfRule type="cellIs" dxfId="736" priority="2847" operator="lessThan">
      <formula>0</formula>
    </cfRule>
  </conditionalFormatting>
  <conditionalFormatting sqref="H10:H1048576">
    <cfRule type="cellIs" dxfId="735" priority="2846" operator="lessThan">
      <formula>0</formula>
    </cfRule>
  </conditionalFormatting>
  <conditionalFormatting sqref="H10:H1048576">
    <cfRule type="cellIs" dxfId="734" priority="2845" operator="lessThan">
      <formula>0</formula>
    </cfRule>
  </conditionalFormatting>
  <conditionalFormatting sqref="H10:H1048576">
    <cfRule type="cellIs" dxfId="733" priority="2844" operator="lessThan">
      <formula>0</formula>
    </cfRule>
  </conditionalFormatting>
  <conditionalFormatting sqref="H10:H1048576">
    <cfRule type="cellIs" dxfId="732" priority="2843" operator="lessThan">
      <formula>0</formula>
    </cfRule>
  </conditionalFormatting>
  <conditionalFormatting sqref="H10:H1048576">
    <cfRule type="cellIs" dxfId="731" priority="2842" operator="lessThan">
      <formula>0</formula>
    </cfRule>
  </conditionalFormatting>
  <conditionalFormatting sqref="H10:H1048576">
    <cfRule type="cellIs" dxfId="730" priority="2841" operator="lessThan">
      <formula>0</formula>
    </cfRule>
  </conditionalFormatting>
  <conditionalFormatting sqref="H10:H1048576">
    <cfRule type="cellIs" dxfId="729" priority="2840" operator="lessThan">
      <formula>0</formula>
    </cfRule>
  </conditionalFormatting>
  <conditionalFormatting sqref="H10:H1048576">
    <cfRule type="cellIs" dxfId="728" priority="2839" operator="lessThan">
      <formula>0</formula>
    </cfRule>
  </conditionalFormatting>
  <conditionalFormatting sqref="H10:H1048576">
    <cfRule type="cellIs" dxfId="727" priority="2838" operator="lessThan">
      <formula>0</formula>
    </cfRule>
  </conditionalFormatting>
  <conditionalFormatting sqref="H10:H1048576">
    <cfRule type="cellIs" dxfId="726" priority="2837" operator="lessThan">
      <formula>0</formula>
    </cfRule>
  </conditionalFormatting>
  <conditionalFormatting sqref="H10:H1048576">
    <cfRule type="cellIs" dxfId="725" priority="2836" operator="lessThan">
      <formula>0</formula>
    </cfRule>
  </conditionalFormatting>
  <conditionalFormatting sqref="H10:H1048576">
    <cfRule type="cellIs" dxfId="724" priority="2835" operator="lessThan">
      <formula>0</formula>
    </cfRule>
  </conditionalFormatting>
  <conditionalFormatting sqref="H10:H1048576">
    <cfRule type="cellIs" dxfId="723" priority="2834" operator="lessThan">
      <formula>0</formula>
    </cfRule>
  </conditionalFormatting>
  <conditionalFormatting sqref="H10:H1048576">
    <cfRule type="cellIs" dxfId="722" priority="2833" operator="lessThan">
      <formula>0</formula>
    </cfRule>
  </conditionalFormatting>
  <conditionalFormatting sqref="H10:H1048576">
    <cfRule type="cellIs" dxfId="721" priority="2832" operator="lessThan">
      <formula>0</formula>
    </cfRule>
  </conditionalFormatting>
  <conditionalFormatting sqref="H10:H1048576">
    <cfRule type="cellIs" dxfId="720" priority="2831" operator="lessThan">
      <formula>0</formula>
    </cfRule>
  </conditionalFormatting>
  <conditionalFormatting sqref="H10:H1048576">
    <cfRule type="cellIs" dxfId="719" priority="2830" operator="lessThan">
      <formula>0</formula>
    </cfRule>
  </conditionalFormatting>
  <conditionalFormatting sqref="H10:H1048576">
    <cfRule type="cellIs" dxfId="718" priority="2829" operator="lessThan">
      <formula>0</formula>
    </cfRule>
  </conditionalFormatting>
  <conditionalFormatting sqref="H10:H1048576">
    <cfRule type="cellIs" dxfId="717" priority="2828" operator="lessThan">
      <formula>0</formula>
    </cfRule>
  </conditionalFormatting>
  <conditionalFormatting sqref="H10:H1048576">
    <cfRule type="cellIs" dxfId="716" priority="2827" operator="lessThan">
      <formula>0</formula>
    </cfRule>
  </conditionalFormatting>
  <conditionalFormatting sqref="H10:H1048576">
    <cfRule type="cellIs" dxfId="715" priority="2826" operator="lessThan">
      <formula>0</formula>
    </cfRule>
  </conditionalFormatting>
  <conditionalFormatting sqref="H10:H1048576">
    <cfRule type="cellIs" dxfId="714" priority="2825" operator="lessThan">
      <formula>0</formula>
    </cfRule>
  </conditionalFormatting>
  <conditionalFormatting sqref="H10:H1048576">
    <cfRule type="cellIs" dxfId="713" priority="2824" operator="lessThan">
      <formula>0</formula>
    </cfRule>
  </conditionalFormatting>
  <conditionalFormatting sqref="H10:H1048576">
    <cfRule type="cellIs" dxfId="712" priority="2823" operator="lessThan">
      <formula>0</formula>
    </cfRule>
  </conditionalFormatting>
  <conditionalFormatting sqref="H10:H1048576">
    <cfRule type="cellIs" dxfId="711" priority="2822" operator="lessThan">
      <formula>0</formula>
    </cfRule>
  </conditionalFormatting>
  <conditionalFormatting sqref="H10:H1048576">
    <cfRule type="cellIs" dxfId="710" priority="2821" operator="lessThan">
      <formula>0</formula>
    </cfRule>
  </conditionalFormatting>
  <conditionalFormatting sqref="H10:H1048576">
    <cfRule type="cellIs" dxfId="709" priority="2820" operator="lessThan">
      <formula>0</formula>
    </cfRule>
  </conditionalFormatting>
  <conditionalFormatting sqref="H10:H1048576">
    <cfRule type="cellIs" dxfId="708" priority="2819" operator="lessThan">
      <formula>0</formula>
    </cfRule>
  </conditionalFormatting>
  <conditionalFormatting sqref="H10:H1048576">
    <cfRule type="cellIs" dxfId="707" priority="2818" operator="lessThan">
      <formula>0</formula>
    </cfRule>
  </conditionalFormatting>
  <conditionalFormatting sqref="H10:H1048576">
    <cfRule type="cellIs" dxfId="706" priority="2817" operator="lessThan">
      <formula>0</formula>
    </cfRule>
  </conditionalFormatting>
  <conditionalFormatting sqref="H10:H1048576">
    <cfRule type="cellIs" dxfId="705" priority="2816" operator="lessThan">
      <formula>0</formula>
    </cfRule>
  </conditionalFormatting>
  <conditionalFormatting sqref="H10:H1048576">
    <cfRule type="cellIs" dxfId="704" priority="2815" operator="lessThan">
      <formula>0</formula>
    </cfRule>
  </conditionalFormatting>
  <conditionalFormatting sqref="H10:H1048576">
    <cfRule type="cellIs" dxfId="703" priority="2814" operator="lessThan">
      <formula>0</formula>
    </cfRule>
  </conditionalFormatting>
  <conditionalFormatting sqref="H10:H1048576">
    <cfRule type="cellIs" dxfId="702" priority="2813" operator="lessThan">
      <formula>0</formula>
    </cfRule>
  </conditionalFormatting>
  <conditionalFormatting sqref="H10:H1048576">
    <cfRule type="cellIs" dxfId="701" priority="2812" operator="lessThan">
      <formula>0</formula>
    </cfRule>
  </conditionalFormatting>
  <conditionalFormatting sqref="H10:H1048576">
    <cfRule type="cellIs" dxfId="700" priority="2811" operator="lessThan">
      <formula>0</formula>
    </cfRule>
  </conditionalFormatting>
  <conditionalFormatting sqref="H10:H1048576">
    <cfRule type="cellIs" dxfId="699" priority="2810" operator="lessThan">
      <formula>0</formula>
    </cfRule>
  </conditionalFormatting>
  <conditionalFormatting sqref="H10:H1048576">
    <cfRule type="cellIs" dxfId="698" priority="2809" operator="lessThan">
      <formula>0</formula>
    </cfRule>
  </conditionalFormatting>
  <conditionalFormatting sqref="H10:H1048576">
    <cfRule type="cellIs" dxfId="697" priority="2808" operator="lessThan">
      <formula>0</formula>
    </cfRule>
  </conditionalFormatting>
  <conditionalFormatting sqref="H10:H1048576">
    <cfRule type="cellIs" dxfId="696" priority="2807" operator="lessThan">
      <formula>0</formula>
    </cfRule>
  </conditionalFormatting>
  <conditionalFormatting sqref="H10:H1048576">
    <cfRule type="cellIs" dxfId="695" priority="2806" operator="lessThan">
      <formula>0</formula>
    </cfRule>
  </conditionalFormatting>
  <conditionalFormatting sqref="H10:H1048576">
    <cfRule type="cellIs" dxfId="694" priority="2805" operator="lessThan">
      <formula>0</formula>
    </cfRule>
  </conditionalFormatting>
  <conditionalFormatting sqref="H10:H1048576">
    <cfRule type="cellIs" dxfId="693" priority="2804" operator="lessThan">
      <formula>0</formula>
    </cfRule>
  </conditionalFormatting>
  <conditionalFormatting sqref="H10:H1048576">
    <cfRule type="cellIs" dxfId="692" priority="2803" operator="lessThan">
      <formula>0</formula>
    </cfRule>
  </conditionalFormatting>
  <conditionalFormatting sqref="H10:H1048576">
    <cfRule type="cellIs" dxfId="691" priority="2802" operator="lessThan">
      <formula>0</formula>
    </cfRule>
  </conditionalFormatting>
  <conditionalFormatting sqref="H10:H1048576">
    <cfRule type="cellIs" dxfId="690" priority="2801" operator="lessThan">
      <formula>0</formula>
    </cfRule>
  </conditionalFormatting>
  <conditionalFormatting sqref="H10:H1048576">
    <cfRule type="cellIs" dxfId="689" priority="2800" operator="lessThan">
      <formula>0</formula>
    </cfRule>
  </conditionalFormatting>
  <conditionalFormatting sqref="H10:H1048576">
    <cfRule type="cellIs" dxfId="688" priority="2799" operator="lessThan">
      <formula>0</formula>
    </cfRule>
  </conditionalFormatting>
  <conditionalFormatting sqref="H10:H1048576">
    <cfRule type="cellIs" dxfId="687" priority="2798" operator="lessThan">
      <formula>0</formula>
    </cfRule>
  </conditionalFormatting>
  <conditionalFormatting sqref="H10:H1048576">
    <cfRule type="cellIs" dxfId="686" priority="2797" operator="lessThan">
      <formula>0</formula>
    </cfRule>
  </conditionalFormatting>
  <conditionalFormatting sqref="H10:H1048576">
    <cfRule type="cellIs" dxfId="685" priority="2796" operator="lessThan">
      <formula>0</formula>
    </cfRule>
  </conditionalFormatting>
  <conditionalFormatting sqref="H10:H1048576">
    <cfRule type="cellIs" dxfId="684" priority="2795" operator="lessThan">
      <formula>0</formula>
    </cfRule>
  </conditionalFormatting>
  <conditionalFormatting sqref="H10:H1048576">
    <cfRule type="cellIs" dxfId="683" priority="2794" operator="lessThan">
      <formula>0</formula>
    </cfRule>
  </conditionalFormatting>
  <conditionalFormatting sqref="H10:H1048576">
    <cfRule type="cellIs" dxfId="682" priority="2793" operator="lessThan">
      <formula>0</formula>
    </cfRule>
  </conditionalFormatting>
  <conditionalFormatting sqref="H10:H1048576">
    <cfRule type="cellIs" dxfId="681" priority="2792" operator="lessThan">
      <formula>0</formula>
    </cfRule>
  </conditionalFormatting>
  <conditionalFormatting sqref="H10:H1048576">
    <cfRule type="cellIs" dxfId="680" priority="2791" operator="lessThan">
      <formula>0</formula>
    </cfRule>
  </conditionalFormatting>
  <conditionalFormatting sqref="H10:H1048576">
    <cfRule type="cellIs" dxfId="679" priority="2790" operator="lessThan">
      <formula>0</formula>
    </cfRule>
  </conditionalFormatting>
  <conditionalFormatting sqref="H10:H1048576">
    <cfRule type="cellIs" dxfId="678" priority="2789" operator="lessThan">
      <formula>0</formula>
    </cfRule>
  </conditionalFormatting>
  <conditionalFormatting sqref="H10:H1048576">
    <cfRule type="cellIs" dxfId="677" priority="2788" operator="lessThan">
      <formula>0</formula>
    </cfRule>
  </conditionalFormatting>
  <conditionalFormatting sqref="H10:H1048576">
    <cfRule type="cellIs" dxfId="676" priority="2787" operator="lessThan">
      <formula>0</formula>
    </cfRule>
  </conditionalFormatting>
  <conditionalFormatting sqref="H10:H1048576">
    <cfRule type="cellIs" dxfId="675" priority="2786" operator="lessThan">
      <formula>0</formula>
    </cfRule>
  </conditionalFormatting>
  <conditionalFormatting sqref="H10:H1048576">
    <cfRule type="cellIs" dxfId="674" priority="2785" operator="lessThan">
      <formula>0</formula>
    </cfRule>
  </conditionalFormatting>
  <conditionalFormatting sqref="H10:H1048576">
    <cfRule type="cellIs" dxfId="673" priority="2784" operator="lessThan">
      <formula>0</formula>
    </cfRule>
  </conditionalFormatting>
  <conditionalFormatting sqref="H10:H1048576">
    <cfRule type="cellIs" dxfId="672" priority="2783" operator="lessThan">
      <formula>0</formula>
    </cfRule>
  </conditionalFormatting>
  <conditionalFormatting sqref="H10:H1048576">
    <cfRule type="cellIs" dxfId="671" priority="2782" operator="lessThan">
      <formula>0</formula>
    </cfRule>
  </conditionalFormatting>
  <conditionalFormatting sqref="H10:H1048576">
    <cfRule type="cellIs" dxfId="670" priority="2781" operator="lessThan">
      <formula>0</formula>
    </cfRule>
  </conditionalFormatting>
  <conditionalFormatting sqref="H10:H1048576">
    <cfRule type="cellIs" dxfId="669" priority="2780" operator="lessThan">
      <formula>0</formula>
    </cfRule>
  </conditionalFormatting>
  <conditionalFormatting sqref="H10:H1048576">
    <cfRule type="cellIs" dxfId="668" priority="2779" operator="lessThan">
      <formula>0</formula>
    </cfRule>
  </conditionalFormatting>
  <conditionalFormatting sqref="H10:H1048576">
    <cfRule type="cellIs" dxfId="667" priority="2778" operator="lessThan">
      <formula>0</formula>
    </cfRule>
  </conditionalFormatting>
  <conditionalFormatting sqref="H10:H1048576">
    <cfRule type="cellIs" dxfId="666" priority="2777" operator="lessThan">
      <formula>0</formula>
    </cfRule>
  </conditionalFormatting>
  <conditionalFormatting sqref="H10:H1048576">
    <cfRule type="cellIs" dxfId="665" priority="2776" operator="lessThan">
      <formula>0</formula>
    </cfRule>
  </conditionalFormatting>
  <conditionalFormatting sqref="H10:H1048576">
    <cfRule type="cellIs" dxfId="664" priority="2775" operator="lessThan">
      <formula>0</formula>
    </cfRule>
  </conditionalFormatting>
  <conditionalFormatting sqref="H10:H1048576">
    <cfRule type="cellIs" dxfId="663" priority="2774" operator="lessThan">
      <formula>0</formula>
    </cfRule>
  </conditionalFormatting>
  <conditionalFormatting sqref="H10:H1048576">
    <cfRule type="cellIs" dxfId="662" priority="2773" operator="lessThan">
      <formula>0</formula>
    </cfRule>
  </conditionalFormatting>
  <conditionalFormatting sqref="H10:H1048576">
    <cfRule type="cellIs" dxfId="661" priority="2772" operator="lessThan">
      <formula>0</formula>
    </cfRule>
  </conditionalFormatting>
  <conditionalFormatting sqref="H10:H1048576">
    <cfRule type="cellIs" dxfId="660" priority="2771" operator="lessThan">
      <formula>0</formula>
    </cfRule>
  </conditionalFormatting>
  <conditionalFormatting sqref="H10:H1048576">
    <cfRule type="cellIs" dxfId="659" priority="2770" operator="lessThan">
      <formula>0</formula>
    </cfRule>
  </conditionalFormatting>
  <conditionalFormatting sqref="H10:H1048576">
    <cfRule type="cellIs" dxfId="658" priority="2769" operator="lessThan">
      <formula>0</formula>
    </cfRule>
  </conditionalFormatting>
  <conditionalFormatting sqref="H10:H1048576">
    <cfRule type="cellIs" dxfId="657" priority="2768" operator="lessThan">
      <formula>0</formula>
    </cfRule>
  </conditionalFormatting>
  <conditionalFormatting sqref="H10:H1048576">
    <cfRule type="cellIs" dxfId="656" priority="2767" operator="lessThan">
      <formula>0</formula>
    </cfRule>
  </conditionalFormatting>
  <conditionalFormatting sqref="H10:H1048576">
    <cfRule type="cellIs" dxfId="655" priority="2766" operator="lessThan">
      <formula>0</formula>
    </cfRule>
  </conditionalFormatting>
  <conditionalFormatting sqref="H10:H1048576">
    <cfRule type="cellIs" dxfId="654" priority="2765" operator="lessThan">
      <formula>0</formula>
    </cfRule>
  </conditionalFormatting>
  <conditionalFormatting sqref="H10:H1048576">
    <cfRule type="cellIs" dxfId="653" priority="2764" operator="lessThan">
      <formula>0</formula>
    </cfRule>
  </conditionalFormatting>
  <conditionalFormatting sqref="H10:H1048576">
    <cfRule type="cellIs" dxfId="652" priority="2763" operator="lessThan">
      <formula>0</formula>
    </cfRule>
  </conditionalFormatting>
  <conditionalFormatting sqref="H10:H1048576">
    <cfRule type="cellIs" dxfId="651" priority="2762" operator="lessThan">
      <formula>0</formula>
    </cfRule>
  </conditionalFormatting>
  <conditionalFormatting sqref="H10:H1048576">
    <cfRule type="cellIs" dxfId="650" priority="2761" operator="lessThan">
      <formula>0</formula>
    </cfRule>
  </conditionalFormatting>
  <conditionalFormatting sqref="H10:H1048576">
    <cfRule type="cellIs" dxfId="649" priority="2760" operator="lessThan">
      <formula>0</formula>
    </cfRule>
  </conditionalFormatting>
  <conditionalFormatting sqref="H10:H1048576">
    <cfRule type="cellIs" dxfId="648" priority="2759" operator="lessThan">
      <formula>0</formula>
    </cfRule>
  </conditionalFormatting>
  <conditionalFormatting sqref="H10:H1048576">
    <cfRule type="cellIs" dxfId="647" priority="2758" operator="lessThan">
      <formula>0</formula>
    </cfRule>
  </conditionalFormatting>
  <conditionalFormatting sqref="H10:H1048576">
    <cfRule type="cellIs" dxfId="646" priority="2757" operator="lessThan">
      <formula>0</formula>
    </cfRule>
  </conditionalFormatting>
  <conditionalFormatting sqref="H10:H1048576">
    <cfRule type="cellIs" dxfId="645" priority="2756" operator="lessThan">
      <formula>0</formula>
    </cfRule>
  </conditionalFormatting>
  <conditionalFormatting sqref="H10:H1048576">
    <cfRule type="cellIs" dxfId="644" priority="2755" operator="lessThan">
      <formula>0</formula>
    </cfRule>
  </conditionalFormatting>
  <conditionalFormatting sqref="H10:H1048576">
    <cfRule type="cellIs" dxfId="643" priority="2754" operator="lessThan">
      <formula>0</formula>
    </cfRule>
  </conditionalFormatting>
  <conditionalFormatting sqref="H10:H1048576">
    <cfRule type="cellIs" dxfId="642" priority="2753" operator="lessThan">
      <formula>0</formula>
    </cfRule>
  </conditionalFormatting>
  <conditionalFormatting sqref="H10:H1048576">
    <cfRule type="cellIs" dxfId="641" priority="2752" operator="lessThan">
      <formula>0</formula>
    </cfRule>
  </conditionalFormatting>
  <conditionalFormatting sqref="H10:H1048576">
    <cfRule type="cellIs" dxfId="640" priority="2751" operator="lessThan">
      <formula>0</formula>
    </cfRule>
  </conditionalFormatting>
  <conditionalFormatting sqref="H10:H1048576">
    <cfRule type="cellIs" dxfId="639" priority="2750" operator="lessThan">
      <formula>0</formula>
    </cfRule>
  </conditionalFormatting>
  <conditionalFormatting sqref="H10:H1048576">
    <cfRule type="cellIs" dxfId="638" priority="2749" operator="lessThan">
      <formula>0</formula>
    </cfRule>
  </conditionalFormatting>
  <conditionalFormatting sqref="H10:H1048576">
    <cfRule type="cellIs" dxfId="637" priority="2748" operator="lessThan">
      <formula>0</formula>
    </cfRule>
  </conditionalFormatting>
  <conditionalFormatting sqref="H10:H1048576">
    <cfRule type="cellIs" dxfId="636" priority="2747" operator="lessThan">
      <formula>0</formula>
    </cfRule>
  </conditionalFormatting>
  <conditionalFormatting sqref="H10:H1048576">
    <cfRule type="cellIs" dxfId="635" priority="2746" operator="lessThan">
      <formula>0</formula>
    </cfRule>
  </conditionalFormatting>
  <conditionalFormatting sqref="H10:H1048576">
    <cfRule type="cellIs" dxfId="634" priority="2745" operator="lessThan">
      <formula>0</formula>
    </cfRule>
  </conditionalFormatting>
  <conditionalFormatting sqref="H10:H1048576">
    <cfRule type="cellIs" dxfId="633" priority="2744" operator="lessThan">
      <formula>0</formula>
    </cfRule>
  </conditionalFormatting>
  <conditionalFormatting sqref="H10:H1048576">
    <cfRule type="cellIs" dxfId="632" priority="2743" operator="lessThan">
      <formula>0</formula>
    </cfRule>
  </conditionalFormatting>
  <conditionalFormatting sqref="H10:H1048576">
    <cfRule type="cellIs" dxfId="631" priority="2742" operator="lessThan">
      <formula>0</formula>
    </cfRule>
  </conditionalFormatting>
  <conditionalFormatting sqref="H10:H1048576">
    <cfRule type="cellIs" dxfId="630" priority="2741" operator="lessThan">
      <formula>0</formula>
    </cfRule>
  </conditionalFormatting>
  <conditionalFormatting sqref="H10:H1048576">
    <cfRule type="cellIs" dxfId="629" priority="2740" operator="lessThan">
      <formula>0</formula>
    </cfRule>
  </conditionalFormatting>
  <conditionalFormatting sqref="H10:H1048576">
    <cfRule type="cellIs" dxfId="628" priority="2739" operator="lessThan">
      <formula>0</formula>
    </cfRule>
  </conditionalFormatting>
  <conditionalFormatting sqref="H10:H1048576">
    <cfRule type="cellIs" dxfId="627" priority="2738" operator="lessThan">
      <formula>0</formula>
    </cfRule>
  </conditionalFormatting>
  <conditionalFormatting sqref="H10:H1048576">
    <cfRule type="cellIs" dxfId="626" priority="2737" operator="lessThan">
      <formula>0</formula>
    </cfRule>
  </conditionalFormatting>
  <conditionalFormatting sqref="H10:H1048576">
    <cfRule type="cellIs" dxfId="625" priority="2736" operator="lessThan">
      <formula>0</formula>
    </cfRule>
  </conditionalFormatting>
  <conditionalFormatting sqref="H10:H1048576">
    <cfRule type="cellIs" dxfId="624" priority="2735" operator="lessThan">
      <formula>0</formula>
    </cfRule>
  </conditionalFormatting>
  <conditionalFormatting sqref="H10:H1048576">
    <cfRule type="cellIs" dxfId="623" priority="2734" operator="lessThan">
      <formula>0</formula>
    </cfRule>
  </conditionalFormatting>
  <conditionalFormatting sqref="H10:H1048576">
    <cfRule type="cellIs" dxfId="622" priority="2733" operator="lessThan">
      <formula>0</formula>
    </cfRule>
  </conditionalFormatting>
  <conditionalFormatting sqref="H10:H1048576">
    <cfRule type="cellIs" dxfId="621" priority="2732" operator="lessThan">
      <formula>0</formula>
    </cfRule>
  </conditionalFormatting>
  <conditionalFormatting sqref="H10:H1048576">
    <cfRule type="cellIs" dxfId="620" priority="2731" operator="lessThan">
      <formula>0</formula>
    </cfRule>
  </conditionalFormatting>
  <conditionalFormatting sqref="H10:H1048576">
    <cfRule type="cellIs" dxfId="619" priority="2730" operator="lessThan">
      <formula>0</formula>
    </cfRule>
  </conditionalFormatting>
  <conditionalFormatting sqref="H10:H1048576">
    <cfRule type="cellIs" dxfId="618" priority="2729" operator="lessThan">
      <formula>0</formula>
    </cfRule>
  </conditionalFormatting>
  <conditionalFormatting sqref="H10:H1048576">
    <cfRule type="cellIs" dxfId="617" priority="2728" operator="lessThan">
      <formula>0</formula>
    </cfRule>
  </conditionalFormatting>
  <conditionalFormatting sqref="H10:H1048576">
    <cfRule type="cellIs" dxfId="616" priority="2727" operator="lessThan">
      <formula>0</formula>
    </cfRule>
  </conditionalFormatting>
  <conditionalFormatting sqref="H10:H1048576">
    <cfRule type="cellIs" dxfId="615" priority="2726" operator="lessThan">
      <formula>0</formula>
    </cfRule>
  </conditionalFormatting>
  <conditionalFormatting sqref="H10:H1048576">
    <cfRule type="cellIs" dxfId="614" priority="2725" operator="lessThan">
      <formula>0</formula>
    </cfRule>
  </conditionalFormatting>
  <conditionalFormatting sqref="H10:H1048576">
    <cfRule type="cellIs" dxfId="613" priority="2724" operator="lessThan">
      <formula>0</formula>
    </cfRule>
  </conditionalFormatting>
  <conditionalFormatting sqref="H10:H1048576">
    <cfRule type="cellIs" dxfId="612" priority="2723" operator="lessThan">
      <formula>0</formula>
    </cfRule>
  </conditionalFormatting>
  <conditionalFormatting sqref="H10:H1048576">
    <cfRule type="cellIs" dxfId="611" priority="2722" operator="lessThan">
      <formula>0</formula>
    </cfRule>
  </conditionalFormatting>
  <conditionalFormatting sqref="H10:H1048576">
    <cfRule type="cellIs" dxfId="610" priority="2721" operator="lessThan">
      <formula>0</formula>
    </cfRule>
  </conditionalFormatting>
  <conditionalFormatting sqref="H10:H1048576">
    <cfRule type="cellIs" dxfId="609" priority="2720" operator="lessThan">
      <formula>0</formula>
    </cfRule>
  </conditionalFormatting>
  <conditionalFormatting sqref="H10:H1048576">
    <cfRule type="cellIs" dxfId="608" priority="2719" operator="lessThan">
      <formula>0</formula>
    </cfRule>
  </conditionalFormatting>
  <conditionalFormatting sqref="H10:H1048576">
    <cfRule type="cellIs" dxfId="607" priority="2718" operator="lessThan">
      <formula>0</formula>
    </cfRule>
  </conditionalFormatting>
  <conditionalFormatting sqref="H10:H1048576">
    <cfRule type="cellIs" dxfId="606" priority="2717" operator="lessThan">
      <formula>0</formula>
    </cfRule>
  </conditionalFormatting>
  <conditionalFormatting sqref="H10:H1048576">
    <cfRule type="cellIs" dxfId="605" priority="2716" operator="lessThan">
      <formula>0</formula>
    </cfRule>
  </conditionalFormatting>
  <conditionalFormatting sqref="H10:H1048576">
    <cfRule type="cellIs" dxfId="604" priority="2715" operator="lessThan">
      <formula>0</formula>
    </cfRule>
  </conditionalFormatting>
  <conditionalFormatting sqref="H10:H1048576">
    <cfRule type="cellIs" dxfId="603" priority="2714" operator="lessThan">
      <formula>0</formula>
    </cfRule>
  </conditionalFormatting>
  <conditionalFormatting sqref="H10:H1048576">
    <cfRule type="cellIs" dxfId="602" priority="2713" operator="lessThan">
      <formula>0</formula>
    </cfRule>
  </conditionalFormatting>
  <conditionalFormatting sqref="H10:H1048576">
    <cfRule type="cellIs" dxfId="601" priority="2712" operator="lessThan">
      <formula>0</formula>
    </cfRule>
  </conditionalFormatting>
  <conditionalFormatting sqref="H10:H1048576">
    <cfRule type="cellIs" dxfId="600" priority="2711" operator="lessThan">
      <formula>0</formula>
    </cfRule>
  </conditionalFormatting>
  <conditionalFormatting sqref="H10:H1048576">
    <cfRule type="cellIs" dxfId="599" priority="2710" operator="lessThan">
      <formula>0</formula>
    </cfRule>
  </conditionalFormatting>
  <conditionalFormatting sqref="H10:H1048576">
    <cfRule type="cellIs" dxfId="598" priority="2709" operator="lessThan">
      <formula>0</formula>
    </cfRule>
  </conditionalFormatting>
  <conditionalFormatting sqref="H10:H1048576">
    <cfRule type="cellIs" dxfId="597" priority="2708" operator="lessThan">
      <formula>0</formula>
    </cfRule>
  </conditionalFormatting>
  <conditionalFormatting sqref="H10:H1048576">
    <cfRule type="cellIs" dxfId="596" priority="2707" operator="lessThan">
      <formula>0</formula>
    </cfRule>
  </conditionalFormatting>
  <conditionalFormatting sqref="H10:H1048576">
    <cfRule type="cellIs" dxfId="595" priority="2706" operator="lessThan">
      <formula>0</formula>
    </cfRule>
  </conditionalFormatting>
  <conditionalFormatting sqref="H10:H1048576">
    <cfRule type="cellIs" dxfId="594" priority="2705" operator="lessThan">
      <formula>0</formula>
    </cfRule>
  </conditionalFormatting>
  <conditionalFormatting sqref="H10:H1048576">
    <cfRule type="cellIs" dxfId="593" priority="2704" operator="lessThan">
      <formula>0</formula>
    </cfRule>
  </conditionalFormatting>
  <conditionalFormatting sqref="H10:H1048576">
    <cfRule type="cellIs" dxfId="592" priority="2703" operator="lessThan">
      <formula>0</formula>
    </cfRule>
  </conditionalFormatting>
  <conditionalFormatting sqref="H10:H1048576">
    <cfRule type="cellIs" dxfId="591" priority="2702" operator="lessThan">
      <formula>0</formula>
    </cfRule>
  </conditionalFormatting>
  <conditionalFormatting sqref="H10:H1048576">
    <cfRule type="cellIs" dxfId="590" priority="2701" operator="lessThan">
      <formula>0</formula>
    </cfRule>
  </conditionalFormatting>
  <conditionalFormatting sqref="H10:H1048576">
    <cfRule type="cellIs" dxfId="589" priority="2700" operator="lessThan">
      <formula>0</formula>
    </cfRule>
  </conditionalFormatting>
  <conditionalFormatting sqref="H10:H1048576">
    <cfRule type="cellIs" dxfId="588" priority="2699" operator="lessThan">
      <formula>0</formula>
    </cfRule>
  </conditionalFormatting>
  <conditionalFormatting sqref="H10:H1048576">
    <cfRule type="cellIs" dxfId="587" priority="2698" operator="lessThan">
      <formula>0</formula>
    </cfRule>
  </conditionalFormatting>
  <conditionalFormatting sqref="H10:H1048576">
    <cfRule type="cellIs" dxfId="586" priority="2697" operator="lessThan">
      <formula>0</formula>
    </cfRule>
  </conditionalFormatting>
  <conditionalFormatting sqref="H10:H1048576">
    <cfRule type="cellIs" dxfId="585" priority="2696" operator="lessThan">
      <formula>0</formula>
    </cfRule>
  </conditionalFormatting>
  <conditionalFormatting sqref="H10:H1048576">
    <cfRule type="cellIs" dxfId="584" priority="2695" operator="lessThan">
      <formula>0</formula>
    </cfRule>
  </conditionalFormatting>
  <conditionalFormatting sqref="H10:H1048576">
    <cfRule type="cellIs" dxfId="583" priority="2694" operator="lessThan">
      <formula>0</formula>
    </cfRule>
  </conditionalFormatting>
  <conditionalFormatting sqref="H10:H1048576">
    <cfRule type="cellIs" dxfId="582" priority="2693" operator="lessThan">
      <formula>0</formula>
    </cfRule>
  </conditionalFormatting>
  <conditionalFormatting sqref="H10:H1048576">
    <cfRule type="cellIs" dxfId="581" priority="2692" operator="lessThan">
      <formula>0</formula>
    </cfRule>
  </conditionalFormatting>
  <conditionalFormatting sqref="H10:H1048576">
    <cfRule type="cellIs" dxfId="580" priority="2691" operator="lessThan">
      <formula>0</formula>
    </cfRule>
  </conditionalFormatting>
  <conditionalFormatting sqref="H10:H1048576">
    <cfRule type="cellIs" dxfId="579" priority="2690" operator="lessThan">
      <formula>0</formula>
    </cfRule>
  </conditionalFormatting>
  <conditionalFormatting sqref="H10:H1048576">
    <cfRule type="cellIs" dxfId="578" priority="2689" operator="lessThan">
      <formula>0</formula>
    </cfRule>
  </conditionalFormatting>
  <conditionalFormatting sqref="H10:H1048576">
    <cfRule type="cellIs" dxfId="577" priority="2688" operator="lessThan">
      <formula>0</formula>
    </cfRule>
  </conditionalFormatting>
  <conditionalFormatting sqref="H10:H1048576">
    <cfRule type="cellIs" dxfId="576" priority="2687" operator="lessThan">
      <formula>0</formula>
    </cfRule>
  </conditionalFormatting>
  <conditionalFormatting sqref="H10:H1048576">
    <cfRule type="cellIs" dxfId="575" priority="2686" operator="lessThan">
      <formula>0</formula>
    </cfRule>
  </conditionalFormatting>
  <conditionalFormatting sqref="H10:H1048576">
    <cfRule type="cellIs" dxfId="574" priority="2685" operator="lessThan">
      <formula>0</formula>
    </cfRule>
  </conditionalFormatting>
  <conditionalFormatting sqref="H10:H1048576">
    <cfRule type="cellIs" dxfId="573" priority="2684" operator="lessThan">
      <formula>0</formula>
    </cfRule>
  </conditionalFormatting>
  <conditionalFormatting sqref="H10:H1048576">
    <cfRule type="cellIs" dxfId="572" priority="2683" operator="lessThan">
      <formula>0</formula>
    </cfRule>
  </conditionalFormatting>
  <conditionalFormatting sqref="H10:H1048576">
    <cfRule type="cellIs" dxfId="571" priority="2682" operator="lessThan">
      <formula>0</formula>
    </cfRule>
  </conditionalFormatting>
  <conditionalFormatting sqref="H10:H1048576">
    <cfRule type="cellIs" dxfId="570" priority="2681" operator="lessThan">
      <formula>0</formula>
    </cfRule>
  </conditionalFormatting>
  <conditionalFormatting sqref="H10:H1048576">
    <cfRule type="cellIs" dxfId="569" priority="2680" operator="lessThan">
      <formula>0</formula>
    </cfRule>
  </conditionalFormatting>
  <conditionalFormatting sqref="H10:H1048576">
    <cfRule type="cellIs" dxfId="568" priority="2679" operator="lessThan">
      <formula>0</formula>
    </cfRule>
  </conditionalFormatting>
  <conditionalFormatting sqref="H10:H1048576">
    <cfRule type="cellIs" dxfId="567" priority="2678" operator="lessThan">
      <formula>0</formula>
    </cfRule>
  </conditionalFormatting>
  <conditionalFormatting sqref="H10:H1048576">
    <cfRule type="cellIs" dxfId="566" priority="2677" operator="lessThan">
      <formula>0</formula>
    </cfRule>
  </conditionalFormatting>
  <conditionalFormatting sqref="H10:H1048576">
    <cfRule type="cellIs" dxfId="565" priority="2676" operator="lessThan">
      <formula>0</formula>
    </cfRule>
  </conditionalFormatting>
  <conditionalFormatting sqref="H10:H1048576">
    <cfRule type="cellIs" dxfId="564" priority="2675" operator="lessThan">
      <formula>0</formula>
    </cfRule>
  </conditionalFormatting>
  <conditionalFormatting sqref="H10:H1048576">
    <cfRule type="cellIs" dxfId="563" priority="2674" operator="lessThan">
      <formula>0</formula>
    </cfRule>
  </conditionalFormatting>
  <conditionalFormatting sqref="H10:H1048576">
    <cfRule type="cellIs" dxfId="562" priority="2673" operator="lessThan">
      <formula>0</formula>
    </cfRule>
  </conditionalFormatting>
  <conditionalFormatting sqref="H10:H1048576">
    <cfRule type="cellIs" dxfId="561" priority="2672" operator="lessThan">
      <formula>0</formula>
    </cfRule>
  </conditionalFormatting>
  <conditionalFormatting sqref="H10:H1048576">
    <cfRule type="cellIs" dxfId="560" priority="2671" operator="lessThan">
      <formula>0</formula>
    </cfRule>
  </conditionalFormatting>
  <conditionalFormatting sqref="H10:H1048576">
    <cfRule type="cellIs" dxfId="559" priority="2670" operator="lessThan">
      <formula>0</formula>
    </cfRule>
  </conditionalFormatting>
  <conditionalFormatting sqref="H10:H1048576">
    <cfRule type="cellIs" dxfId="558" priority="2669" operator="lessThan">
      <formula>0</formula>
    </cfRule>
  </conditionalFormatting>
  <conditionalFormatting sqref="H10:H1048576">
    <cfRule type="cellIs" dxfId="557" priority="2668" operator="lessThan">
      <formula>0</formula>
    </cfRule>
  </conditionalFormatting>
  <conditionalFormatting sqref="H10:H1048576">
    <cfRule type="cellIs" dxfId="556" priority="2667" operator="lessThan">
      <formula>0</formula>
    </cfRule>
  </conditionalFormatting>
  <conditionalFormatting sqref="H10:H1048576">
    <cfRule type="cellIs" dxfId="555" priority="2666" operator="lessThan">
      <formula>0</formula>
    </cfRule>
  </conditionalFormatting>
  <conditionalFormatting sqref="H10:H1048576">
    <cfRule type="cellIs" dxfId="554" priority="2665" operator="lessThan">
      <formula>0</formula>
    </cfRule>
  </conditionalFormatting>
  <conditionalFormatting sqref="H10:H1048576">
    <cfRule type="cellIs" dxfId="553" priority="2664" operator="lessThan">
      <formula>0</formula>
    </cfRule>
  </conditionalFormatting>
  <conditionalFormatting sqref="H10:H1048576">
    <cfRule type="cellIs" dxfId="552" priority="2663" operator="lessThan">
      <formula>0</formula>
    </cfRule>
  </conditionalFormatting>
  <conditionalFormatting sqref="H10:H1048576">
    <cfRule type="cellIs" dxfId="551" priority="2662" operator="lessThan">
      <formula>0</formula>
    </cfRule>
  </conditionalFormatting>
  <conditionalFormatting sqref="H10:H1048576">
    <cfRule type="cellIs" dxfId="550" priority="2661" operator="lessThan">
      <formula>0</formula>
    </cfRule>
  </conditionalFormatting>
  <conditionalFormatting sqref="H10:H1048576">
    <cfRule type="cellIs" dxfId="549" priority="2660" operator="lessThan">
      <formula>0</formula>
    </cfRule>
  </conditionalFormatting>
  <conditionalFormatting sqref="H10:H1048576">
    <cfRule type="cellIs" dxfId="548" priority="2659" operator="lessThan">
      <formula>0</formula>
    </cfRule>
  </conditionalFormatting>
  <conditionalFormatting sqref="H10:H1048576">
    <cfRule type="cellIs" dxfId="547" priority="2658" operator="lessThan">
      <formula>0</formula>
    </cfRule>
  </conditionalFormatting>
  <conditionalFormatting sqref="H10:H1048576">
    <cfRule type="cellIs" dxfId="546" priority="2657" operator="lessThan">
      <formula>0</formula>
    </cfRule>
  </conditionalFormatting>
  <conditionalFormatting sqref="H10:H1048576">
    <cfRule type="cellIs" dxfId="545" priority="2656" operator="lessThan">
      <formula>0</formula>
    </cfRule>
  </conditionalFormatting>
  <conditionalFormatting sqref="H10:H1048576">
    <cfRule type="cellIs" dxfId="544" priority="2655" operator="lessThan">
      <formula>0</formula>
    </cfRule>
  </conditionalFormatting>
  <conditionalFormatting sqref="H10:H1048576">
    <cfRule type="cellIs" dxfId="543" priority="2654" operator="lessThan">
      <formula>0</formula>
    </cfRule>
  </conditionalFormatting>
  <conditionalFormatting sqref="H10:H1048576">
    <cfRule type="cellIs" dxfId="542" priority="2653" operator="lessThan">
      <formula>0</formula>
    </cfRule>
  </conditionalFormatting>
  <conditionalFormatting sqref="H10:H1048576">
    <cfRule type="cellIs" dxfId="541" priority="2652" operator="lessThan">
      <formula>0</formula>
    </cfRule>
  </conditionalFormatting>
  <conditionalFormatting sqref="H10:H1048576">
    <cfRule type="cellIs" dxfId="540" priority="2651" operator="lessThan">
      <formula>0</formula>
    </cfRule>
  </conditionalFormatting>
  <conditionalFormatting sqref="H10:H1048576">
    <cfRule type="cellIs" dxfId="539" priority="2650" operator="lessThan">
      <formula>0</formula>
    </cfRule>
  </conditionalFormatting>
  <conditionalFormatting sqref="H10:H1048576">
    <cfRule type="cellIs" dxfId="538" priority="2649" operator="lessThan">
      <formula>0</formula>
    </cfRule>
  </conditionalFormatting>
  <conditionalFormatting sqref="H10:H1048576">
    <cfRule type="cellIs" dxfId="537" priority="2648" operator="lessThan">
      <formula>0</formula>
    </cfRule>
  </conditionalFormatting>
  <conditionalFormatting sqref="H10:H1048576">
    <cfRule type="cellIs" dxfId="536" priority="2647" operator="lessThan">
      <formula>0</formula>
    </cfRule>
  </conditionalFormatting>
  <conditionalFormatting sqref="H10:H1048576">
    <cfRule type="cellIs" dxfId="535" priority="2646" operator="lessThan">
      <formula>0</formula>
    </cfRule>
  </conditionalFormatting>
  <conditionalFormatting sqref="H10:H1048576">
    <cfRule type="cellIs" dxfId="534" priority="2645" operator="lessThan">
      <formula>0</formula>
    </cfRule>
  </conditionalFormatting>
  <conditionalFormatting sqref="H10:H1048576">
    <cfRule type="cellIs" dxfId="533" priority="2644" operator="lessThan">
      <formula>0</formula>
    </cfRule>
  </conditionalFormatting>
  <conditionalFormatting sqref="H10:H1048576">
    <cfRule type="cellIs" dxfId="532" priority="2643" operator="lessThan">
      <formula>0</formula>
    </cfRule>
  </conditionalFormatting>
  <conditionalFormatting sqref="H10:H1048576">
    <cfRule type="cellIs" dxfId="531" priority="2642" operator="lessThan">
      <formula>0</formula>
    </cfRule>
  </conditionalFormatting>
  <conditionalFormatting sqref="H10:H1048576">
    <cfRule type="cellIs" dxfId="530" priority="2641" operator="lessThan">
      <formula>0</formula>
    </cfRule>
  </conditionalFormatting>
  <conditionalFormatting sqref="H10:H1048576">
    <cfRule type="cellIs" dxfId="529" priority="2640" operator="lessThan">
      <formula>0</formula>
    </cfRule>
  </conditionalFormatting>
  <conditionalFormatting sqref="H10:H1048576">
    <cfRule type="cellIs" dxfId="528" priority="2639" operator="lessThan">
      <formula>0</formula>
    </cfRule>
  </conditionalFormatting>
  <conditionalFormatting sqref="H10:H1048576">
    <cfRule type="cellIs" dxfId="527" priority="2638" operator="lessThan">
      <formula>0</formula>
    </cfRule>
  </conditionalFormatting>
  <conditionalFormatting sqref="H10:H1048576">
    <cfRule type="cellIs" dxfId="526" priority="2637" operator="lessThan">
      <formula>0</formula>
    </cfRule>
  </conditionalFormatting>
  <conditionalFormatting sqref="H10:H1048576">
    <cfRule type="cellIs" dxfId="525" priority="2636" operator="lessThan">
      <formula>0</formula>
    </cfRule>
  </conditionalFormatting>
  <conditionalFormatting sqref="H10:H1048576">
    <cfRule type="cellIs" dxfId="524" priority="2635" operator="lessThan">
      <formula>0</formula>
    </cfRule>
  </conditionalFormatting>
  <conditionalFormatting sqref="H10:H1048576">
    <cfRule type="cellIs" dxfId="523" priority="2634" operator="lessThan">
      <formula>0</formula>
    </cfRule>
  </conditionalFormatting>
  <conditionalFormatting sqref="H10:H1048576">
    <cfRule type="cellIs" dxfId="522" priority="2633" operator="lessThan">
      <formula>0</formula>
    </cfRule>
  </conditionalFormatting>
  <conditionalFormatting sqref="H10:H1048576">
    <cfRule type="cellIs" dxfId="521" priority="2632" operator="lessThan">
      <formula>0</formula>
    </cfRule>
  </conditionalFormatting>
  <conditionalFormatting sqref="H10:H1048576">
    <cfRule type="cellIs" dxfId="520" priority="2631" operator="lessThan">
      <formula>0</formula>
    </cfRule>
  </conditionalFormatting>
  <conditionalFormatting sqref="H10:H1048576">
    <cfRule type="cellIs" dxfId="519" priority="2630" operator="lessThan">
      <formula>0</formula>
    </cfRule>
  </conditionalFormatting>
  <conditionalFormatting sqref="H10:H1048576">
    <cfRule type="cellIs" dxfId="518" priority="2629" operator="lessThan">
      <formula>0</formula>
    </cfRule>
  </conditionalFormatting>
  <conditionalFormatting sqref="H10:H1048576">
    <cfRule type="cellIs" dxfId="517" priority="2628" operator="lessThan">
      <formula>0</formula>
    </cfRule>
  </conditionalFormatting>
  <conditionalFormatting sqref="H10:H1048576">
    <cfRule type="cellIs" dxfId="516" priority="2627" operator="lessThan">
      <formula>0</formula>
    </cfRule>
  </conditionalFormatting>
  <conditionalFormatting sqref="H10:H1048576">
    <cfRule type="cellIs" dxfId="515" priority="2626" operator="lessThan">
      <formula>0</formula>
    </cfRule>
  </conditionalFormatting>
  <conditionalFormatting sqref="H10:H1048576">
    <cfRule type="cellIs" dxfId="514" priority="2625" operator="lessThan">
      <formula>0</formula>
    </cfRule>
  </conditionalFormatting>
  <conditionalFormatting sqref="H10:H1048576">
    <cfRule type="cellIs" dxfId="513" priority="2624" operator="lessThan">
      <formula>0</formula>
    </cfRule>
  </conditionalFormatting>
  <conditionalFormatting sqref="H10:H1048576">
    <cfRule type="cellIs" dxfId="512" priority="2623" operator="lessThan">
      <formula>0</formula>
    </cfRule>
  </conditionalFormatting>
  <conditionalFormatting sqref="H10:H1048576">
    <cfRule type="cellIs" dxfId="511" priority="2622" operator="lessThan">
      <formula>0</formula>
    </cfRule>
  </conditionalFormatting>
  <conditionalFormatting sqref="H10:H1048576">
    <cfRule type="cellIs" dxfId="510" priority="2621" operator="lessThan">
      <formula>0</formula>
    </cfRule>
  </conditionalFormatting>
  <conditionalFormatting sqref="H10:H1048576">
    <cfRule type="cellIs" dxfId="509" priority="2620" operator="lessThan">
      <formula>0</formula>
    </cfRule>
  </conditionalFormatting>
  <conditionalFormatting sqref="H10:H1048576">
    <cfRule type="cellIs" dxfId="508" priority="2619" operator="lessThan">
      <formula>0</formula>
    </cfRule>
  </conditionalFormatting>
  <conditionalFormatting sqref="H10:H1048576">
    <cfRule type="cellIs" dxfId="507" priority="2618" operator="lessThan">
      <formula>0</formula>
    </cfRule>
  </conditionalFormatting>
  <conditionalFormatting sqref="H10:H1048576">
    <cfRule type="cellIs" dxfId="506" priority="2617" operator="lessThan">
      <formula>0</formula>
    </cfRule>
  </conditionalFormatting>
  <conditionalFormatting sqref="H10:H1048576">
    <cfRule type="cellIs" dxfId="505" priority="2616" operator="lessThan">
      <formula>0</formula>
    </cfRule>
  </conditionalFormatting>
  <conditionalFormatting sqref="H10:H1048576">
    <cfRule type="cellIs" dxfId="504" priority="2615" operator="lessThan">
      <formula>0</formula>
    </cfRule>
  </conditionalFormatting>
  <conditionalFormatting sqref="H10:H1048576">
    <cfRule type="cellIs" dxfId="503" priority="2614" operator="lessThan">
      <formula>0</formula>
    </cfRule>
  </conditionalFormatting>
  <conditionalFormatting sqref="H10:H1048576">
    <cfRule type="cellIs" dxfId="502" priority="2613" operator="lessThan">
      <formula>0</formula>
    </cfRule>
  </conditionalFormatting>
  <conditionalFormatting sqref="H10:H1048576">
    <cfRule type="cellIs" dxfId="501" priority="2612" operator="lessThan">
      <formula>0</formula>
    </cfRule>
  </conditionalFormatting>
  <conditionalFormatting sqref="H10:H1048576">
    <cfRule type="cellIs" dxfId="500" priority="2611" operator="lessThan">
      <formula>0</formula>
    </cfRule>
  </conditionalFormatting>
  <conditionalFormatting sqref="H10:H1048576">
    <cfRule type="cellIs" dxfId="499" priority="2610" operator="lessThan">
      <formula>0</formula>
    </cfRule>
  </conditionalFormatting>
  <conditionalFormatting sqref="H10:H1048576">
    <cfRule type="cellIs" dxfId="498" priority="2609" operator="lessThan">
      <formula>0</formula>
    </cfRule>
  </conditionalFormatting>
  <conditionalFormatting sqref="H10:H1048576">
    <cfRule type="cellIs" dxfId="497" priority="2608" operator="lessThan">
      <formula>0</formula>
    </cfRule>
  </conditionalFormatting>
  <conditionalFormatting sqref="H10:H1048576">
    <cfRule type="cellIs" dxfId="496" priority="2607" operator="lessThan">
      <formula>0</formula>
    </cfRule>
  </conditionalFormatting>
  <conditionalFormatting sqref="H10:H1048576">
    <cfRule type="cellIs" dxfId="495" priority="2606" operator="lessThan">
      <formula>0</formula>
    </cfRule>
  </conditionalFormatting>
  <conditionalFormatting sqref="H10:H1048576">
    <cfRule type="cellIs" dxfId="494" priority="2605" operator="lessThan">
      <formula>0</formula>
    </cfRule>
  </conditionalFormatting>
  <conditionalFormatting sqref="H10:H1048576">
    <cfRule type="cellIs" dxfId="493" priority="2604" operator="lessThan">
      <formula>0</formula>
    </cfRule>
  </conditionalFormatting>
  <conditionalFormatting sqref="H10:H1048576">
    <cfRule type="cellIs" dxfId="492" priority="2603" operator="lessThan">
      <formula>0</formula>
    </cfRule>
  </conditionalFormatting>
  <conditionalFormatting sqref="H10:H1048576">
    <cfRule type="cellIs" dxfId="491" priority="2602" operator="lessThan">
      <formula>0</formula>
    </cfRule>
  </conditionalFormatting>
  <conditionalFormatting sqref="H10:H1048576">
    <cfRule type="cellIs" dxfId="490" priority="2601" operator="lessThan">
      <formula>0</formula>
    </cfRule>
  </conditionalFormatting>
  <conditionalFormatting sqref="H10:H1048576">
    <cfRule type="cellIs" dxfId="489" priority="2600" operator="lessThan">
      <formula>0</formula>
    </cfRule>
  </conditionalFormatting>
  <conditionalFormatting sqref="H10:H1048576">
    <cfRule type="cellIs" dxfId="488" priority="2599" operator="lessThan">
      <formula>0</formula>
    </cfRule>
  </conditionalFormatting>
  <conditionalFormatting sqref="H10:H1048576">
    <cfRule type="cellIs" dxfId="487" priority="2598" operator="lessThan">
      <formula>0</formula>
    </cfRule>
  </conditionalFormatting>
  <conditionalFormatting sqref="H10:H1048576">
    <cfRule type="cellIs" dxfId="486" priority="2597" operator="lessThan">
      <formula>0</formula>
    </cfRule>
  </conditionalFormatting>
  <conditionalFormatting sqref="H10:H1048576">
    <cfRule type="cellIs" dxfId="485" priority="2596" operator="lessThan">
      <formula>0</formula>
    </cfRule>
  </conditionalFormatting>
  <conditionalFormatting sqref="H10:H1048576">
    <cfRule type="cellIs" dxfId="484" priority="2595" operator="lessThan">
      <formula>0</formula>
    </cfRule>
  </conditionalFormatting>
  <conditionalFormatting sqref="H10:H1048576">
    <cfRule type="cellIs" dxfId="483" priority="2594" operator="lessThan">
      <formula>0</formula>
    </cfRule>
  </conditionalFormatting>
  <conditionalFormatting sqref="H10:H1048576">
    <cfRule type="cellIs" dxfId="482" priority="2593" operator="lessThan">
      <formula>0</formula>
    </cfRule>
  </conditionalFormatting>
  <conditionalFormatting sqref="H10:H1048576">
    <cfRule type="cellIs" dxfId="481" priority="2592" operator="lessThan">
      <formula>0</formula>
    </cfRule>
  </conditionalFormatting>
  <conditionalFormatting sqref="H10:H1048576">
    <cfRule type="cellIs" dxfId="480" priority="2591" operator="lessThan">
      <formula>0</formula>
    </cfRule>
  </conditionalFormatting>
  <conditionalFormatting sqref="H10:H1048576">
    <cfRule type="cellIs" dxfId="479" priority="2590" operator="lessThan">
      <formula>0</formula>
    </cfRule>
  </conditionalFormatting>
  <conditionalFormatting sqref="H10:H1048576">
    <cfRule type="cellIs" dxfId="478" priority="2589" operator="lessThan">
      <formula>0</formula>
    </cfRule>
  </conditionalFormatting>
  <conditionalFormatting sqref="H10:H1048576">
    <cfRule type="cellIs" dxfId="477" priority="2588" operator="lessThan">
      <formula>0</formula>
    </cfRule>
  </conditionalFormatting>
  <conditionalFormatting sqref="H10:H1048576">
    <cfRule type="cellIs" dxfId="476" priority="2587" operator="lessThan">
      <formula>0</formula>
    </cfRule>
  </conditionalFormatting>
  <conditionalFormatting sqref="H10:H1048576">
    <cfRule type="cellIs" dxfId="475" priority="2586" operator="lessThan">
      <formula>0</formula>
    </cfRule>
  </conditionalFormatting>
  <conditionalFormatting sqref="H10:H1048576">
    <cfRule type="cellIs" dxfId="474" priority="2585" operator="lessThan">
      <formula>0</formula>
    </cfRule>
  </conditionalFormatting>
  <conditionalFormatting sqref="H10:H1048576">
    <cfRule type="cellIs" dxfId="473" priority="2584" operator="lessThan">
      <formula>0</formula>
    </cfRule>
  </conditionalFormatting>
  <conditionalFormatting sqref="H10:H1048576">
    <cfRule type="cellIs" dxfId="472" priority="2583" operator="lessThan">
      <formula>0</formula>
    </cfRule>
  </conditionalFormatting>
  <conditionalFormatting sqref="H10:H1048576">
    <cfRule type="cellIs" dxfId="471" priority="2582" operator="lessThan">
      <formula>0</formula>
    </cfRule>
  </conditionalFormatting>
  <conditionalFormatting sqref="H10:H1048576">
    <cfRule type="cellIs" dxfId="470" priority="2581" operator="lessThan">
      <formula>0</formula>
    </cfRule>
  </conditionalFormatting>
  <conditionalFormatting sqref="H10:H1048576">
    <cfRule type="cellIs" dxfId="469" priority="2580" operator="lessThan">
      <formula>0</formula>
    </cfRule>
  </conditionalFormatting>
  <conditionalFormatting sqref="H10:H1048576">
    <cfRule type="cellIs" dxfId="468" priority="2579" operator="lessThan">
      <formula>0</formula>
    </cfRule>
  </conditionalFormatting>
  <conditionalFormatting sqref="H10:H1048576">
    <cfRule type="cellIs" dxfId="467" priority="2578" operator="lessThan">
      <formula>0</formula>
    </cfRule>
  </conditionalFormatting>
  <conditionalFormatting sqref="H10:H1048576">
    <cfRule type="cellIs" dxfId="466" priority="2577" operator="lessThan">
      <formula>0</formula>
    </cfRule>
  </conditionalFormatting>
  <conditionalFormatting sqref="H10:H1048576">
    <cfRule type="cellIs" dxfId="465" priority="2576" operator="lessThan">
      <formula>0</formula>
    </cfRule>
  </conditionalFormatting>
  <conditionalFormatting sqref="H10:H1048576">
    <cfRule type="cellIs" dxfId="464" priority="2575" operator="lessThan">
      <formula>0</formula>
    </cfRule>
  </conditionalFormatting>
  <conditionalFormatting sqref="H10:H1048576">
    <cfRule type="cellIs" dxfId="463" priority="2574" operator="lessThan">
      <formula>0</formula>
    </cfRule>
  </conditionalFormatting>
  <conditionalFormatting sqref="H10:H1048576">
    <cfRule type="cellIs" dxfId="462" priority="2573" operator="lessThan">
      <formula>0</formula>
    </cfRule>
  </conditionalFormatting>
  <conditionalFormatting sqref="H10:H1048576">
    <cfRule type="cellIs" dxfId="461" priority="2572" operator="lessThan">
      <formula>0</formula>
    </cfRule>
  </conditionalFormatting>
  <conditionalFormatting sqref="H10:H1048576">
    <cfRule type="cellIs" dxfId="460" priority="2571" operator="lessThan">
      <formula>0</formula>
    </cfRule>
  </conditionalFormatting>
  <conditionalFormatting sqref="H10:H1048576">
    <cfRule type="cellIs" dxfId="459" priority="2570" operator="lessThan">
      <formula>0</formula>
    </cfRule>
  </conditionalFormatting>
  <conditionalFormatting sqref="H10:H1048576">
    <cfRule type="cellIs" dxfId="458" priority="2569" operator="lessThan">
      <formula>0</formula>
    </cfRule>
  </conditionalFormatting>
  <conditionalFormatting sqref="H10:H1048576">
    <cfRule type="cellIs" dxfId="457" priority="2568" operator="lessThan">
      <formula>0</formula>
    </cfRule>
  </conditionalFormatting>
  <conditionalFormatting sqref="H10:H1048576">
    <cfRule type="cellIs" dxfId="456" priority="2567" operator="lessThan">
      <formula>0</formula>
    </cfRule>
  </conditionalFormatting>
  <conditionalFormatting sqref="H10:H1048576">
    <cfRule type="cellIs" dxfId="455" priority="2566" operator="lessThan">
      <formula>0</formula>
    </cfRule>
  </conditionalFormatting>
  <conditionalFormatting sqref="H10:H1048576">
    <cfRule type="cellIs" dxfId="454" priority="2565" operator="lessThan">
      <formula>0</formula>
    </cfRule>
  </conditionalFormatting>
  <conditionalFormatting sqref="H10:H1048576">
    <cfRule type="cellIs" dxfId="453" priority="2564" operator="lessThan">
      <formula>0</formula>
    </cfRule>
  </conditionalFormatting>
  <conditionalFormatting sqref="H10:H1048576">
    <cfRule type="cellIs" dxfId="452" priority="2563" operator="lessThan">
      <formula>0</formula>
    </cfRule>
  </conditionalFormatting>
  <conditionalFormatting sqref="H10:H1048576">
    <cfRule type="cellIs" dxfId="451" priority="2562" operator="lessThan">
      <formula>0</formula>
    </cfRule>
  </conditionalFormatting>
  <conditionalFormatting sqref="H10:H1048576">
    <cfRule type="cellIs" dxfId="450" priority="2561" operator="lessThan">
      <formula>0</formula>
    </cfRule>
  </conditionalFormatting>
  <conditionalFormatting sqref="H10:H1048576">
    <cfRule type="cellIs" dxfId="449" priority="2560" operator="lessThan">
      <formula>0</formula>
    </cfRule>
  </conditionalFormatting>
  <conditionalFormatting sqref="H10:H1048576">
    <cfRule type="cellIs" dxfId="448" priority="2559" operator="lessThan">
      <formula>0</formula>
    </cfRule>
  </conditionalFormatting>
  <conditionalFormatting sqref="H10:H1048576">
    <cfRule type="cellIs" dxfId="447" priority="2558" operator="lessThan">
      <formula>0</formula>
    </cfRule>
  </conditionalFormatting>
  <conditionalFormatting sqref="H10:H1048576">
    <cfRule type="cellIs" dxfId="446" priority="2557" operator="lessThan">
      <formula>0</formula>
    </cfRule>
  </conditionalFormatting>
  <conditionalFormatting sqref="H10:H1048576">
    <cfRule type="cellIs" dxfId="445" priority="2556" operator="lessThan">
      <formula>0</formula>
    </cfRule>
  </conditionalFormatting>
  <conditionalFormatting sqref="H10:H1048576">
    <cfRule type="cellIs" dxfId="444" priority="2555" operator="lessThan">
      <formula>0</formula>
    </cfRule>
  </conditionalFormatting>
  <conditionalFormatting sqref="H10:H1048576">
    <cfRule type="cellIs" dxfId="443" priority="2554" operator="lessThan">
      <formula>0</formula>
    </cfRule>
  </conditionalFormatting>
  <conditionalFormatting sqref="H10:H1048576">
    <cfRule type="cellIs" dxfId="442" priority="2553" operator="lessThan">
      <formula>0</formula>
    </cfRule>
  </conditionalFormatting>
  <conditionalFormatting sqref="H10:H1048576">
    <cfRule type="cellIs" dxfId="441" priority="2552" operator="lessThan">
      <formula>0</formula>
    </cfRule>
  </conditionalFormatting>
  <conditionalFormatting sqref="H10:H1048576">
    <cfRule type="cellIs" dxfId="440" priority="2551" operator="lessThan">
      <formula>0</formula>
    </cfRule>
  </conditionalFormatting>
  <conditionalFormatting sqref="H10:H1048576">
    <cfRule type="cellIs" dxfId="439" priority="2550" operator="lessThan">
      <formula>0</formula>
    </cfRule>
  </conditionalFormatting>
  <conditionalFormatting sqref="H10:H1048576">
    <cfRule type="cellIs" dxfId="438" priority="2549" operator="lessThan">
      <formula>0</formula>
    </cfRule>
  </conditionalFormatting>
  <conditionalFormatting sqref="H10:H1048576">
    <cfRule type="cellIs" dxfId="437" priority="2548" operator="lessThan">
      <formula>0</formula>
    </cfRule>
  </conditionalFormatting>
  <conditionalFormatting sqref="H10:H1048576">
    <cfRule type="cellIs" dxfId="436" priority="2547" operator="lessThan">
      <formula>0</formula>
    </cfRule>
  </conditionalFormatting>
  <conditionalFormatting sqref="H10:H1048576">
    <cfRule type="cellIs" dxfId="435" priority="2546" operator="lessThan">
      <formula>0</formula>
    </cfRule>
  </conditionalFormatting>
  <conditionalFormatting sqref="H10:H1048576">
    <cfRule type="cellIs" dxfId="434" priority="2545" operator="lessThan">
      <formula>0</formula>
    </cfRule>
  </conditionalFormatting>
  <conditionalFormatting sqref="H10:H1048576">
    <cfRule type="cellIs" dxfId="433" priority="2544" operator="lessThan">
      <formula>0</formula>
    </cfRule>
  </conditionalFormatting>
  <conditionalFormatting sqref="H10:H1048576">
    <cfRule type="cellIs" dxfId="432" priority="2543" operator="lessThan">
      <formula>0</formula>
    </cfRule>
  </conditionalFormatting>
  <conditionalFormatting sqref="H10:H1048576">
    <cfRule type="cellIs" dxfId="431" priority="2542" operator="lessThan">
      <formula>0</formula>
    </cfRule>
  </conditionalFormatting>
  <conditionalFormatting sqref="H10:H1048576">
    <cfRule type="cellIs" dxfId="430" priority="2541" operator="lessThan">
      <formula>0</formula>
    </cfRule>
  </conditionalFormatting>
  <conditionalFormatting sqref="H10:H1048576">
    <cfRule type="cellIs" dxfId="429" priority="2540" operator="lessThan">
      <formula>0</formula>
    </cfRule>
  </conditionalFormatting>
  <conditionalFormatting sqref="H10:H1048576">
    <cfRule type="cellIs" dxfId="428" priority="2539" operator="lessThan">
      <formula>0</formula>
    </cfRule>
  </conditionalFormatting>
  <conditionalFormatting sqref="H10:H1048576">
    <cfRule type="cellIs" dxfId="427" priority="2538" operator="lessThan">
      <formula>0</formula>
    </cfRule>
  </conditionalFormatting>
  <conditionalFormatting sqref="H10:H1048576">
    <cfRule type="cellIs" dxfId="426" priority="2537" operator="lessThan">
      <formula>0</formula>
    </cfRule>
  </conditionalFormatting>
  <conditionalFormatting sqref="H10:H1048576">
    <cfRule type="cellIs" dxfId="425" priority="2536" operator="lessThan">
      <formula>0</formula>
    </cfRule>
  </conditionalFormatting>
  <conditionalFormatting sqref="H10:H1048576">
    <cfRule type="cellIs" dxfId="424" priority="2535" operator="lessThan">
      <formula>0</formula>
    </cfRule>
  </conditionalFormatting>
  <conditionalFormatting sqref="H10:H1048576">
    <cfRule type="cellIs" dxfId="423" priority="2534" operator="lessThan">
      <formula>0</formula>
    </cfRule>
  </conditionalFormatting>
  <conditionalFormatting sqref="H10:H1048576">
    <cfRule type="cellIs" dxfId="422" priority="2533" operator="lessThan">
      <formula>0</formula>
    </cfRule>
  </conditionalFormatting>
  <conditionalFormatting sqref="H10:H1048576">
    <cfRule type="cellIs" dxfId="421" priority="2532" operator="lessThan">
      <formula>0</formula>
    </cfRule>
  </conditionalFormatting>
  <conditionalFormatting sqref="H10:H1048576">
    <cfRule type="cellIs" dxfId="420" priority="2531" operator="lessThan">
      <formula>0</formula>
    </cfRule>
  </conditionalFormatting>
  <conditionalFormatting sqref="H10:H1048576">
    <cfRule type="cellIs" dxfId="419" priority="2530" operator="lessThan">
      <formula>0</formula>
    </cfRule>
  </conditionalFormatting>
  <conditionalFormatting sqref="H10:H1048576">
    <cfRule type="cellIs" dxfId="418" priority="2529" operator="lessThan">
      <formula>0</formula>
    </cfRule>
  </conditionalFormatting>
  <conditionalFormatting sqref="H10:H1048576">
    <cfRule type="cellIs" dxfId="417" priority="2528" operator="lessThan">
      <formula>0</formula>
    </cfRule>
  </conditionalFormatting>
  <conditionalFormatting sqref="H10:H1048576">
    <cfRule type="cellIs" dxfId="416" priority="2527" operator="lessThan">
      <formula>0</formula>
    </cfRule>
  </conditionalFormatting>
  <conditionalFormatting sqref="H10:H1048576">
    <cfRule type="cellIs" dxfId="415" priority="2526" operator="lessThan">
      <formula>0</formula>
    </cfRule>
  </conditionalFormatting>
  <conditionalFormatting sqref="H10:H1048576">
    <cfRule type="cellIs" dxfId="414" priority="2525" operator="lessThan">
      <formula>0</formula>
    </cfRule>
  </conditionalFormatting>
  <conditionalFormatting sqref="H10:H1048576">
    <cfRule type="cellIs" dxfId="413" priority="2524" operator="lessThan">
      <formula>0</formula>
    </cfRule>
  </conditionalFormatting>
  <conditionalFormatting sqref="H10:H1048576">
    <cfRule type="cellIs" dxfId="412" priority="2523" operator="lessThan">
      <formula>0</formula>
    </cfRule>
  </conditionalFormatting>
  <conditionalFormatting sqref="H10:H1048576">
    <cfRule type="cellIs" dxfId="411" priority="2522" operator="lessThan">
      <formula>0</formula>
    </cfRule>
  </conditionalFormatting>
  <conditionalFormatting sqref="H10:H1048576">
    <cfRule type="cellIs" dxfId="410" priority="2521" operator="lessThan">
      <formula>0</formula>
    </cfRule>
  </conditionalFormatting>
  <conditionalFormatting sqref="H10:H1048576">
    <cfRule type="cellIs" dxfId="409" priority="2520" operator="lessThan">
      <formula>0</formula>
    </cfRule>
  </conditionalFormatting>
  <conditionalFormatting sqref="H10:H1048576">
    <cfRule type="cellIs" dxfId="408" priority="2519" operator="lessThan">
      <formula>0</formula>
    </cfRule>
  </conditionalFormatting>
  <conditionalFormatting sqref="H10:H1048576">
    <cfRule type="cellIs" dxfId="407" priority="2518" operator="lessThan">
      <formula>0</formula>
    </cfRule>
  </conditionalFormatting>
  <conditionalFormatting sqref="H10:H1048576">
    <cfRule type="cellIs" dxfId="406" priority="2517" operator="lessThan">
      <formula>0</formula>
    </cfRule>
  </conditionalFormatting>
  <conditionalFormatting sqref="H10:H1048576">
    <cfRule type="cellIs" dxfId="405" priority="2516" operator="lessThan">
      <formula>0</formula>
    </cfRule>
  </conditionalFormatting>
  <conditionalFormatting sqref="H10:H1048576">
    <cfRule type="cellIs" dxfId="404" priority="2515" operator="lessThan">
      <formula>0</formula>
    </cfRule>
  </conditionalFormatting>
  <conditionalFormatting sqref="H10:H1048576">
    <cfRule type="cellIs" dxfId="403" priority="2514" operator="lessThan">
      <formula>0</formula>
    </cfRule>
  </conditionalFormatting>
  <conditionalFormatting sqref="H10:H1048576">
    <cfRule type="cellIs" dxfId="402" priority="2513" operator="lessThan">
      <formula>0</formula>
    </cfRule>
  </conditionalFormatting>
  <conditionalFormatting sqref="H10:H1048576">
    <cfRule type="cellIs" dxfId="401" priority="2512" operator="lessThan">
      <formula>0</formula>
    </cfRule>
  </conditionalFormatting>
  <conditionalFormatting sqref="H10:H1048576">
    <cfRule type="cellIs" dxfId="400" priority="2511" operator="lessThan">
      <formula>0</formula>
    </cfRule>
  </conditionalFormatting>
  <conditionalFormatting sqref="H10:H1048576">
    <cfRule type="cellIs" dxfId="399" priority="2510" operator="lessThan">
      <formula>0</formula>
    </cfRule>
  </conditionalFormatting>
  <conditionalFormatting sqref="H10:H1048576">
    <cfRule type="cellIs" dxfId="398" priority="2509" operator="lessThan">
      <formula>0</formula>
    </cfRule>
  </conditionalFormatting>
  <conditionalFormatting sqref="H10:H1048576">
    <cfRule type="cellIs" dxfId="397" priority="2508" operator="lessThan">
      <formula>0</formula>
    </cfRule>
  </conditionalFormatting>
  <conditionalFormatting sqref="H10:H1048576">
    <cfRule type="cellIs" dxfId="396" priority="2507" operator="lessThan">
      <formula>0</formula>
    </cfRule>
  </conditionalFormatting>
  <conditionalFormatting sqref="H10:H1048576">
    <cfRule type="cellIs" dxfId="395" priority="2506" operator="lessThan">
      <formula>0</formula>
    </cfRule>
  </conditionalFormatting>
  <conditionalFormatting sqref="H10:H1048576">
    <cfRule type="cellIs" dxfId="394" priority="2505" operator="lessThan">
      <formula>0</formula>
    </cfRule>
  </conditionalFormatting>
  <conditionalFormatting sqref="H10:H1048576">
    <cfRule type="cellIs" dxfId="393" priority="2504" operator="lessThan">
      <formula>0</formula>
    </cfRule>
  </conditionalFormatting>
  <conditionalFormatting sqref="H10:H1048576">
    <cfRule type="cellIs" dxfId="392" priority="2503" operator="lessThan">
      <formula>0</formula>
    </cfRule>
  </conditionalFormatting>
  <conditionalFormatting sqref="H10:H1048576">
    <cfRule type="cellIs" dxfId="391" priority="2502" operator="lessThan">
      <formula>0</formula>
    </cfRule>
  </conditionalFormatting>
  <conditionalFormatting sqref="H10:H1048576">
    <cfRule type="cellIs" dxfId="390" priority="2501" operator="lessThan">
      <formula>0</formula>
    </cfRule>
  </conditionalFormatting>
  <conditionalFormatting sqref="H10:H1048576">
    <cfRule type="cellIs" dxfId="389" priority="2500" operator="lessThan">
      <formula>0</formula>
    </cfRule>
  </conditionalFormatting>
  <conditionalFormatting sqref="H10:H1048576">
    <cfRule type="cellIs" dxfId="388" priority="2499" operator="lessThan">
      <formula>0</formula>
    </cfRule>
  </conditionalFormatting>
  <conditionalFormatting sqref="H10:H1048576">
    <cfRule type="cellIs" dxfId="387" priority="2498" operator="lessThan">
      <formula>0</formula>
    </cfRule>
  </conditionalFormatting>
  <conditionalFormatting sqref="H10:H1048576">
    <cfRule type="cellIs" dxfId="386" priority="2497" operator="lessThan">
      <formula>0</formula>
    </cfRule>
  </conditionalFormatting>
  <conditionalFormatting sqref="H10:H1048576">
    <cfRule type="cellIs" dxfId="385" priority="2496" operator="lessThan">
      <formula>0</formula>
    </cfRule>
  </conditionalFormatting>
  <conditionalFormatting sqref="H10:H1048576">
    <cfRule type="cellIs" dxfId="384" priority="2495" operator="lessThan">
      <formula>0</formula>
    </cfRule>
  </conditionalFormatting>
  <conditionalFormatting sqref="H10:H1048576">
    <cfRule type="cellIs" dxfId="383" priority="2494" operator="lessThan">
      <formula>0</formula>
    </cfRule>
  </conditionalFormatting>
  <conditionalFormatting sqref="H10:H1048576">
    <cfRule type="cellIs" dxfId="382" priority="2493" operator="lessThan">
      <formula>0</formula>
    </cfRule>
  </conditionalFormatting>
  <conditionalFormatting sqref="H10:H1048576">
    <cfRule type="cellIs" dxfId="381" priority="2492" operator="lessThan">
      <formula>0</formula>
    </cfRule>
  </conditionalFormatting>
  <conditionalFormatting sqref="H10:H1048576">
    <cfRule type="cellIs" dxfId="380" priority="2491" operator="lessThan">
      <formula>0</formula>
    </cfRule>
  </conditionalFormatting>
  <conditionalFormatting sqref="H10:H1048576">
    <cfRule type="cellIs" dxfId="379" priority="2490" operator="lessThan">
      <formula>0</formula>
    </cfRule>
  </conditionalFormatting>
  <conditionalFormatting sqref="H10:H1048576">
    <cfRule type="cellIs" dxfId="378" priority="2489" operator="lessThan">
      <formula>0</formula>
    </cfRule>
  </conditionalFormatting>
  <conditionalFormatting sqref="H10:H1048576">
    <cfRule type="cellIs" dxfId="377" priority="2488" operator="lessThan">
      <formula>0</formula>
    </cfRule>
  </conditionalFormatting>
  <conditionalFormatting sqref="H10:H1048576">
    <cfRule type="cellIs" dxfId="376" priority="2487" operator="lessThan">
      <formula>0</formula>
    </cfRule>
  </conditionalFormatting>
  <conditionalFormatting sqref="H10:H1048576">
    <cfRule type="cellIs" dxfId="375" priority="2486" operator="lessThan">
      <formula>0</formula>
    </cfRule>
  </conditionalFormatting>
  <conditionalFormatting sqref="H10:H1048576">
    <cfRule type="cellIs" dxfId="374" priority="2485" operator="lessThan">
      <formula>0</formula>
    </cfRule>
  </conditionalFormatting>
  <conditionalFormatting sqref="H10:H1048576">
    <cfRule type="cellIs" dxfId="373" priority="2484" operator="lessThan">
      <formula>0</formula>
    </cfRule>
  </conditionalFormatting>
  <conditionalFormatting sqref="H10:H1048576">
    <cfRule type="cellIs" dxfId="372" priority="2483" operator="lessThan">
      <formula>0</formula>
    </cfRule>
  </conditionalFormatting>
  <conditionalFormatting sqref="H10:H1048576">
    <cfRule type="cellIs" dxfId="371" priority="2482" operator="lessThan">
      <formula>0</formula>
    </cfRule>
  </conditionalFormatting>
  <conditionalFormatting sqref="H10:H1048576">
    <cfRule type="cellIs" dxfId="370" priority="2481" operator="lessThan">
      <formula>0</formula>
    </cfRule>
  </conditionalFormatting>
  <conditionalFormatting sqref="H10:H1048576">
    <cfRule type="cellIs" dxfId="369" priority="2480" operator="lessThan">
      <formula>0</formula>
    </cfRule>
  </conditionalFormatting>
  <conditionalFormatting sqref="H10:H1048576">
    <cfRule type="cellIs" dxfId="368" priority="2479" operator="lessThan">
      <formula>0</formula>
    </cfRule>
  </conditionalFormatting>
  <conditionalFormatting sqref="H10:H1048576">
    <cfRule type="cellIs" dxfId="367" priority="2478" operator="lessThan">
      <formula>0</formula>
    </cfRule>
  </conditionalFormatting>
  <conditionalFormatting sqref="H10:H1048576">
    <cfRule type="cellIs" dxfId="366" priority="2477" operator="lessThan">
      <formula>0</formula>
    </cfRule>
  </conditionalFormatting>
  <conditionalFormatting sqref="H10:H1048576">
    <cfRule type="cellIs" dxfId="365" priority="2476" operator="lessThan">
      <formula>0</formula>
    </cfRule>
  </conditionalFormatting>
  <conditionalFormatting sqref="H10:H1048576">
    <cfRule type="cellIs" dxfId="364" priority="2475" operator="lessThan">
      <formula>0</formula>
    </cfRule>
  </conditionalFormatting>
  <conditionalFormatting sqref="H10:H1048576">
    <cfRule type="cellIs" dxfId="363" priority="2474" operator="lessThan">
      <formula>0</formula>
    </cfRule>
  </conditionalFormatting>
  <conditionalFormatting sqref="H10:H1048576">
    <cfRule type="cellIs" dxfId="362" priority="2473" operator="lessThan">
      <formula>0</formula>
    </cfRule>
  </conditionalFormatting>
  <conditionalFormatting sqref="H10:H1048576">
    <cfRule type="cellIs" dxfId="361" priority="2472" operator="lessThan">
      <formula>0</formula>
    </cfRule>
  </conditionalFormatting>
  <conditionalFormatting sqref="H10:H1048576">
    <cfRule type="cellIs" dxfId="360" priority="2471" operator="lessThan">
      <formula>0</formula>
    </cfRule>
  </conditionalFormatting>
  <conditionalFormatting sqref="H10:H1048576">
    <cfRule type="cellIs" dxfId="359" priority="2470" operator="lessThan">
      <formula>0</formula>
    </cfRule>
  </conditionalFormatting>
  <conditionalFormatting sqref="H10:H1048576">
    <cfRule type="cellIs" dxfId="358" priority="2469" operator="lessThan">
      <formula>0</formula>
    </cfRule>
  </conditionalFormatting>
  <conditionalFormatting sqref="H10:H1048576">
    <cfRule type="cellIs" dxfId="357" priority="2468" operator="lessThan">
      <formula>0</formula>
    </cfRule>
  </conditionalFormatting>
  <conditionalFormatting sqref="H10:H1048576">
    <cfRule type="cellIs" dxfId="356" priority="2467" operator="lessThan">
      <formula>0</formula>
    </cfRule>
  </conditionalFormatting>
  <conditionalFormatting sqref="H10:H1048576">
    <cfRule type="cellIs" dxfId="355" priority="2466" operator="lessThan">
      <formula>0</formula>
    </cfRule>
  </conditionalFormatting>
  <conditionalFormatting sqref="H10:H1048576">
    <cfRule type="cellIs" dxfId="354" priority="2465" operator="lessThan">
      <formula>0</formula>
    </cfRule>
  </conditionalFormatting>
  <conditionalFormatting sqref="H10:H1048576">
    <cfRule type="cellIs" dxfId="353" priority="2464" operator="lessThan">
      <formula>0</formula>
    </cfRule>
  </conditionalFormatting>
  <conditionalFormatting sqref="H10:H1048576">
    <cfRule type="cellIs" dxfId="352" priority="2463" operator="lessThan">
      <formula>0</formula>
    </cfRule>
  </conditionalFormatting>
  <conditionalFormatting sqref="H10:H1048576">
    <cfRule type="cellIs" dxfId="351" priority="2462" operator="lessThan">
      <formula>0</formula>
    </cfRule>
  </conditionalFormatting>
  <conditionalFormatting sqref="H10:H1048576">
    <cfRule type="cellIs" dxfId="350" priority="2461" operator="lessThan">
      <formula>0</formula>
    </cfRule>
  </conditionalFormatting>
  <conditionalFormatting sqref="H10:H1048576">
    <cfRule type="cellIs" dxfId="349" priority="2460" operator="lessThan">
      <formula>0</formula>
    </cfRule>
  </conditionalFormatting>
  <conditionalFormatting sqref="H10:H1048576">
    <cfRule type="cellIs" dxfId="348" priority="2459" operator="lessThan">
      <formula>0</formula>
    </cfRule>
  </conditionalFormatting>
  <conditionalFormatting sqref="H10:H1048576">
    <cfRule type="cellIs" dxfId="347" priority="2458" operator="lessThan">
      <formula>0</formula>
    </cfRule>
  </conditionalFormatting>
  <conditionalFormatting sqref="H10:H1048576">
    <cfRule type="cellIs" dxfId="346" priority="2457" operator="lessThan">
      <formula>0</formula>
    </cfRule>
  </conditionalFormatting>
  <conditionalFormatting sqref="H10:H1048576">
    <cfRule type="cellIs" dxfId="345" priority="2456" operator="lessThan">
      <formula>0</formula>
    </cfRule>
  </conditionalFormatting>
  <conditionalFormatting sqref="H10:H1048576">
    <cfRule type="cellIs" dxfId="344" priority="2455" operator="lessThan">
      <formula>0</formula>
    </cfRule>
  </conditionalFormatting>
  <conditionalFormatting sqref="H10:H1048576">
    <cfRule type="cellIs" dxfId="343" priority="2454" operator="lessThan">
      <formula>0</formula>
    </cfRule>
  </conditionalFormatting>
  <conditionalFormatting sqref="H10:H1048576">
    <cfRule type="cellIs" dxfId="342" priority="2453" operator="lessThan">
      <formula>0</formula>
    </cfRule>
  </conditionalFormatting>
  <conditionalFormatting sqref="H10:H1048576">
    <cfRule type="cellIs" dxfId="341" priority="2452" operator="lessThan">
      <formula>0</formula>
    </cfRule>
  </conditionalFormatting>
  <conditionalFormatting sqref="H10:H1048576">
    <cfRule type="cellIs" dxfId="340" priority="2451" operator="lessThan">
      <formula>0</formula>
    </cfRule>
  </conditionalFormatting>
  <conditionalFormatting sqref="H10:H1048576">
    <cfRule type="cellIs" dxfId="339" priority="2450" operator="lessThan">
      <formula>0</formula>
    </cfRule>
  </conditionalFormatting>
  <conditionalFormatting sqref="H10:H1048576">
    <cfRule type="cellIs" dxfId="338" priority="2449" operator="lessThan">
      <formula>0</formula>
    </cfRule>
  </conditionalFormatting>
  <conditionalFormatting sqref="H10:H1048576">
    <cfRule type="cellIs" dxfId="337" priority="2448" operator="lessThan">
      <formula>0</formula>
    </cfRule>
  </conditionalFormatting>
  <conditionalFormatting sqref="H10:H1048576">
    <cfRule type="cellIs" dxfId="336" priority="2447" operator="lessThan">
      <formula>0</formula>
    </cfRule>
  </conditionalFormatting>
  <conditionalFormatting sqref="H10:H1048576">
    <cfRule type="cellIs" dxfId="335" priority="2446" operator="lessThan">
      <formula>0</formula>
    </cfRule>
  </conditionalFormatting>
  <conditionalFormatting sqref="H10:H1048576">
    <cfRule type="cellIs" dxfId="334" priority="2445" operator="lessThan">
      <formula>0</formula>
    </cfRule>
  </conditionalFormatting>
  <conditionalFormatting sqref="H10:H1048576">
    <cfRule type="cellIs" dxfId="333" priority="2444" operator="lessThan">
      <formula>0</formula>
    </cfRule>
  </conditionalFormatting>
  <conditionalFormatting sqref="H10:H1048576">
    <cfRule type="cellIs" dxfId="332" priority="2443" operator="lessThan">
      <formula>0</formula>
    </cfRule>
  </conditionalFormatting>
  <conditionalFormatting sqref="H10:H1048576">
    <cfRule type="cellIs" dxfId="331" priority="2442" operator="lessThan">
      <formula>0</formula>
    </cfRule>
  </conditionalFormatting>
  <conditionalFormatting sqref="H10:H1048576">
    <cfRule type="cellIs" dxfId="330" priority="2441" operator="lessThan">
      <formula>0</formula>
    </cfRule>
  </conditionalFormatting>
  <conditionalFormatting sqref="H10:H1048576">
    <cfRule type="cellIs" dxfId="329" priority="2440" operator="lessThan">
      <formula>0</formula>
    </cfRule>
  </conditionalFormatting>
  <conditionalFormatting sqref="H10:H1048576">
    <cfRule type="cellIs" dxfId="328" priority="2439" operator="lessThan">
      <formula>0</formula>
    </cfRule>
  </conditionalFormatting>
  <conditionalFormatting sqref="H10:H1048576">
    <cfRule type="cellIs" dxfId="327" priority="2438" operator="lessThan">
      <formula>0</formula>
    </cfRule>
  </conditionalFormatting>
  <conditionalFormatting sqref="H10:H1048576">
    <cfRule type="cellIs" dxfId="326" priority="2437" operator="lessThan">
      <formula>0</formula>
    </cfRule>
  </conditionalFormatting>
  <conditionalFormatting sqref="H10:H1048576">
    <cfRule type="cellIs" dxfId="325" priority="2436" operator="lessThan">
      <formula>0</formula>
    </cfRule>
  </conditionalFormatting>
  <conditionalFormatting sqref="H10:H1048576">
    <cfRule type="cellIs" dxfId="324" priority="2435" operator="lessThan">
      <formula>0</formula>
    </cfRule>
  </conditionalFormatting>
  <conditionalFormatting sqref="H10:H1048576">
    <cfRule type="cellIs" dxfId="323" priority="2434" operator="lessThan">
      <formula>0</formula>
    </cfRule>
  </conditionalFormatting>
  <conditionalFormatting sqref="H10:H1048576">
    <cfRule type="cellIs" dxfId="322" priority="2433" operator="lessThan">
      <formula>0</formula>
    </cfRule>
  </conditionalFormatting>
  <conditionalFormatting sqref="H10:H1048576">
    <cfRule type="cellIs" dxfId="321" priority="2432" operator="lessThan">
      <formula>0</formula>
    </cfRule>
  </conditionalFormatting>
  <conditionalFormatting sqref="H10:H1048576">
    <cfRule type="cellIs" dxfId="320" priority="2431" operator="lessThan">
      <formula>0</formula>
    </cfRule>
  </conditionalFormatting>
  <conditionalFormatting sqref="H10:H1048576">
    <cfRule type="cellIs" dxfId="319" priority="2430" operator="lessThan">
      <formula>0</formula>
    </cfRule>
  </conditionalFormatting>
  <conditionalFormatting sqref="H10:H1048576">
    <cfRule type="cellIs" dxfId="318" priority="2429" operator="lessThan">
      <formula>0</formula>
    </cfRule>
  </conditionalFormatting>
  <conditionalFormatting sqref="H10:H1048576">
    <cfRule type="cellIs" dxfId="317" priority="2428" operator="lessThan">
      <formula>0</formula>
    </cfRule>
  </conditionalFormatting>
  <conditionalFormatting sqref="H10:H1048576">
    <cfRule type="cellIs" dxfId="316" priority="2427" operator="lessThan">
      <formula>0</formula>
    </cfRule>
  </conditionalFormatting>
  <conditionalFormatting sqref="H10:H1048576">
    <cfRule type="cellIs" dxfId="315" priority="2426" operator="lessThan">
      <formula>0</formula>
    </cfRule>
  </conditionalFormatting>
  <conditionalFormatting sqref="H10:H1048576">
    <cfRule type="cellIs" dxfId="314" priority="2425" operator="lessThan">
      <formula>0</formula>
    </cfRule>
  </conditionalFormatting>
  <conditionalFormatting sqref="H10:H1048576">
    <cfRule type="cellIs" dxfId="313" priority="2424" operator="lessThan">
      <formula>0</formula>
    </cfRule>
  </conditionalFormatting>
  <conditionalFormatting sqref="H10:H1048576">
    <cfRule type="cellIs" dxfId="312" priority="2423" operator="lessThan">
      <formula>0</formula>
    </cfRule>
  </conditionalFormatting>
  <conditionalFormatting sqref="H10:H1048576">
    <cfRule type="cellIs" dxfId="311" priority="2422" operator="lessThan">
      <formula>0</formula>
    </cfRule>
  </conditionalFormatting>
  <conditionalFormatting sqref="H10:H1048576">
    <cfRule type="cellIs" dxfId="310" priority="2421" operator="lessThan">
      <formula>0</formula>
    </cfRule>
  </conditionalFormatting>
  <conditionalFormatting sqref="H10:H1048576">
    <cfRule type="cellIs" dxfId="309" priority="2420" operator="lessThan">
      <formula>0</formula>
    </cfRule>
  </conditionalFormatting>
  <conditionalFormatting sqref="H10:H1048576">
    <cfRule type="cellIs" dxfId="308" priority="2419" operator="lessThan">
      <formula>0</formula>
    </cfRule>
  </conditionalFormatting>
  <conditionalFormatting sqref="H10:H1048576">
    <cfRule type="cellIs" dxfId="307" priority="2418" operator="lessThan">
      <formula>0</formula>
    </cfRule>
  </conditionalFormatting>
  <conditionalFormatting sqref="H10:H1048576">
    <cfRule type="cellIs" dxfId="306" priority="2417" operator="lessThan">
      <formula>0</formula>
    </cfRule>
  </conditionalFormatting>
  <conditionalFormatting sqref="H10:H1048576">
    <cfRule type="cellIs" dxfId="305" priority="2416" operator="lessThan">
      <formula>0</formula>
    </cfRule>
  </conditionalFormatting>
  <conditionalFormatting sqref="H10:H1048576">
    <cfRule type="cellIs" dxfId="304" priority="2415" operator="lessThan">
      <formula>0</formula>
    </cfRule>
  </conditionalFormatting>
  <conditionalFormatting sqref="H10:H1048576">
    <cfRule type="cellIs" dxfId="303" priority="2414" operator="lessThan">
      <formula>0</formula>
    </cfRule>
  </conditionalFormatting>
  <conditionalFormatting sqref="H10:H1048576">
    <cfRule type="cellIs" dxfId="302" priority="2413" operator="lessThan">
      <formula>0</formula>
    </cfRule>
  </conditionalFormatting>
  <conditionalFormatting sqref="H10:H1048576">
    <cfRule type="cellIs" dxfId="301" priority="2412" operator="lessThan">
      <formula>0</formula>
    </cfRule>
  </conditionalFormatting>
  <conditionalFormatting sqref="H10:H1048576">
    <cfRule type="cellIs" dxfId="300" priority="2411" operator="lessThan">
      <formula>0</formula>
    </cfRule>
  </conditionalFormatting>
  <conditionalFormatting sqref="H10:H1048576">
    <cfRule type="cellIs" dxfId="299" priority="2410" operator="lessThan">
      <formula>0</formula>
    </cfRule>
  </conditionalFormatting>
  <conditionalFormatting sqref="H10:H1048576">
    <cfRule type="cellIs" dxfId="298" priority="2409" operator="lessThan">
      <formula>0</formula>
    </cfRule>
  </conditionalFormatting>
  <conditionalFormatting sqref="H10:H1048576">
    <cfRule type="cellIs" dxfId="297" priority="2408" operator="lessThan">
      <formula>0</formula>
    </cfRule>
  </conditionalFormatting>
  <conditionalFormatting sqref="H10:H1048576">
    <cfRule type="cellIs" dxfId="296" priority="2407" operator="lessThan">
      <formula>0</formula>
    </cfRule>
  </conditionalFormatting>
  <conditionalFormatting sqref="H10:H1048576">
    <cfRule type="cellIs" dxfId="295" priority="2406" operator="lessThan">
      <formula>0</formula>
    </cfRule>
  </conditionalFormatting>
  <conditionalFormatting sqref="H10:H1048576">
    <cfRule type="cellIs" dxfId="294" priority="2405" operator="lessThan">
      <formula>0</formula>
    </cfRule>
  </conditionalFormatting>
  <conditionalFormatting sqref="H10:H1048576">
    <cfRule type="cellIs" dxfId="293" priority="2404" operator="lessThan">
      <formula>0</formula>
    </cfRule>
  </conditionalFormatting>
  <conditionalFormatting sqref="H10:H1048576">
    <cfRule type="cellIs" dxfId="292" priority="2403" operator="lessThan">
      <formula>0</formula>
    </cfRule>
  </conditionalFormatting>
  <conditionalFormatting sqref="H10:H1048576">
    <cfRule type="cellIs" dxfId="291" priority="2402" operator="lessThan">
      <formula>0</formula>
    </cfRule>
  </conditionalFormatting>
  <conditionalFormatting sqref="H10:H1048576">
    <cfRule type="cellIs" dxfId="290" priority="2401" operator="lessThan">
      <formula>0</formula>
    </cfRule>
  </conditionalFormatting>
  <conditionalFormatting sqref="H10:H1048576">
    <cfRule type="cellIs" dxfId="289" priority="2400" operator="lessThan">
      <formula>0</formula>
    </cfRule>
  </conditionalFormatting>
  <conditionalFormatting sqref="H10:H1048576">
    <cfRule type="cellIs" dxfId="288" priority="2399" operator="lessThan">
      <formula>0</formula>
    </cfRule>
  </conditionalFormatting>
  <conditionalFormatting sqref="H10:H1048576">
    <cfRule type="cellIs" dxfId="287" priority="2398" operator="lessThan">
      <formula>0</formula>
    </cfRule>
  </conditionalFormatting>
  <conditionalFormatting sqref="H10:H1048576">
    <cfRule type="cellIs" dxfId="286" priority="2397" operator="lessThan">
      <formula>0</formula>
    </cfRule>
  </conditionalFormatting>
  <conditionalFormatting sqref="H10:H1048576">
    <cfRule type="cellIs" dxfId="285" priority="2396" operator="lessThan">
      <formula>0</formula>
    </cfRule>
  </conditionalFormatting>
  <conditionalFormatting sqref="H10:H1048576">
    <cfRule type="cellIs" dxfId="284" priority="2395" operator="lessThan">
      <formula>0</formula>
    </cfRule>
  </conditionalFormatting>
  <conditionalFormatting sqref="H10:H1048576">
    <cfRule type="cellIs" dxfId="283" priority="2394" operator="lessThan">
      <formula>0</formula>
    </cfRule>
  </conditionalFormatting>
  <conditionalFormatting sqref="H10:H1048576">
    <cfRule type="cellIs" dxfId="282" priority="2393" operator="lessThan">
      <formula>0</formula>
    </cfRule>
  </conditionalFormatting>
  <conditionalFormatting sqref="H10:H1048576">
    <cfRule type="cellIs" dxfId="281" priority="2392" operator="lessThan">
      <formula>0</formula>
    </cfRule>
  </conditionalFormatting>
  <conditionalFormatting sqref="H10:H1048576">
    <cfRule type="cellIs" dxfId="280" priority="2391" operator="lessThan">
      <formula>0</formula>
    </cfRule>
  </conditionalFormatting>
  <conditionalFormatting sqref="H10:H1048576">
    <cfRule type="cellIs" dxfId="279" priority="2390" operator="lessThan">
      <formula>0</formula>
    </cfRule>
  </conditionalFormatting>
  <conditionalFormatting sqref="H10:H1048576">
    <cfRule type="cellIs" dxfId="278" priority="2389" operator="lessThan">
      <formula>0</formula>
    </cfRule>
  </conditionalFormatting>
  <conditionalFormatting sqref="H10:H1048576">
    <cfRule type="cellIs" dxfId="277" priority="2388" operator="lessThan">
      <formula>0</formula>
    </cfRule>
  </conditionalFormatting>
  <conditionalFormatting sqref="H10:H1048576">
    <cfRule type="cellIs" dxfId="276" priority="2387" operator="lessThan">
      <formula>0</formula>
    </cfRule>
  </conditionalFormatting>
  <conditionalFormatting sqref="H10:H1048576">
    <cfRule type="cellIs" dxfId="275" priority="2386" operator="lessThan">
      <formula>0</formula>
    </cfRule>
  </conditionalFormatting>
  <conditionalFormatting sqref="H10:H1048576">
    <cfRule type="cellIs" dxfId="274" priority="2385" operator="lessThan">
      <formula>0</formula>
    </cfRule>
  </conditionalFormatting>
  <conditionalFormatting sqref="H10:H1048576">
    <cfRule type="cellIs" dxfId="273" priority="2384" operator="lessThan">
      <formula>0</formula>
    </cfRule>
  </conditionalFormatting>
  <conditionalFormatting sqref="H10:H1048576">
    <cfRule type="cellIs" dxfId="272" priority="2383" operator="lessThan">
      <formula>0</formula>
    </cfRule>
  </conditionalFormatting>
  <conditionalFormatting sqref="H10:H1048576">
    <cfRule type="cellIs" dxfId="271" priority="2382" operator="lessThan">
      <formula>0</formula>
    </cfRule>
  </conditionalFormatting>
  <conditionalFormatting sqref="H10:H1048576">
    <cfRule type="cellIs" dxfId="270" priority="2381" operator="lessThan">
      <formula>0</formula>
    </cfRule>
  </conditionalFormatting>
  <conditionalFormatting sqref="H10:H1048576">
    <cfRule type="cellIs" dxfId="269" priority="2380" operator="lessThan">
      <formula>0</formula>
    </cfRule>
  </conditionalFormatting>
  <conditionalFormatting sqref="H10:H1048576">
    <cfRule type="cellIs" dxfId="268" priority="2379" operator="lessThan">
      <formula>0</formula>
    </cfRule>
  </conditionalFormatting>
  <conditionalFormatting sqref="H10:H1048576">
    <cfRule type="cellIs" dxfId="267" priority="2378" operator="lessThan">
      <formula>0</formula>
    </cfRule>
  </conditionalFormatting>
  <conditionalFormatting sqref="H10:H1048576">
    <cfRule type="cellIs" dxfId="266" priority="2377" operator="lessThan">
      <formula>0</formula>
    </cfRule>
  </conditionalFormatting>
  <conditionalFormatting sqref="H10:H1048576">
    <cfRule type="cellIs" dxfId="265" priority="2376" operator="lessThan">
      <formula>0</formula>
    </cfRule>
  </conditionalFormatting>
  <conditionalFormatting sqref="H10:H1048576">
    <cfRule type="cellIs" dxfId="264" priority="2375" operator="lessThan">
      <formula>0</formula>
    </cfRule>
  </conditionalFormatting>
  <conditionalFormatting sqref="H10:H1048576">
    <cfRule type="cellIs" dxfId="263" priority="2374" operator="lessThan">
      <formula>0</formula>
    </cfRule>
  </conditionalFormatting>
  <conditionalFormatting sqref="H10:H1048576">
    <cfRule type="cellIs" dxfId="262" priority="2373" operator="lessThan">
      <formula>0</formula>
    </cfRule>
  </conditionalFormatting>
  <conditionalFormatting sqref="H10:H1048576">
    <cfRule type="cellIs" dxfId="261" priority="2372" operator="lessThan">
      <formula>0</formula>
    </cfRule>
  </conditionalFormatting>
  <conditionalFormatting sqref="H10:H1048576">
    <cfRule type="cellIs" dxfId="260" priority="2371" operator="lessThan">
      <formula>0</formula>
    </cfRule>
  </conditionalFormatting>
  <conditionalFormatting sqref="H10:H1048576">
    <cfRule type="cellIs" dxfId="259" priority="2370" operator="lessThan">
      <formula>0</formula>
    </cfRule>
  </conditionalFormatting>
  <conditionalFormatting sqref="H10:H1048576">
    <cfRule type="cellIs" dxfId="258" priority="2369" operator="lessThan">
      <formula>0</formula>
    </cfRule>
  </conditionalFormatting>
  <conditionalFormatting sqref="H10:H1048576">
    <cfRule type="cellIs" dxfId="257" priority="2368" operator="lessThan">
      <formula>0</formula>
    </cfRule>
  </conditionalFormatting>
  <conditionalFormatting sqref="H10:H1048576">
    <cfRule type="cellIs" dxfId="256" priority="2367" operator="lessThan">
      <formula>0</formula>
    </cfRule>
  </conditionalFormatting>
  <conditionalFormatting sqref="H10:H1048576">
    <cfRule type="cellIs" dxfId="255" priority="2366" operator="lessThan">
      <formula>0</formula>
    </cfRule>
  </conditionalFormatting>
  <conditionalFormatting sqref="H10:H1048576">
    <cfRule type="cellIs" dxfId="254" priority="2365" operator="lessThan">
      <formula>0</formula>
    </cfRule>
  </conditionalFormatting>
  <conditionalFormatting sqref="H10:H1048576">
    <cfRule type="cellIs" dxfId="253" priority="2364" operator="lessThan">
      <formula>0</formula>
    </cfRule>
  </conditionalFormatting>
  <conditionalFormatting sqref="H10:H1048576">
    <cfRule type="cellIs" dxfId="252" priority="2363" operator="lessThan">
      <formula>0</formula>
    </cfRule>
  </conditionalFormatting>
  <conditionalFormatting sqref="H10:H1048576">
    <cfRule type="cellIs" dxfId="251" priority="2362" operator="lessThan">
      <formula>0</formula>
    </cfRule>
  </conditionalFormatting>
  <conditionalFormatting sqref="H10:H1048576">
    <cfRule type="cellIs" dxfId="250" priority="2361" operator="lessThan">
      <formula>0</formula>
    </cfRule>
  </conditionalFormatting>
  <conditionalFormatting sqref="H10:H1048576">
    <cfRule type="cellIs" dxfId="249" priority="2360" operator="lessThan">
      <formula>0</formula>
    </cfRule>
  </conditionalFormatting>
  <conditionalFormatting sqref="H10:H1048576">
    <cfRule type="cellIs" dxfId="248" priority="2359" operator="lessThan">
      <formula>0</formula>
    </cfRule>
  </conditionalFormatting>
  <conditionalFormatting sqref="H10:H1048576">
    <cfRule type="cellIs" dxfId="247" priority="2358" operator="lessThan">
      <formula>0</formula>
    </cfRule>
  </conditionalFormatting>
  <conditionalFormatting sqref="H10:H1048576">
    <cfRule type="cellIs" dxfId="246" priority="2357" operator="lessThan">
      <formula>0</formula>
    </cfRule>
  </conditionalFormatting>
  <conditionalFormatting sqref="H10:H1048576">
    <cfRule type="cellIs" dxfId="245" priority="2356" operator="lessThan">
      <formula>0</formula>
    </cfRule>
  </conditionalFormatting>
  <conditionalFormatting sqref="H10:H1048576">
    <cfRule type="cellIs" dxfId="244" priority="2355" operator="lessThan">
      <formula>0</formula>
    </cfRule>
  </conditionalFormatting>
  <conditionalFormatting sqref="H10:H1048576">
    <cfRule type="cellIs" dxfId="243" priority="2354" operator="lessThan">
      <formula>0</formula>
    </cfRule>
  </conditionalFormatting>
  <conditionalFormatting sqref="H10:H1048576">
    <cfRule type="cellIs" dxfId="242" priority="2353" operator="lessThan">
      <formula>0</formula>
    </cfRule>
  </conditionalFormatting>
  <conditionalFormatting sqref="H10:H1048576">
    <cfRule type="cellIs" dxfId="241" priority="2352" operator="lessThan">
      <formula>0</formula>
    </cfRule>
  </conditionalFormatting>
  <conditionalFormatting sqref="H10:H1048576">
    <cfRule type="cellIs" dxfId="240" priority="2351" operator="lessThan">
      <formula>0</formula>
    </cfRule>
  </conditionalFormatting>
  <conditionalFormatting sqref="H10:H1048576">
    <cfRule type="cellIs" dxfId="239" priority="2350" operator="lessThan">
      <formula>0</formula>
    </cfRule>
  </conditionalFormatting>
  <conditionalFormatting sqref="H10:H1048576">
    <cfRule type="cellIs" dxfId="238" priority="2349" operator="lessThan">
      <formula>0</formula>
    </cfRule>
  </conditionalFormatting>
  <conditionalFormatting sqref="H10:H1048576">
    <cfRule type="cellIs" dxfId="237" priority="2348" operator="lessThan">
      <formula>0</formula>
    </cfRule>
  </conditionalFormatting>
  <conditionalFormatting sqref="H10:H1048576">
    <cfRule type="cellIs" dxfId="236" priority="2347" operator="lessThan">
      <formula>0</formula>
    </cfRule>
  </conditionalFormatting>
  <conditionalFormatting sqref="H10:H1048576">
    <cfRule type="cellIs" dxfId="235" priority="2346" operator="lessThan">
      <formula>0</formula>
    </cfRule>
  </conditionalFormatting>
  <conditionalFormatting sqref="H10:H1048576">
    <cfRule type="cellIs" dxfId="234" priority="2345" operator="lessThan">
      <formula>0</formula>
    </cfRule>
  </conditionalFormatting>
  <conditionalFormatting sqref="H10:H1048576">
    <cfRule type="cellIs" dxfId="233" priority="2344" operator="lessThan">
      <formula>0</formula>
    </cfRule>
  </conditionalFormatting>
  <conditionalFormatting sqref="H10:H1048576">
    <cfRule type="cellIs" dxfId="232" priority="2343" operator="lessThan">
      <formula>0</formula>
    </cfRule>
  </conditionalFormatting>
  <conditionalFormatting sqref="H10:H1048576">
    <cfRule type="cellIs" dxfId="231" priority="2342" operator="lessThan">
      <formula>0</formula>
    </cfRule>
  </conditionalFormatting>
  <conditionalFormatting sqref="H10:H1048576">
    <cfRule type="cellIs" dxfId="230" priority="2341" operator="lessThan">
      <formula>0</formula>
    </cfRule>
  </conditionalFormatting>
  <conditionalFormatting sqref="H10:H1048576">
    <cfRule type="cellIs" dxfId="229" priority="2340" operator="lessThan">
      <formula>0</formula>
    </cfRule>
  </conditionalFormatting>
  <conditionalFormatting sqref="H10:H1048576">
    <cfRule type="cellIs" dxfId="228" priority="2339" operator="lessThan">
      <formula>0</formula>
    </cfRule>
  </conditionalFormatting>
  <conditionalFormatting sqref="H10:H1048576">
    <cfRule type="cellIs" dxfId="227" priority="2338" operator="lessThan">
      <formula>0</formula>
    </cfRule>
  </conditionalFormatting>
  <conditionalFormatting sqref="H10:H1048576">
    <cfRule type="cellIs" dxfId="226" priority="2337" operator="lessThan">
      <formula>0</formula>
    </cfRule>
  </conditionalFormatting>
  <conditionalFormatting sqref="H10:H1048576">
    <cfRule type="cellIs" dxfId="225" priority="2336" operator="lessThan">
      <formula>0</formula>
    </cfRule>
  </conditionalFormatting>
  <conditionalFormatting sqref="H10:H1048576">
    <cfRule type="cellIs" dxfId="224" priority="2335" operator="lessThan">
      <formula>0</formula>
    </cfRule>
  </conditionalFormatting>
  <conditionalFormatting sqref="H10:H1048576">
    <cfRule type="cellIs" dxfId="223" priority="2334" operator="lessThan">
      <formula>0</formula>
    </cfRule>
  </conditionalFormatting>
  <conditionalFormatting sqref="H10:H1048576">
    <cfRule type="cellIs" dxfId="222" priority="2333" operator="lessThan">
      <formula>0</formula>
    </cfRule>
  </conditionalFormatting>
  <conditionalFormatting sqref="H10:H1048576">
    <cfRule type="cellIs" dxfId="221" priority="2332" operator="lessThan">
      <formula>0</formula>
    </cfRule>
  </conditionalFormatting>
  <conditionalFormatting sqref="H10:H1048576">
    <cfRule type="cellIs" dxfId="220" priority="2331" operator="lessThan">
      <formula>0</formula>
    </cfRule>
  </conditionalFormatting>
  <conditionalFormatting sqref="H1:H1048576">
    <cfRule type="cellIs" dxfId="219" priority="2330" operator="lessThan">
      <formula>0</formula>
    </cfRule>
  </conditionalFormatting>
  <conditionalFormatting sqref="H1:H1048576">
    <cfRule type="cellIs" dxfId="218" priority="2329" operator="lessThan">
      <formula>0</formula>
    </cfRule>
  </conditionalFormatting>
  <conditionalFormatting sqref="H1:H1048576">
    <cfRule type="cellIs" dxfId="217" priority="2328" operator="lessThan">
      <formula>0</formula>
    </cfRule>
  </conditionalFormatting>
  <conditionalFormatting sqref="H1:H1048576">
    <cfRule type="cellIs" dxfId="216" priority="2327" operator="lessThan">
      <formula>0</formula>
    </cfRule>
  </conditionalFormatting>
  <conditionalFormatting sqref="H1:H1048576">
    <cfRule type="cellIs" dxfId="215" priority="2326" operator="lessThan">
      <formula>0</formula>
    </cfRule>
  </conditionalFormatting>
  <conditionalFormatting sqref="H1:H1048576">
    <cfRule type="cellIs" dxfId="214" priority="2325" operator="lessThan">
      <formula>0</formula>
    </cfRule>
  </conditionalFormatting>
  <conditionalFormatting sqref="H1:H1048576">
    <cfRule type="cellIs" dxfId="213" priority="2324" operator="lessThan">
      <formula>0</formula>
    </cfRule>
  </conditionalFormatting>
  <conditionalFormatting sqref="H1:H1048576">
    <cfRule type="cellIs" dxfId="212" priority="2323" operator="lessThan">
      <formula>0</formula>
    </cfRule>
  </conditionalFormatting>
  <conditionalFormatting sqref="H1:H1048576">
    <cfRule type="cellIs" dxfId="211" priority="2322" operator="lessThan">
      <formula>0</formula>
    </cfRule>
  </conditionalFormatting>
  <conditionalFormatting sqref="H1:H1048576">
    <cfRule type="cellIs" dxfId="210" priority="2321" operator="lessThan">
      <formula>0</formula>
    </cfRule>
  </conditionalFormatting>
  <conditionalFormatting sqref="H1:H1048576">
    <cfRule type="cellIs" dxfId="209" priority="2320" operator="lessThan">
      <formula>0</formula>
    </cfRule>
  </conditionalFormatting>
  <conditionalFormatting sqref="H1:H1048576">
    <cfRule type="cellIs" dxfId="208" priority="2319" operator="lessThan">
      <formula>0</formula>
    </cfRule>
  </conditionalFormatting>
  <conditionalFormatting sqref="H1:H1048576">
    <cfRule type="cellIs" dxfId="207" priority="2318" operator="lessThan">
      <formula>0</formula>
    </cfRule>
  </conditionalFormatting>
  <conditionalFormatting sqref="H1:H1048576">
    <cfRule type="cellIs" dxfId="206" priority="2317" operator="lessThan">
      <formula>0</formula>
    </cfRule>
  </conditionalFormatting>
  <conditionalFormatting sqref="H1:H1048576">
    <cfRule type="cellIs" dxfId="205" priority="2316" operator="lessThan">
      <formula>0</formula>
    </cfRule>
  </conditionalFormatting>
  <conditionalFormatting sqref="H1:H1048576">
    <cfRule type="cellIs" dxfId="204" priority="2315" operator="lessThan">
      <formula>0</formula>
    </cfRule>
  </conditionalFormatting>
  <conditionalFormatting sqref="H1:H1048576">
    <cfRule type="cellIs" dxfId="203" priority="2314" operator="lessThan">
      <formula>0</formula>
    </cfRule>
  </conditionalFormatting>
  <conditionalFormatting sqref="H1:H1048576">
    <cfRule type="cellIs" dxfId="202" priority="2313" operator="lessThan">
      <formula>0</formula>
    </cfRule>
  </conditionalFormatting>
  <conditionalFormatting sqref="H1:H1048576">
    <cfRule type="cellIs" dxfId="201" priority="2312" operator="lessThan">
      <formula>0</formula>
    </cfRule>
  </conditionalFormatting>
  <conditionalFormatting sqref="H1:H1048576">
    <cfRule type="cellIs" dxfId="200" priority="2311" operator="lessThan">
      <formula>0</formula>
    </cfRule>
  </conditionalFormatting>
  <conditionalFormatting sqref="H1:H1048576">
    <cfRule type="cellIs" dxfId="199" priority="2310" operator="lessThan">
      <formula>0</formula>
    </cfRule>
  </conditionalFormatting>
  <conditionalFormatting sqref="H1:H1048576">
    <cfRule type="cellIs" dxfId="198" priority="2309" operator="lessThan">
      <formula>0</formula>
    </cfRule>
  </conditionalFormatting>
  <conditionalFormatting sqref="H1:H1048576">
    <cfRule type="cellIs" dxfId="197" priority="2308" operator="lessThan">
      <formula>0</formula>
    </cfRule>
  </conditionalFormatting>
  <conditionalFormatting sqref="H1:H1048576">
    <cfRule type="cellIs" dxfId="196" priority="2307" operator="lessThan">
      <formula>0</formula>
    </cfRule>
  </conditionalFormatting>
  <conditionalFormatting sqref="H1:H1048576">
    <cfRule type="cellIs" dxfId="195" priority="2306" operator="lessThan">
      <formula>0</formula>
    </cfRule>
  </conditionalFormatting>
  <conditionalFormatting sqref="H1:H1048576">
    <cfRule type="cellIs" dxfId="194" priority="2305" operator="lessThan">
      <formula>0</formula>
    </cfRule>
  </conditionalFormatting>
  <conditionalFormatting sqref="H1:H1048576">
    <cfRule type="cellIs" dxfId="193" priority="2304" operator="lessThan">
      <formula>0</formula>
    </cfRule>
  </conditionalFormatting>
  <conditionalFormatting sqref="H1:H1048576">
    <cfRule type="cellIs" dxfId="192" priority="2303" operator="lessThan">
      <formula>0</formula>
    </cfRule>
  </conditionalFormatting>
  <conditionalFormatting sqref="H1:H1048576">
    <cfRule type="cellIs" dxfId="191" priority="2302" operator="lessThan">
      <formula>0</formula>
    </cfRule>
  </conditionalFormatting>
  <conditionalFormatting sqref="H1:H1048576">
    <cfRule type="cellIs" dxfId="190" priority="2301" operator="lessThan">
      <formula>0</formula>
    </cfRule>
  </conditionalFormatting>
  <conditionalFormatting sqref="H1:H1048576">
    <cfRule type="cellIs" dxfId="189" priority="2300" operator="lessThan">
      <formula>0</formula>
    </cfRule>
  </conditionalFormatting>
  <conditionalFormatting sqref="H1:H1048576">
    <cfRule type="cellIs" dxfId="188" priority="2299" operator="lessThan">
      <formula>0</formula>
    </cfRule>
  </conditionalFormatting>
  <conditionalFormatting sqref="H1:H1048576">
    <cfRule type="cellIs" dxfId="187" priority="2298" operator="lessThan">
      <formula>0</formula>
    </cfRule>
  </conditionalFormatting>
  <conditionalFormatting sqref="H1:H1048576">
    <cfRule type="cellIs" dxfId="186" priority="2297" operator="lessThan">
      <formula>0</formula>
    </cfRule>
  </conditionalFormatting>
  <conditionalFormatting sqref="H1:H1048576">
    <cfRule type="cellIs" dxfId="185" priority="2296" operator="lessThan">
      <formula>0</formula>
    </cfRule>
  </conditionalFormatting>
  <conditionalFormatting sqref="H1:H1048576">
    <cfRule type="cellIs" dxfId="184" priority="2295" operator="lessThan">
      <formula>0</formula>
    </cfRule>
  </conditionalFormatting>
  <conditionalFormatting sqref="H1:H1048576">
    <cfRule type="cellIs" dxfId="183" priority="2294" operator="lessThan">
      <formula>0</formula>
    </cfRule>
  </conditionalFormatting>
  <conditionalFormatting sqref="H1:H1048576">
    <cfRule type="cellIs" dxfId="182" priority="2293" operator="lessThan">
      <formula>0</formula>
    </cfRule>
  </conditionalFormatting>
  <conditionalFormatting sqref="H1:H1048576">
    <cfRule type="cellIs" dxfId="181" priority="2292" operator="lessThan">
      <formula>0</formula>
    </cfRule>
  </conditionalFormatting>
  <conditionalFormatting sqref="H1:H1048576">
    <cfRule type="cellIs" dxfId="180" priority="2291" operator="lessThan">
      <formula>0</formula>
    </cfRule>
  </conditionalFormatting>
  <conditionalFormatting sqref="H1:H1048576">
    <cfRule type="cellIs" dxfId="179" priority="2290" operator="lessThan">
      <formula>0</formula>
    </cfRule>
  </conditionalFormatting>
  <conditionalFormatting sqref="H1:H1048576">
    <cfRule type="cellIs" dxfId="178" priority="2289" operator="lessThan">
      <formula>0</formula>
    </cfRule>
  </conditionalFormatting>
  <conditionalFormatting sqref="H1:H1048576">
    <cfRule type="cellIs" dxfId="177" priority="2288" operator="lessThan">
      <formula>0</formula>
    </cfRule>
  </conditionalFormatting>
  <conditionalFormatting sqref="H1:H1048576">
    <cfRule type="cellIs" dxfId="176" priority="2287" operator="lessThan">
      <formula>0</formula>
    </cfRule>
  </conditionalFormatting>
  <conditionalFormatting sqref="H1:H1048576">
    <cfRule type="cellIs" dxfId="175" priority="2286" operator="lessThan">
      <formula>0</formula>
    </cfRule>
  </conditionalFormatting>
  <conditionalFormatting sqref="H1:H1048576">
    <cfRule type="cellIs" dxfId="174" priority="2285" operator="lessThan">
      <formula>0</formula>
    </cfRule>
  </conditionalFormatting>
  <conditionalFormatting sqref="H1:H1048576">
    <cfRule type="cellIs" dxfId="173" priority="2284" operator="lessThan">
      <formula>0</formula>
    </cfRule>
  </conditionalFormatting>
  <conditionalFormatting sqref="H1:H1048576">
    <cfRule type="cellIs" dxfId="172" priority="2283" operator="lessThan">
      <formula>0</formula>
    </cfRule>
  </conditionalFormatting>
  <conditionalFormatting sqref="H1:H1048576">
    <cfRule type="cellIs" dxfId="171" priority="2282" operator="lessThan">
      <formula>0</formula>
    </cfRule>
  </conditionalFormatting>
  <conditionalFormatting sqref="H1:H1048576">
    <cfRule type="cellIs" dxfId="170" priority="2281" operator="lessThan">
      <formula>0</formula>
    </cfRule>
  </conditionalFormatting>
  <conditionalFormatting sqref="H1:H1048576">
    <cfRule type="cellIs" dxfId="169" priority="2280" operator="lessThan">
      <formula>0</formula>
    </cfRule>
  </conditionalFormatting>
  <conditionalFormatting sqref="H1:H1048576">
    <cfRule type="cellIs" dxfId="168" priority="2279" operator="lessThan">
      <formula>0</formula>
    </cfRule>
  </conditionalFormatting>
  <conditionalFormatting sqref="H1:H1048576">
    <cfRule type="cellIs" dxfId="167" priority="2278" operator="lessThan">
      <formula>0</formula>
    </cfRule>
  </conditionalFormatting>
  <conditionalFormatting sqref="H1:H1048576">
    <cfRule type="cellIs" dxfId="166" priority="2277" operator="lessThan">
      <formula>0</formula>
    </cfRule>
  </conditionalFormatting>
  <conditionalFormatting sqref="H1:H1048576">
    <cfRule type="cellIs" dxfId="165" priority="2276" operator="lessThan">
      <formula>0</formula>
    </cfRule>
  </conditionalFormatting>
  <conditionalFormatting sqref="H1:H1048576">
    <cfRule type="cellIs" dxfId="164" priority="2275" operator="lessThan">
      <formula>0</formula>
    </cfRule>
  </conditionalFormatting>
  <conditionalFormatting sqref="H1:H1048576">
    <cfRule type="cellIs" dxfId="163" priority="2274" operator="lessThan">
      <formula>0</formula>
    </cfRule>
  </conditionalFormatting>
  <conditionalFormatting sqref="H1:H1048576">
    <cfRule type="cellIs" dxfId="162" priority="2273" operator="lessThan">
      <formula>0</formula>
    </cfRule>
  </conditionalFormatting>
  <conditionalFormatting sqref="H1:H1048576">
    <cfRule type="cellIs" dxfId="161" priority="2272" operator="lessThan">
      <formula>0</formula>
    </cfRule>
  </conditionalFormatting>
  <conditionalFormatting sqref="H1:H1048576">
    <cfRule type="cellIs" dxfId="160" priority="2271" operator="lessThan">
      <formula>0</formula>
    </cfRule>
  </conditionalFormatting>
  <conditionalFormatting sqref="H1:H1048576">
    <cfRule type="cellIs" dxfId="159" priority="2270" operator="lessThan">
      <formula>0</formula>
    </cfRule>
  </conditionalFormatting>
  <conditionalFormatting sqref="H1:H1048576">
    <cfRule type="cellIs" dxfId="158" priority="2269" operator="lessThan">
      <formula>0</formula>
    </cfRule>
  </conditionalFormatting>
  <conditionalFormatting sqref="H1:H1048576">
    <cfRule type="cellIs" dxfId="157" priority="2268" operator="lessThan">
      <formula>0</formula>
    </cfRule>
  </conditionalFormatting>
  <conditionalFormatting sqref="H1:H1048576">
    <cfRule type="cellIs" dxfId="156" priority="2267" operator="lessThan">
      <formula>0</formula>
    </cfRule>
  </conditionalFormatting>
  <conditionalFormatting sqref="H1:H1048576">
    <cfRule type="cellIs" dxfId="155" priority="2266" operator="lessThan">
      <formula>0</formula>
    </cfRule>
  </conditionalFormatting>
  <conditionalFormatting sqref="H1:H1048576">
    <cfRule type="cellIs" dxfId="154" priority="2265" operator="lessThan">
      <formula>0</formula>
    </cfRule>
  </conditionalFormatting>
  <conditionalFormatting sqref="H1:H1048576">
    <cfRule type="cellIs" dxfId="153" priority="2264" operator="lessThan">
      <formula>0</formula>
    </cfRule>
  </conditionalFormatting>
  <conditionalFormatting sqref="H1:H1048576">
    <cfRule type="cellIs" dxfId="152" priority="2263" operator="lessThan">
      <formula>0</formula>
    </cfRule>
  </conditionalFormatting>
  <conditionalFormatting sqref="H1:H1048576">
    <cfRule type="cellIs" dxfId="151" priority="2262" operator="lessThan">
      <formula>0</formula>
    </cfRule>
  </conditionalFormatting>
  <conditionalFormatting sqref="H1:H1048576">
    <cfRule type="cellIs" dxfId="150" priority="2261" operator="lessThan">
      <formula>0</formula>
    </cfRule>
  </conditionalFormatting>
  <conditionalFormatting sqref="H1:H1048576">
    <cfRule type="cellIs" dxfId="149" priority="2260" operator="lessThan">
      <formula>0</formula>
    </cfRule>
  </conditionalFormatting>
  <conditionalFormatting sqref="H1:H1048576">
    <cfRule type="cellIs" dxfId="148" priority="2259" operator="lessThan">
      <formula>0</formula>
    </cfRule>
  </conditionalFormatting>
  <conditionalFormatting sqref="H1:H1048576">
    <cfRule type="cellIs" dxfId="147" priority="2258" operator="lessThan">
      <formula>0</formula>
    </cfRule>
  </conditionalFormatting>
  <conditionalFormatting sqref="H1:H1048576">
    <cfRule type="cellIs" dxfId="146" priority="2257" operator="lessThan">
      <formula>0</formula>
    </cfRule>
  </conditionalFormatting>
  <conditionalFormatting sqref="H1:H1048576">
    <cfRule type="cellIs" dxfId="145" priority="2256" operator="lessThan">
      <formula>0</formula>
    </cfRule>
  </conditionalFormatting>
  <conditionalFormatting sqref="H1:H1048576">
    <cfRule type="cellIs" dxfId="144" priority="2255" operator="lessThan">
      <formula>0</formula>
    </cfRule>
  </conditionalFormatting>
  <conditionalFormatting sqref="H1:H1048576">
    <cfRule type="cellIs" dxfId="143" priority="2254" operator="lessThan">
      <formula>0</formula>
    </cfRule>
  </conditionalFormatting>
  <conditionalFormatting sqref="H1:H1048576">
    <cfRule type="cellIs" dxfId="142" priority="2253" operator="lessThan">
      <formula>0</formula>
    </cfRule>
  </conditionalFormatting>
  <conditionalFormatting sqref="H1:H1048576">
    <cfRule type="cellIs" dxfId="141" priority="2252" operator="lessThan">
      <formula>0</formula>
    </cfRule>
  </conditionalFormatting>
  <conditionalFormatting sqref="H1:H1048576">
    <cfRule type="cellIs" dxfId="140" priority="2251" operator="lessThan">
      <formula>0</formula>
    </cfRule>
  </conditionalFormatting>
  <conditionalFormatting sqref="H1:H1048576">
    <cfRule type="cellIs" dxfId="139" priority="2250" operator="lessThan">
      <formula>0</formula>
    </cfRule>
  </conditionalFormatting>
  <conditionalFormatting sqref="H1:H1048576">
    <cfRule type="cellIs" dxfId="138" priority="2249" operator="lessThan">
      <formula>0</formula>
    </cfRule>
  </conditionalFormatting>
  <conditionalFormatting sqref="H1:H1048576">
    <cfRule type="cellIs" dxfId="137" priority="2248" operator="lessThan">
      <formula>0</formula>
    </cfRule>
  </conditionalFormatting>
  <conditionalFormatting sqref="H1:H1048576">
    <cfRule type="cellIs" dxfId="136" priority="2247" operator="lessThan">
      <formula>0</formula>
    </cfRule>
  </conditionalFormatting>
  <conditionalFormatting sqref="H1:H1048576">
    <cfRule type="cellIs" dxfId="135" priority="2246" operator="lessThan">
      <formula>0</formula>
    </cfRule>
  </conditionalFormatting>
  <conditionalFormatting sqref="H1:H1048576">
    <cfRule type="cellIs" dxfId="134" priority="2245" operator="lessThan">
      <formula>0</formula>
    </cfRule>
  </conditionalFormatting>
  <conditionalFormatting sqref="H1:H1048576">
    <cfRule type="cellIs" dxfId="133" priority="2244" operator="lessThan">
      <formula>0</formula>
    </cfRule>
  </conditionalFormatting>
  <conditionalFormatting sqref="H1:H1048576">
    <cfRule type="cellIs" dxfId="132" priority="2243" operator="lessThan">
      <formula>0</formula>
    </cfRule>
  </conditionalFormatting>
  <conditionalFormatting sqref="H1:H1048576">
    <cfRule type="cellIs" dxfId="131" priority="2242" operator="lessThan">
      <formula>0</formula>
    </cfRule>
  </conditionalFormatting>
  <conditionalFormatting sqref="H1:H1048576">
    <cfRule type="cellIs" dxfId="130" priority="2241" operator="lessThan">
      <formula>0</formula>
    </cfRule>
  </conditionalFormatting>
  <conditionalFormatting sqref="H1:H1048576">
    <cfRule type="cellIs" dxfId="129" priority="2240" operator="lessThan">
      <formula>0</formula>
    </cfRule>
  </conditionalFormatting>
  <conditionalFormatting sqref="H1:H1048576">
    <cfRule type="cellIs" dxfId="128" priority="2239" operator="lessThan">
      <formula>0</formula>
    </cfRule>
  </conditionalFormatting>
  <conditionalFormatting sqref="H1:H1048576">
    <cfRule type="cellIs" dxfId="127" priority="2238" operator="lessThan">
      <formula>0</formula>
    </cfRule>
  </conditionalFormatting>
  <conditionalFormatting sqref="H1:H1048576">
    <cfRule type="cellIs" dxfId="126" priority="2237" operator="lessThan">
      <formula>0</formula>
    </cfRule>
  </conditionalFormatting>
  <conditionalFormatting sqref="H1:H1048576">
    <cfRule type="cellIs" dxfId="125" priority="2236" operator="lessThan">
      <formula>0</formula>
    </cfRule>
  </conditionalFormatting>
  <conditionalFormatting sqref="H1:H1048576">
    <cfRule type="cellIs" dxfId="124" priority="2235" operator="lessThan">
      <formula>0</formula>
    </cfRule>
  </conditionalFormatting>
  <conditionalFormatting sqref="H1:H1048576">
    <cfRule type="cellIs" dxfId="123" priority="2234" operator="lessThan">
      <formula>0</formula>
    </cfRule>
  </conditionalFormatting>
  <conditionalFormatting sqref="H1:H1048576">
    <cfRule type="cellIs" dxfId="122" priority="2233" operator="lessThan">
      <formula>0</formula>
    </cfRule>
  </conditionalFormatting>
  <conditionalFormatting sqref="H1:H1048576">
    <cfRule type="cellIs" dxfId="121" priority="2232" operator="lessThan">
      <formula>0</formula>
    </cfRule>
  </conditionalFormatting>
  <conditionalFormatting sqref="H1:H1048576">
    <cfRule type="cellIs" dxfId="120" priority="2231" operator="lessThan">
      <formula>0</formula>
    </cfRule>
  </conditionalFormatting>
  <conditionalFormatting sqref="H1:H1048576">
    <cfRule type="cellIs" dxfId="119" priority="2230" operator="lessThan">
      <formula>0</formula>
    </cfRule>
  </conditionalFormatting>
  <conditionalFormatting sqref="H1:H1048576">
    <cfRule type="cellIs" dxfId="118" priority="2229" operator="lessThan">
      <formula>0</formula>
    </cfRule>
  </conditionalFormatting>
  <conditionalFormatting sqref="H1:H1048576">
    <cfRule type="cellIs" dxfId="117" priority="2228" operator="lessThan">
      <formula>0</formula>
    </cfRule>
  </conditionalFormatting>
  <conditionalFormatting sqref="H1:H1048576">
    <cfRule type="cellIs" dxfId="116" priority="2227" operator="lessThan">
      <formula>0</formula>
    </cfRule>
  </conditionalFormatting>
  <conditionalFormatting sqref="H1:H1048576">
    <cfRule type="cellIs" dxfId="115" priority="2226" operator="lessThan">
      <formula>0</formula>
    </cfRule>
  </conditionalFormatting>
  <conditionalFormatting sqref="H1:H1048576">
    <cfRule type="cellIs" dxfId="114" priority="2225" operator="lessThan">
      <formula>0</formula>
    </cfRule>
  </conditionalFormatting>
  <conditionalFormatting sqref="H1:H1048576">
    <cfRule type="cellIs" dxfId="113" priority="2224" operator="lessThan">
      <formula>0</formula>
    </cfRule>
  </conditionalFormatting>
  <conditionalFormatting sqref="H1:H1048576">
    <cfRule type="cellIs" dxfId="112" priority="2223" operator="lessThan">
      <formula>0</formula>
    </cfRule>
  </conditionalFormatting>
  <conditionalFormatting sqref="H1:H1048576">
    <cfRule type="cellIs" dxfId="111" priority="2222" operator="lessThan">
      <formula>0</formula>
    </cfRule>
  </conditionalFormatting>
  <conditionalFormatting sqref="H1:H1048576">
    <cfRule type="cellIs" dxfId="110" priority="2221" operator="lessThan">
      <formula>0</formula>
    </cfRule>
  </conditionalFormatting>
  <conditionalFormatting sqref="H1:H1048576">
    <cfRule type="cellIs" dxfId="109" priority="2220" operator="lessThan">
      <formula>0</formula>
    </cfRule>
  </conditionalFormatting>
  <conditionalFormatting sqref="H1:H1048576">
    <cfRule type="cellIs" dxfId="108" priority="2219" operator="lessThan">
      <formula>0</formula>
    </cfRule>
  </conditionalFormatting>
  <conditionalFormatting sqref="H1:H1048576">
    <cfRule type="cellIs" dxfId="107" priority="2218" operator="lessThan">
      <formula>0</formula>
    </cfRule>
  </conditionalFormatting>
  <conditionalFormatting sqref="H1:H1048576">
    <cfRule type="cellIs" dxfId="106" priority="2217" operator="lessThan">
      <formula>0</formula>
    </cfRule>
  </conditionalFormatting>
  <conditionalFormatting sqref="H1:H1048576">
    <cfRule type="cellIs" dxfId="105" priority="2216" operator="lessThan">
      <formula>0</formula>
    </cfRule>
  </conditionalFormatting>
  <conditionalFormatting sqref="H1:H1048576">
    <cfRule type="cellIs" dxfId="104" priority="2215" operator="lessThan">
      <formula>0</formula>
    </cfRule>
  </conditionalFormatting>
  <conditionalFormatting sqref="H1:H1048576">
    <cfRule type="cellIs" dxfId="103" priority="2214" operator="lessThan">
      <formula>0</formula>
    </cfRule>
  </conditionalFormatting>
  <conditionalFormatting sqref="H1:H1048576">
    <cfRule type="cellIs" dxfId="102" priority="2213" operator="lessThan">
      <formula>0</formula>
    </cfRule>
  </conditionalFormatting>
  <conditionalFormatting sqref="H1:H1048576">
    <cfRule type="cellIs" dxfId="101" priority="2212" operator="lessThan">
      <formula>0</formula>
    </cfRule>
  </conditionalFormatting>
  <conditionalFormatting sqref="H1:H1048576">
    <cfRule type="cellIs" dxfId="100" priority="2211" operator="lessThan">
      <formula>0</formula>
    </cfRule>
  </conditionalFormatting>
  <conditionalFormatting sqref="H1:H1048576">
    <cfRule type="cellIs" dxfId="99" priority="2210" operator="lessThan">
      <formula>0</formula>
    </cfRule>
  </conditionalFormatting>
  <conditionalFormatting sqref="H1:H1048576">
    <cfRule type="cellIs" dxfId="98" priority="2209" operator="lessThan">
      <formula>0</formula>
    </cfRule>
  </conditionalFormatting>
  <conditionalFormatting sqref="H1:H1048576">
    <cfRule type="cellIs" dxfId="97" priority="2208" operator="lessThan">
      <formula>0</formula>
    </cfRule>
  </conditionalFormatting>
  <conditionalFormatting sqref="H1:H1048576">
    <cfRule type="cellIs" dxfId="96" priority="2207" operator="lessThan">
      <formula>0</formula>
    </cfRule>
  </conditionalFormatting>
  <conditionalFormatting sqref="H1:H1048576">
    <cfRule type="cellIs" dxfId="95" priority="2206" operator="lessThan">
      <formula>0</formula>
    </cfRule>
  </conditionalFormatting>
  <conditionalFormatting sqref="H1:H1048576">
    <cfRule type="cellIs" dxfId="94" priority="2205" operator="lessThan">
      <formula>0</formula>
    </cfRule>
  </conditionalFormatting>
  <conditionalFormatting sqref="H1:H1048576">
    <cfRule type="cellIs" dxfId="93" priority="2204" operator="lessThan">
      <formula>0</formula>
    </cfRule>
  </conditionalFormatting>
  <conditionalFormatting sqref="H1:H1048576">
    <cfRule type="cellIs" dxfId="92" priority="2203" operator="lessThan">
      <formula>0</formula>
    </cfRule>
  </conditionalFormatting>
  <conditionalFormatting sqref="H1:H1048576">
    <cfRule type="cellIs" dxfId="91" priority="2202" operator="lessThan">
      <formula>0</formula>
    </cfRule>
  </conditionalFormatting>
  <conditionalFormatting sqref="H1:H1048576">
    <cfRule type="cellIs" dxfId="90" priority="2201" operator="lessThan">
      <formula>0</formula>
    </cfRule>
  </conditionalFormatting>
  <conditionalFormatting sqref="H1:H1048576">
    <cfRule type="cellIs" dxfId="89" priority="2200" operator="lessThan">
      <formula>0</formula>
    </cfRule>
  </conditionalFormatting>
  <conditionalFormatting sqref="H1:H1048576">
    <cfRule type="cellIs" dxfId="88" priority="2199" operator="lessThan">
      <formula>0</formula>
    </cfRule>
  </conditionalFormatting>
  <conditionalFormatting sqref="H1:H1048576">
    <cfRule type="cellIs" dxfId="87" priority="2198" operator="lessThan">
      <formula>0</formula>
    </cfRule>
  </conditionalFormatting>
  <conditionalFormatting sqref="H1:H1048576">
    <cfRule type="cellIs" dxfId="86" priority="2197" operator="lessThan">
      <formula>0</formula>
    </cfRule>
  </conditionalFormatting>
  <conditionalFormatting sqref="H1:H1048576">
    <cfRule type="cellIs" dxfId="85" priority="2196" operator="lessThan">
      <formula>0</formula>
    </cfRule>
  </conditionalFormatting>
  <conditionalFormatting sqref="H1:H1048576">
    <cfRule type="cellIs" dxfId="84" priority="2195" operator="lessThan">
      <formula>0</formula>
    </cfRule>
  </conditionalFormatting>
  <conditionalFormatting sqref="H1:H1048576">
    <cfRule type="cellIs" dxfId="83" priority="2194" operator="lessThan">
      <formula>0</formula>
    </cfRule>
  </conditionalFormatting>
  <conditionalFormatting sqref="H1:H1048576">
    <cfRule type="cellIs" dxfId="82" priority="2193" operator="lessThan">
      <formula>0</formula>
    </cfRule>
  </conditionalFormatting>
  <conditionalFormatting sqref="H1:H1048576">
    <cfRule type="cellIs" dxfId="81" priority="2192" operator="lessThan">
      <formula>0</formula>
    </cfRule>
  </conditionalFormatting>
  <conditionalFormatting sqref="H1:H1048576">
    <cfRule type="cellIs" dxfId="80" priority="2191" operator="lessThan">
      <formula>0</formula>
    </cfRule>
  </conditionalFormatting>
  <conditionalFormatting sqref="H1:H1048576">
    <cfRule type="cellIs" dxfId="79" priority="2190" operator="lessThan">
      <formula>0</formula>
    </cfRule>
  </conditionalFormatting>
  <conditionalFormatting sqref="H1:H1048576">
    <cfRule type="cellIs" dxfId="78" priority="2189" operator="lessThan">
      <formula>0</formula>
    </cfRule>
  </conditionalFormatting>
  <conditionalFormatting sqref="H1:H1048576">
    <cfRule type="cellIs" dxfId="77" priority="2188" operator="lessThan">
      <formula>0</formula>
    </cfRule>
  </conditionalFormatting>
  <conditionalFormatting sqref="H1:H1048576">
    <cfRule type="cellIs" dxfId="76" priority="2187" operator="lessThan">
      <formula>0</formula>
    </cfRule>
  </conditionalFormatting>
  <conditionalFormatting sqref="H1:H1048576">
    <cfRule type="cellIs" dxfId="75" priority="2186" operator="lessThan">
      <formula>0</formula>
    </cfRule>
  </conditionalFormatting>
  <conditionalFormatting sqref="H1:H1048576">
    <cfRule type="cellIs" dxfId="74" priority="2185" operator="lessThan">
      <formula>0</formula>
    </cfRule>
  </conditionalFormatting>
  <conditionalFormatting sqref="H1:H1048576">
    <cfRule type="cellIs" dxfId="73" priority="2184" operator="lessThan">
      <formula>0</formula>
    </cfRule>
  </conditionalFormatting>
  <conditionalFormatting sqref="H1:H1048576">
    <cfRule type="cellIs" dxfId="72" priority="2183" operator="lessThan">
      <formula>0</formula>
    </cfRule>
  </conditionalFormatting>
  <conditionalFormatting sqref="H1:H1048576">
    <cfRule type="cellIs" dxfId="71" priority="2182" operator="lessThan">
      <formula>0</formula>
    </cfRule>
  </conditionalFormatting>
  <conditionalFormatting sqref="H1:H1048576">
    <cfRule type="cellIs" dxfId="70" priority="2181" operator="lessThan">
      <formula>0</formula>
    </cfRule>
  </conditionalFormatting>
  <conditionalFormatting sqref="H1:H1048576">
    <cfRule type="cellIs" dxfId="69" priority="2180" operator="lessThan">
      <formula>0</formula>
    </cfRule>
  </conditionalFormatting>
  <conditionalFormatting sqref="H1:H1048576">
    <cfRule type="cellIs" dxfId="68" priority="2179" operator="lessThan">
      <formula>0</formula>
    </cfRule>
  </conditionalFormatting>
  <conditionalFormatting sqref="H1:H1048576">
    <cfRule type="cellIs" dxfId="67" priority="2178" operator="lessThan">
      <formula>0</formula>
    </cfRule>
  </conditionalFormatting>
  <conditionalFormatting sqref="H1:H1048576">
    <cfRule type="cellIs" dxfId="66" priority="2177" operator="lessThan">
      <formula>0</formula>
    </cfRule>
  </conditionalFormatting>
  <conditionalFormatting sqref="H1:H1048576">
    <cfRule type="cellIs" dxfId="65" priority="2176" operator="lessThan">
      <formula>0</formula>
    </cfRule>
  </conditionalFormatting>
  <conditionalFormatting sqref="H1:H1048576">
    <cfRule type="cellIs" dxfId="64" priority="2175" operator="lessThan">
      <formula>0</formula>
    </cfRule>
  </conditionalFormatting>
  <conditionalFormatting sqref="H1:H1048576">
    <cfRule type="cellIs" dxfId="63" priority="2174" operator="lessThan">
      <formula>0</formula>
    </cfRule>
  </conditionalFormatting>
  <conditionalFormatting sqref="H1:H1048576">
    <cfRule type="cellIs" dxfId="62" priority="2173" operator="lessThan">
      <formula>0</formula>
    </cfRule>
  </conditionalFormatting>
  <conditionalFormatting sqref="H1:H1048576">
    <cfRule type="cellIs" dxfId="61" priority="2172" operator="lessThan">
      <formula>0</formula>
    </cfRule>
  </conditionalFormatting>
  <conditionalFormatting sqref="H1:H1048576">
    <cfRule type="cellIs" dxfId="60" priority="2171" operator="lessThan">
      <formula>0</formula>
    </cfRule>
  </conditionalFormatting>
  <conditionalFormatting sqref="H1:H1048576">
    <cfRule type="cellIs" dxfId="59" priority="2170" operator="lessThan">
      <formula>0</formula>
    </cfRule>
  </conditionalFormatting>
  <conditionalFormatting sqref="H1:H1048576">
    <cfRule type="cellIs" dxfId="58" priority="2169" operator="lessThan">
      <formula>0</formula>
    </cfRule>
  </conditionalFormatting>
  <conditionalFormatting sqref="H1:H1048576">
    <cfRule type="cellIs" dxfId="57" priority="2168" operator="lessThan">
      <formula>0</formula>
    </cfRule>
  </conditionalFormatting>
  <conditionalFormatting sqref="H1:H1048576">
    <cfRule type="cellIs" dxfId="56" priority="2167" operator="lessThan">
      <formula>0</formula>
    </cfRule>
  </conditionalFormatting>
  <conditionalFormatting sqref="H1:H1048576">
    <cfRule type="cellIs" dxfId="55" priority="2166" operator="lessThan">
      <formula>0</formula>
    </cfRule>
  </conditionalFormatting>
  <conditionalFormatting sqref="H1:H1048576">
    <cfRule type="cellIs" dxfId="54" priority="2165" operator="lessThan">
      <formula>0</formula>
    </cfRule>
  </conditionalFormatting>
  <conditionalFormatting sqref="H1:H1048576">
    <cfRule type="cellIs" dxfId="53" priority="2164" operator="lessThan">
      <formula>0</formula>
    </cfRule>
  </conditionalFormatting>
  <conditionalFormatting sqref="H1:H1048576">
    <cfRule type="cellIs" dxfId="52" priority="2163" operator="lessThan">
      <formula>0</formula>
    </cfRule>
  </conditionalFormatting>
  <conditionalFormatting sqref="H1:H1048576">
    <cfRule type="cellIs" dxfId="51" priority="2162" operator="lessThan">
      <formula>0</formula>
    </cfRule>
  </conditionalFormatting>
  <conditionalFormatting sqref="H1:H1048576">
    <cfRule type="cellIs" dxfId="50" priority="2161" operator="lessThan">
      <formula>0</formula>
    </cfRule>
  </conditionalFormatting>
  <conditionalFormatting sqref="H1:H1048576">
    <cfRule type="cellIs" dxfId="49" priority="2160" operator="lessThan">
      <formula>0</formula>
    </cfRule>
  </conditionalFormatting>
  <conditionalFormatting sqref="H1:H1048576">
    <cfRule type="cellIs" dxfId="48" priority="2159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7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M42" sqref="M42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330.52</v>
      </c>
      <c r="D1" s="172">
        <f t="shared" ref="D1:D10" si="0">C1/E1-1</f>
        <v>5.231143552311357E-3</v>
      </c>
      <c r="E1" s="239">
        <f>_xll.BDP(B1&amp;" EQUITY","PX_YEST_CLOSE")</f>
        <v>328.8</v>
      </c>
      <c r="H1" t="s">
        <v>6</v>
      </c>
      <c r="I1" s="173" cm="1">
        <f t="array" ref="I1">_xll.BDP(H1&amp;" EQUITY","LAST_PRICE")</f>
        <v>87.094999999999999</v>
      </c>
      <c r="J1" s="172">
        <f t="shared" ref="J1:J10" si="1">I1/K1-1</f>
        <v>1.0031311608488913E-2</v>
      </c>
      <c r="K1" s="239">
        <f>_xll.BDP(H1&amp;" EQUITY","PX_YEST_CLOSE")</f>
        <v>86.23</v>
      </c>
      <c r="M1" s="5">
        <f>J29/4</f>
        <v>4.8448423893045489E-3</v>
      </c>
      <c r="P1" s="50"/>
      <c r="Q1" t="s">
        <v>1920</v>
      </c>
      <c r="R1" s="5">
        <f>SUM(U18:U30)</f>
        <v>1.8316039515477223E-2</v>
      </c>
      <c r="S1" s="5">
        <f>T1/R1/10000</f>
        <v>1.4867526210046609E-2</v>
      </c>
      <c r="T1" s="276">
        <f>SUM(V18:V30)</f>
        <v>2.7231419756060697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185.09</v>
      </c>
      <c r="D2" s="172">
        <f t="shared" si="0"/>
        <v>9.6552476543749766E-3</v>
      </c>
      <c r="E2" s="239" cm="1">
        <f t="array" ref="E2">_xll.BDP(B2&amp;" EQUITY","PX_YEST_CLOSE")</f>
        <v>183.32</v>
      </c>
      <c r="H2" t="s">
        <v>89</v>
      </c>
      <c r="I2" s="173" cm="1">
        <f t="array" ref="I2">_xll.BDP(H2&amp;" EQUITY","LAST_PRICE")</f>
        <v>96.28</v>
      </c>
      <c r="J2" s="172">
        <f t="shared" si="1"/>
        <v>9.2243186582807724E-3</v>
      </c>
      <c r="K2" s="239">
        <f>_xll.BDP(H2&amp;" EQUITY","PX_YEST_CLOSE")</f>
        <v>95.4</v>
      </c>
      <c r="O2" s="50"/>
      <c r="P2" s="50"/>
      <c r="R2" s="5"/>
      <c r="S2" s="5"/>
      <c r="T2" s="276"/>
      <c r="U2" s="369"/>
      <c r="V2" s="368"/>
      <c r="W2" s="276">
        <f>W5/W6</f>
        <v>1.2620186731129379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332.44</v>
      </c>
      <c r="D3" s="172">
        <f t="shared" si="0"/>
        <v>1.9379369557218196E-2</v>
      </c>
      <c r="E3" s="239">
        <f>_xll.BDP(B3&amp;" EQUITY","PX_YEST_CLOSE")</f>
        <v>326.12</v>
      </c>
      <c r="H3" t="s">
        <v>136</v>
      </c>
      <c r="I3" s="173" cm="1">
        <f t="array" ref="I3">_xll.BDP(H3&amp;" EQUITY","LAST_PRICE")</f>
        <v>403.23</v>
      </c>
      <c r="J3" s="172">
        <f t="shared" si="1"/>
        <v>3.2343940487149503E-3</v>
      </c>
      <c r="K3" s="239" cm="1">
        <f t="array" ref="K3">_xll.BDP(H3&amp;" EQUITY","PX_YEST_CLOSE")</f>
        <v>401.93</v>
      </c>
      <c r="L3" s="174"/>
      <c r="O3" s="5"/>
      <c r="R3" s="5"/>
      <c r="S3" s="5"/>
      <c r="T3" s="276"/>
      <c r="U3" s="276">
        <f>U5/-U6</f>
        <v>16.328595868410044</v>
      </c>
      <c r="W3" s="45" t="s">
        <v>154</v>
      </c>
      <c r="X3" s="5">
        <f>_xll.BDP("SPY Equity","LAST_PRICE")/_xll.BDP("SPY Equity","PX_YEST_CLOSE")-1</f>
        <v>5.449372629121596E-3</v>
      </c>
      <c r="AC3" s="93" cm="1">
        <f t="array" ref="AC3">_xll.BDP("brl Curncy","LAST_PRICE")</f>
        <v>5.2949999999999999</v>
      </c>
      <c r="AD3" s="8">
        <f>AD5*$AC$3</f>
        <v>11892755685.059999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387.18</v>
      </c>
      <c r="D4" s="172">
        <f t="shared" si="0"/>
        <v>-4.9600370075300049E-3</v>
      </c>
      <c r="E4" s="239" cm="1">
        <f t="array" ref="E4">_xll.BDP(B4&amp;" EQUITY","PX_YEST_CLOSE")</f>
        <v>389.11</v>
      </c>
      <c r="F4" s="7"/>
      <c r="G4" s="7"/>
      <c r="H4" t="s">
        <v>0</v>
      </c>
      <c r="I4" s="173" cm="1">
        <f t="array" ref="I4">_xll.BDP(H4&amp;" EQUITY","LAST_PRICE")</f>
        <v>689.13499999999999</v>
      </c>
      <c r="J4" s="172">
        <f t="shared" si="1"/>
        <v>5.449372629121596E-3</v>
      </c>
      <c r="K4" s="239" cm="1">
        <f t="array" ref="K4">_xll.BDP(H4&amp;" EQUITY","PX_YEST_CLOSE")</f>
        <v>685.4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1874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235.07</v>
      </c>
      <c r="D5" s="172">
        <f t="shared" si="0"/>
        <v>1.6255241883186944E-2</v>
      </c>
      <c r="E5" s="239" cm="1">
        <f t="array" ref="E5">_xll.BDP(B5&amp;" EQUITY","PX_YEST_CLOSE")</f>
        <v>231.31</v>
      </c>
      <c r="H5" t="s">
        <v>3</v>
      </c>
      <c r="I5" s="175" cm="1">
        <f t="array" ref="I5">_xll.BDP(H5&amp;" EQUITY","LAST_PRICE")</f>
        <v>200.30500000000001</v>
      </c>
      <c r="J5" s="172">
        <f t="shared" si="1"/>
        <v>4.5386158475426708E-3</v>
      </c>
      <c r="K5" s="239" cm="1">
        <f t="array" ref="K5">_xll.BDP(H5&amp;" EQUITY","PX_YEST_CLOSE")</f>
        <v>199.4</v>
      </c>
      <c r="L5" s="174"/>
      <c r="O5" s="27">
        <f>SUMIF(O12:O36,"&gt;0")</f>
        <v>1.4963350473192612E-2</v>
      </c>
      <c r="P5" s="20">
        <f>SUMIF($F$12:$F$36,"Long",P12:P36)</f>
        <v>1.8230509114759212</v>
      </c>
      <c r="R5" s="27">
        <f>SUMIF(R12:R36,"&gt;0")</f>
        <v>7.7212944005817952E-3</v>
      </c>
      <c r="S5" s="170">
        <f>SUMIF($F$12:$F$36,"Long",S12:S36)</f>
        <v>1.0965785387578657</v>
      </c>
      <c r="T5" t="s">
        <v>99</v>
      </c>
      <c r="U5" s="33">
        <f>SUMIF($F$12:$F$36,"Long",U12:U36)</f>
        <v>2.084954335658604E-2</v>
      </c>
      <c r="V5" s="39">
        <f>SUMIF($F$12:$F$36,"Long",V12:V36)</f>
        <v>2.9196294502337867</v>
      </c>
      <c r="W5" s="5">
        <f>V5/U5/10000</f>
        <v>1.4003325637880324E-2</v>
      </c>
      <c r="X5" s="5">
        <f>W5-$X$3</f>
        <v>8.5539530087587277E-3</v>
      </c>
      <c r="Y5" s="55">
        <f>$U5*X5*10000</f>
        <v>1.783460141263147</v>
      </c>
      <c r="Z5" s="9">
        <f>U5*$X$3*10000</f>
        <v>1.1361693089706397</v>
      </c>
      <c r="AA5" s="33" t="e">
        <f>SUMIF($F$12:$F$36,"Long",AA12:AA36)</f>
        <v>#VALUE!</v>
      </c>
      <c r="AB5" s="276" t="e">
        <f>AA5/U5</f>
        <v>#VALUE!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249.268</v>
      </c>
      <c r="D6" s="172">
        <f t="shared" si="0"/>
        <v>6.5334140924691031E-3</v>
      </c>
      <c r="E6" s="239" cm="1">
        <f t="array" ref="E6">_xll.BDP(B6&amp;" EQUITY","PX_YEST_CLOSE")</f>
        <v>247.65</v>
      </c>
      <c r="H6" t="s">
        <v>135</v>
      </c>
      <c r="I6" s="176" cm="1">
        <f t="array" ref="I6">_xll.BDP(H6&amp;" EQUITY","LAST_PRICE")</f>
        <v>619.92999999999995</v>
      </c>
      <c r="J6" s="172">
        <f t="shared" si="1"/>
        <v>5.9226325696111193E-3</v>
      </c>
      <c r="K6" s="239" cm="1">
        <f t="array" ref="K6">_xll.BDP(H6&amp;" EQUITY","PX_YEST_CLOSE")</f>
        <v>616.28</v>
      </c>
      <c r="L6" s="1">
        <f>$S$1/J6</f>
        <v>2.5102901514322391</v>
      </c>
      <c r="O6" s="27">
        <f>SUMIF(O12:O36,"&lt;0")</f>
        <v>-1.5420801733685599E-3</v>
      </c>
      <c r="P6" s="20">
        <f>SUMIF($F$12:$F$36,"Short",P12:P36)</f>
        <v>-1.4607555430929724E-2</v>
      </c>
      <c r="R6" s="27">
        <f>SUMIF(R12:R36,"&lt;0")</f>
        <v>-2.3410421399210944E-4</v>
      </c>
      <c r="S6" s="170">
        <f>SUMIF($F$12:$F$36,"Short",S12:S36)</f>
        <v>-0.12707393422577196</v>
      </c>
      <c r="T6" t="s">
        <v>100</v>
      </c>
      <c r="U6" s="33">
        <f>SUMIF($F$12:$F$36,"Short",U12:U36)</f>
        <v>-1.2768730100622063E-3</v>
      </c>
      <c r="V6" s="39">
        <f>SUMIF($F$12:$F$36,"Short",V12:V36)</f>
        <v>-0.14168148965670171</v>
      </c>
      <c r="W6" s="5">
        <f>V6/U6/10000</f>
        <v>1.1095973408491056E-2</v>
      </c>
      <c r="X6" s="5">
        <f>$X$3-W6</f>
        <v>-5.6466007793694595E-3</v>
      </c>
      <c r="Y6" s="55">
        <f>-$U6*X6*10000</f>
        <v>-7.2099921337730813E-2</v>
      </c>
      <c r="Z6" s="9">
        <f>U6*$X$3*10000</f>
        <v>-6.9581568318970916E-2</v>
      </c>
      <c r="AA6" s="33" t="e">
        <f>SUMIF($F$12:$F$36,"Short",AA12:AA36)</f>
        <v>#VALUE!</v>
      </c>
      <c r="AB6" s="276" t="e">
        <f>AA6/U6</f>
        <v>#VALUE!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446.77</v>
      </c>
      <c r="D7" s="172">
        <f t="shared" si="0"/>
        <v>5.9895071040958481E-3</v>
      </c>
      <c r="E7" s="239" cm="1">
        <f t="array" ref="E7">_xll.BDP(B7&amp;" EQUITY","PX_YEST_CLOSE")</f>
        <v>444.11</v>
      </c>
      <c r="H7" t="s">
        <v>143</v>
      </c>
      <c r="I7" s="175" cm="1">
        <f t="array" ref="I7">_xll.BDP(H7&amp;" EQUITY","LAST_PRICE")</f>
        <v>105.16</v>
      </c>
      <c r="J7" s="172">
        <f t="shared" si="1"/>
        <v>6.3157894736842746E-3</v>
      </c>
      <c r="K7" s="239">
        <f>_xll.BDP(H7&amp;" EQUITY","PX_YEST_CLOSE")</f>
        <v>104.5</v>
      </c>
      <c r="L7" s="174"/>
      <c r="M7"/>
      <c r="N7" s="28"/>
      <c r="O7" s="29">
        <f>O5+O6</f>
        <v>1.3421270299824052E-2</v>
      </c>
      <c r="P7" s="169">
        <f>SUM(P12:P36)</f>
        <v>1.9816201426269027</v>
      </c>
      <c r="Q7" s="28"/>
      <c r="R7" s="29">
        <f>R5+R6</f>
        <v>7.4871901865896859E-3</v>
      </c>
      <c r="S7" s="169">
        <f>SUM(S12:S36)</f>
        <v>1.1301780738641654</v>
      </c>
      <c r="T7" s="520" t="s">
        <v>2341</v>
      </c>
      <c r="U7" s="344">
        <f>U5+U6</f>
        <v>1.9572670346523834E-2</v>
      </c>
      <c r="V7" s="345">
        <f>V5+V6</f>
        <v>2.7779479605770852</v>
      </c>
      <c r="W7" s="44">
        <f>V7/U7/10000</f>
        <v>1.4192994166840688E-2</v>
      </c>
      <c r="X7" s="44"/>
      <c r="Y7" s="56">
        <f>Y5+Y6</f>
        <v>1.7113602199254161</v>
      </c>
      <c r="Z7" s="47">
        <f>Z5+Z6</f>
        <v>1.0665877406516688</v>
      </c>
      <c r="AA7" s="34" t="e">
        <f>AA5+AA6</f>
        <v>#VALUE!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331.05</v>
      </c>
      <c r="D8" s="172">
        <f t="shared" si="0"/>
        <v>8.1308240453135117E-3</v>
      </c>
      <c r="E8" s="239" cm="1">
        <f t="array" ref="E8">_xll.BDP(B8&amp;" EQUITY","PX_YEST_CLOSE")</f>
        <v>328.38</v>
      </c>
      <c r="F8" s="16"/>
      <c r="G8" s="16"/>
      <c r="H8" t="s">
        <v>144</v>
      </c>
      <c r="I8" s="175" cm="1">
        <f t="array" ref="I8">_xll.BDP(H8&amp;" EQUITY","LAST_PRICE")</f>
        <v>271.47000000000003</v>
      </c>
      <c r="J8" s="172">
        <f t="shared" si="1"/>
        <v>1.37421113559133E-2</v>
      </c>
      <c r="K8" s="239" cm="1">
        <f t="array" ref="K8">_xll.BDP(H8&amp;" EQUITY","PX_YEST_CLOSE")</f>
        <v>267.79000000000002</v>
      </c>
      <c r="M8"/>
      <c r="N8" s="6"/>
      <c r="O8" s="30">
        <f>O5-O6</f>
        <v>1.6505430646561171E-2</v>
      </c>
      <c r="P8" s="31"/>
      <c r="Q8" s="6"/>
      <c r="R8" s="30">
        <f>R5-R6</f>
        <v>7.9553986145739046E-3</v>
      </c>
      <c r="S8" s="31"/>
      <c r="T8" s="6" t="s">
        <v>67</v>
      </c>
      <c r="U8" s="35">
        <f>U5-U6</f>
        <v>2.2126416366648246E-2</v>
      </c>
      <c r="V8" s="41"/>
      <c r="AA8" s="35" t="e">
        <f>AA5-AA6</f>
        <v>#VALUE!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636.4</v>
      </c>
      <c r="D9" s="172">
        <f t="shared" si="0"/>
        <v>3.8240668232837338E-2</v>
      </c>
      <c r="E9" s="239">
        <f>_xll.BDP(B9&amp;" EQUITY","PX_YEST_CLOSE")</f>
        <v>612.96</v>
      </c>
      <c r="F9" s="16"/>
      <c r="G9" s="16"/>
      <c r="H9" t="s">
        <v>484</v>
      </c>
      <c r="I9" s="175" cm="1">
        <f t="array" ref="I9">_xll.BDP(H9&amp;" EQUITY","LAST_PRICE")</f>
        <v>82.45</v>
      </c>
      <c r="J9" s="172">
        <f t="shared" si="1"/>
        <v>-1.8101702989162805E-2</v>
      </c>
      <c r="K9" s="239" cm="1">
        <f t="array" ref="K9">_xll.BDP(H9&amp;" EQUITY","PX_YEST_CLOSE")</f>
        <v>83.97</v>
      </c>
      <c r="N9" s="6"/>
      <c r="O9" s="30"/>
      <c r="P9" s="46"/>
      <c r="Q9" s="6"/>
      <c r="R9" s="30"/>
      <c r="S9" s="46"/>
      <c r="T9" s="339" t="s">
        <v>2155</v>
      </c>
      <c r="U9" s="340">
        <f>SUM(U16:U17)</f>
        <v>1.3357901398898999E-3</v>
      </c>
      <c r="V9" s="341">
        <f>SUM(V16:V17)</f>
        <v>0.33385025591398282</v>
      </c>
      <c r="W9" s="123">
        <v>3</v>
      </c>
      <c r="X9" s="221">
        <v>0.25</v>
      </c>
      <c r="AD9" s="18"/>
      <c r="AF9" s="3"/>
      <c r="AG9" s="276"/>
      <c r="AH9" s="32"/>
      <c r="AI9"/>
    </row>
    <row r="10" spans="1:39">
      <c r="B10" t="s">
        <v>1889</v>
      </c>
      <c r="C10" s="175" cm="1">
        <f t="array" ref="C10">_xll.BDP(B10&amp;" EQUITY","LAST_PRICE")</f>
        <v>178.13</v>
      </c>
      <c r="D10" s="172">
        <f t="shared" si="0"/>
        <v>2.4442144007361444E-2</v>
      </c>
      <c r="E10" s="239">
        <f>_xll.BDP(B10&amp;" EQUITY","PX_YEST_CLOSE")</f>
        <v>173.88</v>
      </c>
      <c r="F10" s="13"/>
      <c r="G10" s="13"/>
      <c r="H10" t="s">
        <v>131</v>
      </c>
      <c r="I10" s="175" cm="1">
        <f t="array" ref="I10">_xll.BDP(H10&amp;" EQUITY","LAST_PRICE")</f>
        <v>104.71</v>
      </c>
      <c r="J10" s="172">
        <f t="shared" si="1"/>
        <v>3.3764438740250702E-2</v>
      </c>
      <c r="K10" s="239">
        <f>_xll.BDP(H10&amp;" EQUITY","PX_YEST_CLOSE")</f>
        <v>101.29</v>
      </c>
      <c r="N10" s="6"/>
      <c r="P10" s="50">
        <f>SUM(Tabelad[D1 P&amp;L bps])</f>
        <v>1.9816201426269027</v>
      </c>
      <c r="Q10" s="6"/>
      <c r="S10" s="50">
        <f>SUM(Tabelad[Options P&amp;L bps])</f>
        <v>1.1301780738641654</v>
      </c>
      <c r="T10" s="342" t="s">
        <v>2342</v>
      </c>
      <c r="U10" s="342">
        <f>U7+U9</f>
        <v>2.0908460486413732E-2</v>
      </c>
      <c r="V10" s="343">
        <f>V7+V9</f>
        <v>3.111798216491068</v>
      </c>
      <c r="W10" s="17">
        <f>AE7*W9/10000</f>
        <v>718849.23179999995</v>
      </c>
      <c r="X10" s="347"/>
      <c r="Y10" s="54">
        <v>0.35</v>
      </c>
      <c r="Z10" s="38">
        <f>SUM(Tabelad[Beta Adj])</f>
        <v>4.6716248332877237</v>
      </c>
      <c r="AA10" s="71" t="e">
        <f>AA7-SUM(#REF!)</f>
        <v>#VALUE!</v>
      </c>
      <c r="AD10" s="15">
        <f>SUM(Tabelad[Daily P&amp;L])</f>
        <v>445078.83317951846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SUM(AH12:AH36)+#REF!+#REF!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1875</v>
      </c>
      <c r="D11" s="57" t="s">
        <v>1876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8" t="s">
        <v>178</v>
      </c>
      <c r="J11" s="419" t="s">
        <v>103</v>
      </c>
      <c r="K11" s="440" t="s">
        <v>179</v>
      </c>
      <c r="L11" s="420" t="s">
        <v>180</v>
      </c>
      <c r="M11" s="421" t="s">
        <v>181</v>
      </c>
      <c r="N11" s="420" t="s">
        <v>182</v>
      </c>
      <c r="O11" s="57" t="s">
        <v>155</v>
      </c>
      <c r="P11" s="419" t="s">
        <v>156</v>
      </c>
      <c r="Q11" s="420" t="s">
        <v>183</v>
      </c>
      <c r="R11" s="57" t="s">
        <v>157</v>
      </c>
      <c r="S11" s="419" t="s">
        <v>158</v>
      </c>
      <c r="T11" s="57" t="s">
        <v>63</v>
      </c>
      <c r="U11" s="57" t="s">
        <v>159</v>
      </c>
      <c r="V11" s="419" t="s">
        <v>160</v>
      </c>
      <c r="W11" s="57" t="s">
        <v>184</v>
      </c>
      <c r="X11" s="418" t="s">
        <v>185</v>
      </c>
      <c r="Y11" s="422" t="s">
        <v>186</v>
      </c>
      <c r="Z11" s="57" t="s">
        <v>188</v>
      </c>
      <c r="AA11" s="57" t="s">
        <v>187</v>
      </c>
      <c r="AB11" s="422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3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1915</v>
      </c>
      <c r="E12" t="s">
        <v>194</v>
      </c>
      <c r="F12" s="22" t="str">
        <f>IF(T12&gt;0,"Long","Short")</f>
        <v>Long</v>
      </c>
      <c r="G12" s="15"/>
      <c r="H12" s="457">
        <v>3378</v>
      </c>
      <c r="I12" s="36" cm="1">
        <f t="array" ref="I12">_xll.BDP(B12&amp;" Equity","LAST_PRICE")</f>
        <v>180.04499999999999</v>
      </c>
      <c r="J12" s="51">
        <f t="shared" ref="J12:J32" si="2">I12/K12-1</f>
        <v>6.7439378668405769E-2</v>
      </c>
      <c r="K12" s="439" cm="1">
        <f t="array" ref="K12">_xll.BDP(B12&amp;" EQUITY","PX_YEST_CLOSE")</f>
        <v>168.67</v>
      </c>
      <c r="L12" s="53" cm="1">
        <f t="array" ref="L12">_xll.BDP(E12&amp;" Curncy","PX_LAST")</f>
        <v>1</v>
      </c>
      <c r="M12" s="52">
        <v>1</v>
      </c>
      <c r="N12" s="15">
        <f t="shared" ref="N12:N32" si="3">IFERROR(IF(((I12/L12)*H12*M12)&lt;&gt;0,((I12/L12)*H12*M12),0),"-")</f>
        <v>608192.01</v>
      </c>
      <c r="O12" s="357">
        <f>IFERROR(IF(Tabelad[[#This Row],[D1 Exp USD]]&lt;&gt;0,N12/$AE$7,0),"-")</f>
        <v>2.5381901367985853E-4</v>
      </c>
      <c r="P12" s="20">
        <f>IFERROR(IF(Tabelad[[#This Row],[D1 Exp USD]]&lt;&gt;0,((I12-K12)/L12*M12*H12)/$AD$7*10000,0),"-")</f>
        <v>0.16035942573292181</v>
      </c>
      <c r="Q12" s="15">
        <f>IF(SUM(SUMIFS(Options!$AL$4:$AL$27, Options!$D$4:$D$27, B12), SUMIFS(Options!$AL$4:$AL$27, Options!$D$4:$D$27, B12 &amp; " US"))=0,0,SUM(SUMIFS(Options!$AL$4:$AL$27, Options!$D$4:$D$27, B12), SUMIFS(Options!$AL$4:$AL$27, Options!$D$4:$D$27, B12 &amp; " US")))</f>
        <v>0</v>
      </c>
      <c r="R12" s="19">
        <f t="shared" ref="R12:R15" si="4">Q12/$AE$7</f>
        <v>0</v>
      </c>
      <c r="S12" s="20">
        <f>IF(SUM(SUMIFS(Options!$AK$4:$AK$27, Options!$D$4:$D$27, B12), SUMIFS(Options!$AK$4:$AK$27, Options!$D$4:$D$27, B12 &amp; " US"))=0,0,SUM(SUMIFS(Options!$AK$4:$AK$27, Options!$D$4:$D$27, B12), SUMIFS(Options!AK$4:$AK$27, Options!$D$4:$D$27, B12 &amp; " US")))</f>
        <v>0</v>
      </c>
      <c r="T12" s="13">
        <f t="shared" ref="T12:T32" si="5">N12+Q12</f>
        <v>608192.01</v>
      </c>
      <c r="U12" s="48">
        <f t="shared" ref="U12:U32" si="6">T12/$AE$7</f>
        <v>2.5381901367985853E-4</v>
      </c>
      <c r="V12" s="20">
        <f t="shared" ref="V12:V32" si="7">P12+S12</f>
        <v>0.16035942573292181</v>
      </c>
      <c r="W12" s="15">
        <f t="shared" ref="W12:W32" si="8">$W$10/(I12/L12*M12)</f>
        <v>3992.608691160543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0.10542127411969368</v>
      </c>
      <c r="AA12" s="19">
        <f>Tabelad[[#This Row],[Exp %]]*Tabelad[[#This Row],[Beta Adj2]]</f>
        <v>2.1668307864830706E-4</v>
      </c>
      <c r="AB12" s="36">
        <f>_xll.BDP($B12&amp;" Equity","volatility_10d")</f>
        <v>66.454453567555873</v>
      </c>
      <c r="AC12" s="36">
        <f>_xll.BDP(B12&amp;" EQUITY","eqy_beta")</f>
        <v>0.85369127988815308</v>
      </c>
      <c r="AD12" s="15">
        <f>Tabelad[[#This Row],[D1 P&amp;L bps]]*$AD$5/10000</f>
        <v>36017.289368048398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2" si="9">(T12*AG12)/$AD$7*10000</f>
        <v>#VALUE!</v>
      </c>
      <c r="AI12" s="456" t="str">
        <f>_xll.BDP(B12&amp;" Equity","DVD_EX_DT")</f>
        <v>12/06/2025</v>
      </c>
    </row>
    <row r="13" spans="1:39">
      <c r="B13" s="40" t="s">
        <v>2162</v>
      </c>
      <c r="C13" t="s">
        <v>1915</v>
      </c>
      <c r="E13" t="s">
        <v>194</v>
      </c>
      <c r="F13" s="22" t="str">
        <f>IF(T13&gt;0,"Long","Short")</f>
        <v>Long</v>
      </c>
      <c r="G13" s="15"/>
      <c r="H13" s="457">
        <v>3510</v>
      </c>
      <c r="I13" s="36" cm="1">
        <f t="array" ref="I13">_xll.BDP(B13&amp;" Equity","LAST_PRICE")</f>
        <v>163.29</v>
      </c>
      <c r="J13" s="51">
        <f t="shared" si="2"/>
        <v>6.2238106975596175E-3</v>
      </c>
      <c r="K13" s="439" cm="1">
        <f t="array" ref="K13">_xll.BDP(B13&amp;" EQUITY","PX_YEST_CLOSE")</f>
        <v>162.28</v>
      </c>
      <c r="L13" s="53" cm="1">
        <f t="array" ref="L13">_xll.BDP(E13&amp;" Curncy","PX_LAST")</f>
        <v>1</v>
      </c>
      <c r="M13" s="52">
        <v>1</v>
      </c>
      <c r="N13" s="15">
        <f t="shared" si="3"/>
        <v>573147.9</v>
      </c>
      <c r="O13" s="357">
        <f>IFERROR(IF(Tabelad[[#This Row],[D1 Exp USD]]&lt;&gt;0,N13/$AE$7,0),"-")</f>
        <v>2.3919392606075538E-4</v>
      </c>
      <c r="P13" s="20">
        <f>IFERROR(IF(Tabelad[[#This Row],[D1 Exp USD]]&lt;&gt;0,((I13-K13)/L13*M13*H13)/$AD$7*10000,0),"-")</f>
        <v>1.4794896522834267E-2</v>
      </c>
      <c r="Q13" s="15">
        <f>IF(SUM(SUMIFS(Options!$AL$4:$AL$27, Options!$D$4:$D$27, B13), SUMIFS(Options!$AL$4:$AL$27, Options!$D$4:$D$27, B13 &amp; " US"))=0,0,SUM(SUMIFS(Options!$AL$4:$AL$27, Options!$D$4:$D$27, B13), SUMIFS(Options!$AL$4:$AL$27, Options!$D$4:$D$27, B13 &amp; " US")))</f>
        <v>0</v>
      </c>
      <c r="R13" s="19">
        <f t="shared" si="4"/>
        <v>0</v>
      </c>
      <c r="S13" s="20">
        <f>IF(SUM(SUMIFS(Options!$AK$4:$AK$27, Options!$D$4:$D$27, B13), SUMIFS(Options!$AK$4:$AK$27, Options!$D$4:$D$27, B13 &amp; " US"))=0,0,SUM(SUMIFS(Options!$AK$4:$AK$27, Options!$D$4:$D$27, B13), SUMIFS(Options!AK$4:$AK$27, Options!$D$4:$D$27, B13 &amp; " US")))</f>
        <v>0</v>
      </c>
      <c r="T13" s="13">
        <f t="shared" si="5"/>
        <v>573147.9</v>
      </c>
      <c r="U13" s="48">
        <f t="shared" si="6"/>
        <v>2.3919392606075538E-4</v>
      </c>
      <c r="V13" s="20">
        <f t="shared" si="7"/>
        <v>1.4794896522834267E-2</v>
      </c>
      <c r="W13" s="15">
        <f t="shared" si="8"/>
        <v>4402.2856990630162</v>
      </c>
      <c r="X13" s="19"/>
      <c r="Y13" s="375">
        <f>Tabelad[[#This Row],[Exp %]]*$Y$10*$AD$7/Tabelad[[#This Row],[Price Today]]</f>
        <v>1228.5000000000002</v>
      </c>
      <c r="Z13" s="266">
        <f>Tabelad[[#This Row],[Vol 10d]]/16*Tabelad[[#This Row],[Exp %]]*100</f>
        <v>8.8453440823586443E-2</v>
      </c>
      <c r="AA13" s="19">
        <f>Tabelad[[#This Row],[Exp %]]*Tabelad[[#This Row],[Beta Adj2]]</f>
        <v>2.4764209486459991E-4</v>
      </c>
      <c r="AB13" s="36">
        <f>_xll.BDP($B13&amp;" Equity","volatility_10d")</f>
        <v>59.167683581476382</v>
      </c>
      <c r="AC13" s="36">
        <f>_xll.BDP(B13&amp;" EQUITY","eqy_beta")</f>
        <v>1.0353193283081055</v>
      </c>
      <c r="AD13" s="15">
        <f>Tabelad[[#This Row],[D1 P&amp;L bps]]*$AD$5/10000</f>
        <v>3322.9856417717028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56" t="str">
        <f>_xll.BDP(B13&amp;" Equity","DVD_EX_DT")</f>
        <v>#N/A Field Not Applicable</v>
      </c>
    </row>
    <row r="14" spans="1:39">
      <c r="B14" s="40" t="s">
        <v>38</v>
      </c>
      <c r="C14" t="s">
        <v>1915</v>
      </c>
      <c r="E14" t="s">
        <v>194</v>
      </c>
      <c r="F14" s="22" t="str">
        <f>IF(T14&gt;0,"Long","Short")</f>
        <v>Long</v>
      </c>
      <c r="G14" s="15"/>
      <c r="H14" s="457"/>
      <c r="I14" s="36" cm="1">
        <f t="array" ref="I14">_xll.BDP(B14&amp;" Equity","LAST_PRICE")</f>
        <v>33.715000000000003</v>
      </c>
      <c r="J14" s="51">
        <f t="shared" si="2"/>
        <v>-4.4470797509621462E-4</v>
      </c>
      <c r="K14" s="439" cm="1">
        <f t="array" ref="K14">_xll.BDP(B14&amp;" EQUITY","PX_YEST_CLOSE")</f>
        <v>33.729999999999997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7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IF(SUM(SUMIFS(Options!$AL$4:$AL$27, Options!$D$4:$D$27, B14), SUMIFS(Options!$AL$4:$AL$27, Options!$D$4:$D$27, B14 &amp; " US"))=0,0,SUM(SUMIFS(Options!$AL$4:$AL$27, Options!$D$4:$D$27, B14), SUMIFS(Options!$AL$4:$AL$27, Options!$D$4:$D$27, B14 &amp; " US")))</f>
        <v>1735092.9964780812</v>
      </c>
      <c r="R14" s="19">
        <f t="shared" si="4"/>
        <v>7.2411275677379723E-4</v>
      </c>
      <c r="S14" s="20">
        <f>IF(SUM(SUMIFS(Options!$AK$4:$AK$27, Options!$D$4:$D$27, B14), SUMIFS(Options!$AK$4:$AK$27, Options!$D$4:$D$27, B14 &amp; " US"))=0,0,SUM(SUMIFS(Options!$AK$4:$AK$27, Options!$D$4:$D$27, B14), SUMIFS(Options!AK$4:$AK$27, Options!$D$4:$D$27, B14 &amp; " US")))</f>
        <v>-4.5340327795761512E-2</v>
      </c>
      <c r="T14" s="13">
        <f t="shared" si="5"/>
        <v>1735092.9964780812</v>
      </c>
      <c r="U14" s="48">
        <f t="shared" si="6"/>
        <v>7.2411275677379723E-4</v>
      </c>
      <c r="V14" s="20">
        <f t="shared" si="7"/>
        <v>-4.5340327795761512E-2</v>
      </c>
      <c r="W14" s="15">
        <f t="shared" si="8"/>
        <v>21321.34752484057</v>
      </c>
      <c r="X14" s="19"/>
      <c r="Y14" s="375">
        <f>Tabelad[[#This Row],[Exp %]]*$Y$10*$AD$7/Tabelad[[#This Row],[Price Today]]</f>
        <v>18012.236356735229</v>
      </c>
      <c r="Z14" s="266">
        <f>Tabelad[[#This Row],[Vol 10d]]/16*Tabelad[[#This Row],[Exp %]]*100</f>
        <v>6.7623455703252053E-2</v>
      </c>
      <c r="AA14" s="19">
        <f>Tabelad[[#This Row],[Exp %]]*Tabelad[[#This Row],[Beta Adj2]]</f>
        <v>8.290049896080917E-4</v>
      </c>
      <c r="AB14" s="36">
        <f>_xll.BDP($B14&amp;" Equity","volatility_10d")</f>
        <v>14.942082999236911</v>
      </c>
      <c r="AC14" s="36">
        <f>_xll.BDP(B14&amp;" EQUITY","eqy_beta")</f>
        <v>1.1448562145233154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-2.3717170000000002E-3</v>
      </c>
      <c r="AH14" s="20">
        <f t="shared" si="9"/>
        <v>-1.7173905351572802E-2</v>
      </c>
      <c r="AI14" s="456" t="str">
        <f>_xll.BDP(B14&amp;" Equity","DVD_EX_DT")</f>
        <v>19/12/2025</v>
      </c>
    </row>
    <row r="15" spans="1:39" s="494" customFormat="1">
      <c r="A15" s="495"/>
      <c r="B15" s="497" t="s">
        <v>2315</v>
      </c>
      <c r="C15" s="494" t="s">
        <v>78</v>
      </c>
      <c r="E15" s="494" t="s">
        <v>194</v>
      </c>
      <c r="F15" s="496" t="s">
        <v>100</v>
      </c>
      <c r="G15" s="493"/>
      <c r="H15" s="492"/>
      <c r="I15" s="490" cm="1">
        <f t="array" ref="I15">_xll.BDP(B15&amp;" Index","LAST_PRICE")</f>
        <v>25627.25</v>
      </c>
      <c r="J15" s="489">
        <f t="shared" si="2"/>
        <v>6.1344273880099554E-3</v>
      </c>
      <c r="K15" s="498" cm="1">
        <f t="array" ref="K15">_xll.BDP(B15&amp;" Index","PX_YEST_CLOSE")</f>
        <v>25471</v>
      </c>
      <c r="L15" s="491" cm="1">
        <f t="array" ref="L15">_xll.BDP(E15&amp;" Curncy","PX_LAST")</f>
        <v>1</v>
      </c>
      <c r="M15" s="488">
        <v>20</v>
      </c>
      <c r="N15" s="493">
        <f t="shared" si="3"/>
        <v>0</v>
      </c>
      <c r="O15" s="487">
        <f>IFERROR(IF(Tabelad[[#This Row],[D1 Exp USD]]&lt;&gt;0,N15/$AE$7,0),"-")</f>
        <v>0</v>
      </c>
      <c r="P15" s="486">
        <f>IFERROR(IF(Tabelad[[#This Row],[D1 Exp USD]]&lt;&gt;0,((I15-K15)/L15*M15*H15)/$AD$7*10000,0),"-")</f>
        <v>0</v>
      </c>
      <c r="Q15" s="493">
        <f>IF(SUM(SUMIFS(Options!$AL$4:$AL$27, Options!$D$4:$D$27, B15), SUMIFS(Options!$AL$4:$AL$27, Options!$D$4:$D$27, B15 &amp; " US"))=0,0,SUM(SUMIFS(Options!$AL$4:$AL$27, Options!$D$4:$D$27, B15), SUMIFS(Options!$AL$4:$AL$27, Options!$D$4:$D$27, B15 &amp; " US")))</f>
        <v>0</v>
      </c>
      <c r="R15" s="467">
        <f t="shared" si="4"/>
        <v>0</v>
      </c>
      <c r="S15" s="486">
        <f>IF(SUM(SUMIFS(Options!$AK$4:$AK$27, Options!$D$4:$D$27, B15), SUMIFS(Options!$AK$4:$AK$27, Options!$D$4:$D$27, B15 &amp; " US"))=0,0,SUM(SUMIFS(Options!$AK$4:$AK$27, Options!$D$4:$D$27, B15), SUMIFS(Options!AK$4:$AK$27, Options!$D$4:$D$27, B15 &amp; " US")))</f>
        <v>-6.4160880974318379E-2</v>
      </c>
      <c r="T15" s="459">
        <f t="shared" si="5"/>
        <v>0</v>
      </c>
      <c r="U15" s="466">
        <f t="shared" si="6"/>
        <v>0</v>
      </c>
      <c r="V15" s="486">
        <f t="shared" si="7"/>
        <v>-6.4160880974318379E-2</v>
      </c>
      <c r="W15" s="493">
        <f t="shared" si="8"/>
        <v>1.4025095002390033</v>
      </c>
      <c r="X15" s="467"/>
      <c r="Y15" s="460">
        <f>Tabelad[[#This Row],[Exp %]]*$Y$10*$AD$7/Tabelad[[#This Row],[Price Today]]</f>
        <v>0</v>
      </c>
      <c r="Z15" s="465">
        <f>Tabelad[[#This Row],[Vol 10d]]/16*Tabelad[[#This Row],[Exp %]]*100</f>
        <v>0</v>
      </c>
      <c r="AA15" s="467" t="e">
        <f>Tabelad[[#This Row],[Exp %]]*Tabelad[[#This Row],[Beta Adj2]]</f>
        <v>#VALUE!</v>
      </c>
      <c r="AB15" s="490">
        <f>_xll.BDP($B15&amp;" Index","volatility_10d")</f>
        <v>17.60223388671875</v>
      </c>
      <c r="AC15" s="490" t="str" cm="1">
        <f t="array" ref="AC15">_xll.BDP(B15&amp;" Index","eqy_beta")</f>
        <v>#N/A Field Not Applicable</v>
      </c>
      <c r="AD15" s="493">
        <f>Tabelad[[#This Row],[D1 P&amp;L bps]]*$AD$5/10000</f>
        <v>0</v>
      </c>
      <c r="AE15" s="464"/>
      <c r="AF15" s="463" t="str">
        <f>_xll.BDP(B15&amp;" Index","EXPECTED_REPORT_DT")</f>
        <v>#N/A Field Not Applicable</v>
      </c>
      <c r="AG15" s="462" t="e">
        <f>_xll.BDP(B15&amp;" Index","CHG_PCT_1D_PRE_FROM_REGULAR")/100</f>
        <v>#VALUE!</v>
      </c>
      <c r="AH15" s="486" t="e">
        <f t="shared" si="9"/>
        <v>#VALUE!</v>
      </c>
      <c r="AI15" s="461" t="str">
        <f>_xll.BDP(B15&amp;" Index","DVD_EX_DT")</f>
        <v>#N/A Field Not Applicable</v>
      </c>
    </row>
    <row r="16" spans="1:39">
      <c r="B16" s="40" t="s">
        <v>131</v>
      </c>
      <c r="C16" t="s">
        <v>2155</v>
      </c>
      <c r="E16" t="s">
        <v>194</v>
      </c>
      <c r="F16" s="22"/>
      <c r="G16" s="15"/>
      <c r="H16" s="457">
        <v>14800</v>
      </c>
      <c r="I16" s="36" cm="1">
        <f t="array" ref="I16">_xll.BDP(B16&amp;" Equity","LAST_PRICE")</f>
        <v>104.71</v>
      </c>
      <c r="J16" s="51">
        <f t="shared" ref="J16:J19" si="10">I16/K16-1</f>
        <v>3.3764438740250702E-2</v>
      </c>
      <c r="K16" s="439" cm="1">
        <f t="array" ref="K16">_xll.BDP(B16&amp;" EQUITY","PX_YEST_CLOSE")</f>
        <v>101.29</v>
      </c>
      <c r="L16" s="53" cm="1">
        <f t="array" ref="L16">_xll.BDP(E16&amp;" Curncy","PX_LAST")</f>
        <v>1</v>
      </c>
      <c r="M16" s="52">
        <v>1</v>
      </c>
      <c r="N16" s="15">
        <f t="shared" ref="N16:N19" si="11">IFERROR(IF(((I16/L16)*H16*M16)&lt;&gt;0,((I16/L16)*H16*M16),0),"-")</f>
        <v>1549708</v>
      </c>
      <c r="O16" s="357">
        <f>IFERROR(IF(Tabelad[[#This Row],[D1 Exp USD]]&lt;&gt;0,N16/$AE$7,0),"-")</f>
        <v>6.4674535275757109E-4</v>
      </c>
      <c r="P16" s="20">
        <f>IFERROR(IF(Tabelad[[#This Row],[D1 Exp USD]]&lt;&gt;0,((I16-K16)/L16*M16*H16)/$AD$7*10000,0),"-")</f>
        <v>0.2112376187977161</v>
      </c>
      <c r="Q16" s="15">
        <f>IF(SUM(SUMIFS(Options!$AL$4:$AL$27, Options!$D$4:$D$27, B16), SUMIFS(Options!$AL$4:$AL$27, Options!$D$4:$D$27, B16 &amp; " US"))=0,0,SUM(SUMIFS(Options!$AL$4:$AL$27, Options!$D$4:$D$27, B16), SUMIFS(Options!$AL$4:$AL$27, Options!$D$4:$D$27, B16 &amp; " US")))</f>
        <v>1156364.3863528967</v>
      </c>
      <c r="R16" s="19">
        <f t="shared" ref="R16" si="12">Q16/$AE$7</f>
        <v>4.8258981238278204E-4</v>
      </c>
      <c r="S16" s="20">
        <f>IF(SUM(SUMIFS(Options!$AK$4:$AK$27, Options!$D$4:$D$27, B16), SUMIFS(Options!$AK$4:$AK$27, Options!$D$4:$D$27, B16 &amp; " US"))=0,0,SUM(SUMIFS(Options!$AK$4:$AK$27, Options!$D$4:$D$27, B16), SUMIFS(Options!AK$4:$AK$27, Options!$D$4:$D$27, B16 &amp; " US")))</f>
        <v>0.16067346933207149</v>
      </c>
      <c r="T16" s="13">
        <f t="shared" ref="T16:T19" si="13">N16+Q16</f>
        <v>2706072.3863528967</v>
      </c>
      <c r="U16" s="48">
        <f t="shared" ref="U16:U19" si="14">T16/$AE$7</f>
        <v>1.1293351651403532E-3</v>
      </c>
      <c r="V16" s="20">
        <f t="shared" ref="V16:V19" si="15">P16+S16</f>
        <v>0.37191108812978757</v>
      </c>
      <c r="W16" s="15">
        <f t="shared" si="8"/>
        <v>6865.144033998663</v>
      </c>
      <c r="X16" s="19"/>
      <c r="Y16" s="375">
        <f>Tabelad[[#This Row],[Exp %]]*$Y$10*$AD$7/Tabelad[[#This Row],[Price Today]]</f>
        <v>9045.2233332395554</v>
      </c>
      <c r="Z16" s="266">
        <f>Tabelad[[#This Row],[Vol 10d]]/16*Tabelad[[#This Row],[Exp %]]*100</f>
        <v>0.23417652918826132</v>
      </c>
      <c r="AA16" s="19">
        <f>Tabelad[[#This Row],[Exp %]]*Tabelad[[#This Row],[Beta Adj2]]</f>
        <v>1.1184015482516264E-3</v>
      </c>
      <c r="AB16" s="36">
        <f>_xll.BDP($B16&amp;" Equity","volatility_10d")</f>
        <v>33.177258467343727</v>
      </c>
      <c r="AC16" s="36">
        <f>_xll.BDP(B16&amp;" EQUITY","eqy_beta")</f>
        <v>0.99031853675842285</v>
      </c>
      <c r="AD16" s="15">
        <f>Tabelad[[#This Row],[D1 P&amp;L bps]]*$AD$5/10000</f>
        <v>47444.709950048637</v>
      </c>
      <c r="AE16" s="277"/>
      <c r="AF16" s="231" t="str">
        <f>_xll.BDP(B16&amp;" Equity","EXPECTED_REPORT_DT")</f>
        <v>#N/A N/A</v>
      </c>
      <c r="AG16" s="172">
        <f>_xll.BDP(B16&amp;" Index","CHG_PCT_1D_PRE_FROM_REGULAR")/100</f>
        <v>-9.8747520000000004E-5</v>
      </c>
      <c r="AH16" s="20">
        <f t="shared" si="9"/>
        <v>-1.1151904680640034E-3</v>
      </c>
      <c r="AI16" s="456" t="str">
        <f>_xll.BDP(B16&amp;" Equity","DVD_EX_DT")</f>
        <v>22/12/2025</v>
      </c>
    </row>
    <row r="17" spans="1:35">
      <c r="A17" s="336" t="s">
        <v>1770</v>
      </c>
      <c r="B17" s="40" t="s">
        <v>484</v>
      </c>
      <c r="C17" t="s">
        <v>2155</v>
      </c>
      <c r="E17" t="s">
        <v>194</v>
      </c>
      <c r="F17" s="22"/>
      <c r="G17" s="15"/>
      <c r="H17" s="457">
        <v>6000</v>
      </c>
      <c r="I17" s="36" cm="1">
        <f t="array" ref="I17">_xll.BDP(B17&amp;" Equity","LAST_PRICE")</f>
        <v>82.45</v>
      </c>
      <c r="J17" s="51">
        <f t="shared" ref="J17" si="16">I17/K17-1</f>
        <v>-1.8101702989162805E-2</v>
      </c>
      <c r="K17" s="439" cm="1">
        <f t="array" ref="K17">_xll.BDP(B17&amp;" EQUITY","PX_YEST_CLOSE")</f>
        <v>83.97</v>
      </c>
      <c r="L17" s="53" cm="1">
        <f t="array" ref="L17">_xll.BDP(E17&amp;" Curncy","PX_LAST")</f>
        <v>1</v>
      </c>
      <c r="M17" s="52">
        <v>1</v>
      </c>
      <c r="N17" s="15">
        <f t="shared" ref="N17" si="17">IFERROR(IF(((I17/L17)*H17*M17)&lt;&gt;0,((I17/L17)*H17*M17),0),"-")</f>
        <v>494700</v>
      </c>
      <c r="O17" s="357">
        <f>IFERROR(IF(Tabelad[[#This Row],[D1 Exp USD]]&lt;&gt;0,N17/$AE$7,0),"-")</f>
        <v>2.0645497474954663E-4</v>
      </c>
      <c r="P17" s="20">
        <f>IFERROR(IF(Tabelad[[#This Row],[D1 Exp USD]]&lt;&gt;0,((I17-K17)/L17*M17*H17)/$AD$7*10000,0),"-")</f>
        <v>-3.8060832215804738E-2</v>
      </c>
      <c r="Q17" s="15">
        <f>IF(SUM(SUMIFS(Options!$AL$4:$AL$27, Options!$D$4:$D$27, B17), SUMIFS(Options!$AL$4:$AL$27, Options!$D$4:$D$27, B17 &amp; " US"))=0,0,SUM(SUMIFS(Options!$AL$4:$AL$27, Options!$D$4:$D$27, B17), SUMIFS(Options!$AL$4:$AL$27, Options!$D$4:$D$27, B17 &amp; " US")))</f>
        <v>0</v>
      </c>
      <c r="R17" s="19">
        <f t="shared" ref="R17:R36" si="18">Q17/$AE$7</f>
        <v>0</v>
      </c>
      <c r="S17" s="20">
        <f>IF(SUM(SUMIFS(Options!$AK$4:$AK$27, Options!$D$4:$D$27, B17), SUMIFS(Options!$AK$4:$AK$27, Options!$D$4:$D$27, B17 &amp; " US"))=0,0,SUM(SUMIFS(Options!$AK$4:$AK$27, Options!$D$4:$D$27, B17), SUMIFS(Options!AK$4:$AK$27, Options!$D$4:$D$27, B17 &amp; " US")))</f>
        <v>0</v>
      </c>
      <c r="T17" s="13">
        <f t="shared" ref="T17" si="19">N17+Q17</f>
        <v>494700</v>
      </c>
      <c r="U17" s="48">
        <f t="shared" ref="U17" si="20">T17/$AE$7</f>
        <v>2.0645497474954663E-4</v>
      </c>
      <c r="V17" s="20">
        <f t="shared" ref="V17" si="21">P17+S17</f>
        <v>-3.8060832215804738E-2</v>
      </c>
      <c r="W17" s="15">
        <f t="shared" ref="W17" si="22">$W$10/(I17/L17*M17)</f>
        <v>8718.6080266828376</v>
      </c>
      <c r="X17" s="19"/>
      <c r="Y17" s="375">
        <f>Tabelad[[#This Row],[Exp %]]*$Y$10*$AD$7/Tabelad[[#This Row],[Price Today]]</f>
        <v>2099.9999999999995</v>
      </c>
      <c r="Z17" s="266">
        <f>Tabelad[[#This Row],[Vol 10d]]/16*Tabelad[[#This Row],[Exp %]]*100</f>
        <v>3.7183340462999322E-2</v>
      </c>
      <c r="AA17" s="19">
        <f>Tabelad[[#This Row],[Exp %]]*Tabelad[[#This Row],[Beta Adj2]]</f>
        <v>2.1206897154975711E-4</v>
      </c>
      <c r="AB17" s="36">
        <f>_xll.BDP($B17&amp;" Equity","volatility_10d")</f>
        <v>28.816619610629925</v>
      </c>
      <c r="AC17" s="36">
        <f>_xll.BDP(B17&amp;" EQUITY","eqy_beta")</f>
        <v>1.0271923542022705</v>
      </c>
      <c r="AD17" s="15">
        <f>Tabelad[[#This Row],[D1 P&amp;L bps]]*$AD$5/10000</f>
        <v>-8548.5963873961591</v>
      </c>
      <c r="AE17" s="277"/>
      <c r="AF17" s="231" t="str">
        <f>_xll.BDP(B17&amp;" Equity","EXPECTED_REPORT_DT")</f>
        <v>#N/A N/A</v>
      </c>
      <c r="AG17" s="172" t="e">
        <f>_xll.BDP(B17&amp;" Index","CHG_PCT_1D_PRE_FROM_REGULAR")/100</f>
        <v>#VALUE!</v>
      </c>
      <c r="AH17" s="20" t="e">
        <f t="shared" ref="AH17" si="23">(T17*AG17)/$AD$7*10000</f>
        <v>#VALUE!</v>
      </c>
      <c r="AI17" s="456" t="str">
        <f>_xll.BDP(B17&amp;" Equity","DVD_EX_DT")</f>
        <v>30/12/2025</v>
      </c>
    </row>
    <row r="18" spans="1:35">
      <c r="B18" s="40" t="s">
        <v>2170</v>
      </c>
      <c r="C18" t="s">
        <v>2289</v>
      </c>
      <c r="E18" t="s">
        <v>194</v>
      </c>
      <c r="F18" s="22" t="s">
        <v>99</v>
      </c>
      <c r="G18" s="15"/>
      <c r="H18" s="457">
        <v>14800</v>
      </c>
      <c r="I18" s="36" cm="1">
        <f t="array" ref="I18">_xll.BDP(B18&amp;" Equity","LAST_PRICE")</f>
        <v>331.18</v>
      </c>
      <c r="J18" s="51">
        <f t="shared" si="10"/>
        <v>8.526706863999145E-3</v>
      </c>
      <c r="K18" s="439" cm="1">
        <f t="array" ref="K18">_xll.BDP(B18&amp;" EQUITY","PX_YEST_CLOSE")</f>
        <v>328.38</v>
      </c>
      <c r="L18" s="53" cm="1">
        <f t="array" ref="L18">_xll.BDP(E18&amp;" Curncy","PX_LAST")</f>
        <v>1</v>
      </c>
      <c r="M18" s="52">
        <v>1</v>
      </c>
      <c r="N18" s="15">
        <f t="shared" si="11"/>
        <v>4901464</v>
      </c>
      <c r="O18" s="357">
        <f>IFERROR(IF(Tabelad[[#This Row],[D1 Exp USD]]&lt;&gt;0,N18/$AE$7,0),"-")</f>
        <v>2.045546040743505E-3</v>
      </c>
      <c r="P18" s="20">
        <f>IFERROR(IF(Tabelad[[#This Row],[D1 Exp USD]]&lt;&gt;0,((I18-K18)/L18*M18*H18)/$AD$7*10000,0),"-")</f>
        <v>0.1729430797174297</v>
      </c>
      <c r="Q18" s="15">
        <f>IF(SUM(SUMIFS(Options!$AL$4:$AL$27, Options!$D$4:$D$27, B18), SUMIFS(Options!$AL$4:$AL$27, Options!$D$4:$D$27, B18 &amp; " US"))=0,0,SUM(SUMIFS(Options!$AL$4:$AL$27, Options!$D$4:$D$27, B18), SUMIFS(Options!$AL$4:$AL$27, Options!$D$4:$D$27, B18 &amp; " US")))</f>
        <v>0</v>
      </c>
      <c r="R18" s="19">
        <f t="shared" si="18"/>
        <v>0</v>
      </c>
      <c r="S18" s="20">
        <f>IF(SUM(SUMIFS(Options!$AK$4:$AK$27, Options!$D$4:$D$27, B18), SUMIFS(Options!$AK$4:$AK$27, Options!$D$4:$D$27, B18 &amp; " US"))=0,0,SUM(SUMIFS(Options!$AK$4:$AK$27, Options!$D$4:$D$27, B18), SUMIFS(Options!AK$4:$AK$27, Options!$D$4:$D$27, B18 &amp; " US")))</f>
        <v>0</v>
      </c>
      <c r="T18" s="13">
        <f t="shared" si="13"/>
        <v>4901464</v>
      </c>
      <c r="U18" s="48">
        <f t="shared" si="14"/>
        <v>2.045546040743505E-3</v>
      </c>
      <c r="V18" s="20">
        <f t="shared" si="15"/>
        <v>0.1729430797174297</v>
      </c>
      <c r="W18" s="15">
        <f t="shared" si="8"/>
        <v>2170.5695748535536</v>
      </c>
      <c r="X18" s="19"/>
      <c r="Y18" s="375">
        <f>Tabelad[[#This Row],[Exp %]]*$Y$10*$AD$7/Tabelad[[#This Row],[Price Today]]</f>
        <v>5180</v>
      </c>
      <c r="Z18" s="266">
        <f>Tabelad[[#This Row],[Vol 10d]]/16*Tabelad[[#This Row],[Exp %]]*100</f>
        <v>0.28891804178153685</v>
      </c>
      <c r="AA18" s="19">
        <f>Tabelad[[#This Row],[Exp %]]*Tabelad[[#This Row],[Beta Adj2]]</f>
        <v>2.0842917953492581E-3</v>
      </c>
      <c r="AB18" s="36">
        <f>_xll.BDP($B18&amp;" Equity","volatility_10d")</f>
        <v>22.598800400622405</v>
      </c>
      <c r="AC18" s="36" cm="1">
        <f t="array" ref="AC18">_xll.BDP(B18&amp;" EQUITY","eqy_beta")</f>
        <v>1.0189415216445923</v>
      </c>
      <c r="AD18" s="15">
        <f>Tabelad[[#This Row],[D1 P&amp;L bps]]*$AD$5/10000</f>
        <v>38843.62218132666</v>
      </c>
      <c r="AE18" s="277"/>
      <c r="AF18" s="231" t="str">
        <f>_xll.BDP(B18&amp;" Equity","EXPECTED_REPORT_DT")</f>
        <v>04/02/2026</v>
      </c>
      <c r="AG18" s="172">
        <f>_xll.BDP(B18&amp;" Index","CHG_PCT_1D_PRE_FROM_REGULAR")/100</f>
        <v>1.8149679999999998E-2</v>
      </c>
      <c r="AH18" s="20">
        <f t="shared" si="9"/>
        <v>0.37126006064761569</v>
      </c>
      <c r="AI18" s="456" t="str">
        <f>_xll.BDP(B18&amp;" Equity","DVD_EX_DT")</f>
        <v>08/12/2025</v>
      </c>
    </row>
    <row r="19" spans="1:35">
      <c r="B19" s="40" t="s">
        <v>399</v>
      </c>
      <c r="C19" t="s">
        <v>2289</v>
      </c>
      <c r="E19" t="s">
        <v>194</v>
      </c>
      <c r="F19" s="22" t="s">
        <v>99</v>
      </c>
      <c r="G19" s="15"/>
      <c r="H19" s="457">
        <v>11435</v>
      </c>
      <c r="I19" s="36" cm="1">
        <f t="array" ref="I19">_xll.BDP(B19&amp;" Equity","LAST_PRICE")</f>
        <v>235.07</v>
      </c>
      <c r="J19" s="51">
        <f t="shared" si="10"/>
        <v>1.6255241883186944E-2</v>
      </c>
      <c r="K19" s="439" cm="1">
        <f t="array" ref="K19">_xll.BDP(B19&amp;" EQUITY","PX_YEST_CLOSE")</f>
        <v>231.31</v>
      </c>
      <c r="L19" s="53" cm="1">
        <f t="array" ref="L19">_xll.BDP(E19&amp;" Curncy","PX_LAST")</f>
        <v>1</v>
      </c>
      <c r="M19" s="52">
        <v>1</v>
      </c>
      <c r="N19" s="15">
        <f t="shared" si="11"/>
        <v>2688025.4499999997</v>
      </c>
      <c r="O19" s="357">
        <f>IFERROR(IF(Tabelad[[#This Row],[D1 Exp USD]]&lt;&gt;0,N19/$AE$7,0),"-")</f>
        <v>1.1218035706607816E-3</v>
      </c>
      <c r="P19" s="20">
        <f>IFERROR(IF(Tabelad[[#This Row],[D1 Exp USD]]&lt;&gt;0,((I19-K19)/L19*M19*H19)/$AD$7*10000,0),"-")</f>
        <v>0.17943512254581739</v>
      </c>
      <c r="Q19" s="15">
        <f>IF(SUM(SUMIFS(Options!$AL$4:$AL$27, Options!$D$4:$D$27, B19), SUMIFS(Options!$AL$4:$AL$27, Options!$D$4:$D$27, B19 &amp; " US"))=0,0,SUM(SUMIFS(Options!$AL$4:$AL$27, Options!$D$4:$D$27, B19), SUMIFS(Options!$AL$4:$AL$27, Options!$D$4:$D$27, B19 &amp; " US")))</f>
        <v>0</v>
      </c>
      <c r="R19" s="19">
        <f t="shared" si="18"/>
        <v>0</v>
      </c>
      <c r="S19" s="20">
        <f>IF(SUM(SUMIFS(Options!$AK$4:$AK$27, Options!$D$4:$D$27, B19), SUMIFS(Options!$AK$4:$AK$27, Options!$D$4:$D$27, B19 &amp; " US"))=0,0,SUM(SUMIFS(Options!$AK$4:$AK$27, Options!$D$4:$D$27, B19), SUMIFS(Options!AK$4:$AK$27, Options!$D$4:$D$27, B19 &amp; " US")))</f>
        <v>0</v>
      </c>
      <c r="T19" s="13">
        <f t="shared" si="13"/>
        <v>2688025.4499999997</v>
      </c>
      <c r="U19" s="48">
        <f t="shared" si="14"/>
        <v>1.1218035706607816E-3</v>
      </c>
      <c r="V19" s="20">
        <f t="shared" si="15"/>
        <v>0.17943512254581739</v>
      </c>
      <c r="W19" s="15">
        <f t="shared" si="8"/>
        <v>3058.0220011060533</v>
      </c>
      <c r="X19" s="19"/>
      <c r="Y19" s="375">
        <f>Tabelad[[#This Row],[Exp %]]*$Y$10*$AD$7/Tabelad[[#This Row],[Price Today]]</f>
        <v>4002.2499999999991</v>
      </c>
      <c r="Z19" s="266">
        <f>Tabelad[[#This Row],[Vol 10d]]/16*Tabelad[[#This Row],[Exp %]]*100</f>
        <v>0.19251115064564156</v>
      </c>
      <c r="AA19" s="19">
        <f>Tabelad[[#This Row],[Exp %]]*Tabelad[[#This Row],[Beta Adj2]]</f>
        <v>1.4350225810315276E-3</v>
      </c>
      <c r="AB19" s="36">
        <f>_xll.BDP($B19&amp;" Equity","volatility_10d")</f>
        <v>27.457377484686841</v>
      </c>
      <c r="AC19" s="36" cm="1">
        <f t="array" ref="AC19">_xll.BDP(B19&amp;" EQUITY","eqy_beta")</f>
        <v>1.2792102098464966</v>
      </c>
      <c r="AD19" s="15">
        <f>Tabelad[[#This Row],[D1 P&amp;L bps]]*$AD$5/10000</f>
        <v>40301.757766878334</v>
      </c>
      <c r="AE19" s="277"/>
      <c r="AF19" s="231" t="str">
        <f>_xll.BDP(B19&amp;" Equity","EXPECTED_REPORT_DT")</f>
        <v>06/02/2026</v>
      </c>
      <c r="AG19" s="172">
        <f>_xll.BDP(B19&amp;" Index","CHG_PCT_1D_PRE_FROM_REGULAR")/100</f>
        <v>8.3870239999999999E-3</v>
      </c>
      <c r="AH19" s="20">
        <f t="shared" si="9"/>
        <v>9.4085934704176713E-2</v>
      </c>
      <c r="AI19" s="456" t="str">
        <f>_xll.BDP(B19&amp;" Equity","DVD_EX_DT")</f>
        <v>#N/A Field Not Applicable</v>
      </c>
    </row>
    <row r="20" spans="1:35" s="59" customFormat="1">
      <c r="A20" s="553"/>
      <c r="B20" s="424" t="s">
        <v>399</v>
      </c>
      <c r="C20" s="59" t="s">
        <v>2289</v>
      </c>
      <c r="E20" s="59" t="s">
        <v>194</v>
      </c>
      <c r="F20" s="163" t="s">
        <v>99</v>
      </c>
      <c r="G20" s="404"/>
      <c r="H20" s="524">
        <v>1000</v>
      </c>
      <c r="I20" s="14" cm="1">
        <f t="array" ref="I20">_xll.BDP(B20&amp;" Equity","LAST_PRICE")</f>
        <v>235.07</v>
      </c>
      <c r="J20" s="523">
        <f t="shared" ref="J20" si="24">I20/K20-1</f>
        <v>5.1740357478833321E-3</v>
      </c>
      <c r="K20" s="554">
        <v>233.86</v>
      </c>
      <c r="L20" s="8" cm="1">
        <f t="array" ref="L20">_xll.BDP(E20&amp;" Curncy","PX_LAST")</f>
        <v>1</v>
      </c>
      <c r="M20" s="551">
        <v>1</v>
      </c>
      <c r="N20" s="404">
        <f t="shared" ref="N20" si="25">IFERROR(IF(((I20/L20)*H20*M20)&lt;&gt;0,((I20/L20)*H20*M20),0),"-")</f>
        <v>235070</v>
      </c>
      <c r="O20" s="552">
        <f>IFERROR(IF(Tabelad[[#This Row],[D1 Exp USD]]&lt;&gt;0,N20/$AE$7,0),"-")</f>
        <v>9.8102629703610128E-5</v>
      </c>
      <c r="P20" s="545">
        <f>IFERROR(IF(Tabelad[[#This Row],[D1 Exp USD]]&lt;&gt;0,((I20-K20)/L20*M20*H20)/$AD$7*10000,0),"-")</f>
        <v>5.0497376075792849E-3</v>
      </c>
      <c r="Q20" s="404"/>
      <c r="R20" s="128"/>
      <c r="S20" s="545"/>
      <c r="T20" s="546">
        <f t="shared" ref="T20" si="26">N20+Q20</f>
        <v>235070</v>
      </c>
      <c r="U20" s="522">
        <f t="shared" ref="U20" si="27">T20/$AE$7</f>
        <v>9.8102629703610128E-5</v>
      </c>
      <c r="V20" s="545">
        <f t="shared" ref="V20" si="28">P20+S20</f>
        <v>5.0497376075792849E-3</v>
      </c>
      <c r="W20" s="404">
        <f t="shared" ref="W20" si="29">$W$10/(I20/L20*M20)</f>
        <v>3058.0220011060533</v>
      </c>
      <c r="X20" s="128"/>
      <c r="Y20" s="521">
        <f>Tabelad[[#This Row],[Exp %]]*$Y$10*$AD$7/Tabelad[[#This Row],[Price Today]]</f>
        <v>349.99999999999994</v>
      </c>
      <c r="Z20" s="549">
        <f>Tabelad[[#This Row],[Vol 10d]]/16*Tabelad[[#This Row],[Exp %]]*100</f>
        <v>1.683525585007797E-2</v>
      </c>
      <c r="AA20" s="128">
        <f>Tabelad[[#This Row],[Exp %]]*Tabelad[[#This Row],[Beta Adj2]]</f>
        <v>1.2549388552964827E-4</v>
      </c>
      <c r="AB20" s="14">
        <f>_xll.BDP($B20&amp;" Equity","volatility_10d")</f>
        <v>27.457377484686841</v>
      </c>
      <c r="AC20" s="14" cm="1">
        <f t="array" ref="AC20">_xll.BDP(B20&amp;" EQUITY","eqy_beta")</f>
        <v>1.2792102098464966</v>
      </c>
      <c r="AD20" s="404">
        <f>Tabelad[[#This Row],[D1 P&amp;L bps]]*$AD$5/10000</f>
        <v>1134.1887750821497</v>
      </c>
      <c r="AE20" s="337"/>
      <c r="AF20" s="550" t="str">
        <f>_xll.BDP(B20&amp;" Equity","EXPECTED_REPORT_DT")</f>
        <v>06/02/2026</v>
      </c>
      <c r="AG20" s="556">
        <f>_xll.BDP(B20&amp;" Index","CHG_PCT_1D_PRE_FROM_REGULAR")/100</f>
        <v>8.3870239999999999E-3</v>
      </c>
      <c r="AH20" s="545">
        <f t="shared" ref="AH20" si="30">(T20*AG20)/$AD$7*10000</f>
        <v>8.2278910978729105E-3</v>
      </c>
      <c r="AI20" s="555" t="str">
        <f>_xll.BDP(B20&amp;" Equity","DVD_EX_DT")</f>
        <v>#N/A Field Not Applicable</v>
      </c>
    </row>
    <row r="21" spans="1:35">
      <c r="B21" s="40" t="s">
        <v>81</v>
      </c>
      <c r="C21" t="s">
        <v>2289</v>
      </c>
      <c r="E21" t="s">
        <v>194</v>
      </c>
      <c r="F21" s="22" t="s">
        <v>99</v>
      </c>
      <c r="G21" s="15"/>
      <c r="H21" s="457">
        <v>6000</v>
      </c>
      <c r="I21" s="36" cm="1">
        <f t="array" ref="I21">_xll.BDP(B21&amp;" Equity","LAST_PRICE")</f>
        <v>636.4</v>
      </c>
      <c r="J21" s="51">
        <f t="shared" si="2"/>
        <v>3.8240668232837338E-2</v>
      </c>
      <c r="K21" s="439" cm="1">
        <f t="array" ref="K21">_xll.BDP(B21&amp;" EQUITY","PX_YEST_CLOSE")</f>
        <v>612.96</v>
      </c>
      <c r="L21" s="53" cm="1">
        <f t="array" ref="L21">_xll.BDP(E21&amp;" Curncy","PX_LAST")</f>
        <v>1</v>
      </c>
      <c r="M21" s="52">
        <v>1</v>
      </c>
      <c r="N21" s="15">
        <f t="shared" si="3"/>
        <v>3818400</v>
      </c>
      <c r="O21" s="357">
        <f>IFERROR(IF(Tabelad[[#This Row],[D1 Exp USD]]&lt;&gt;0,N21/$AE$7,0),"-")</f>
        <v>1.5935469488248814E-3</v>
      </c>
      <c r="P21" s="20">
        <f>IFERROR(IF(Tabelad[[#This Row],[D1 Exp USD]]&lt;&gt;0,((I21-K21)/L21*M21*H21)/$AD$7*10000,0),"-")</f>
        <v>0.58693809680162046</v>
      </c>
      <c r="Q21" s="15">
        <f>IF(SUM(SUMIFS(Options!$AL$4:$AL$27, Options!$D$4:$D$27, B21), SUMIFS(Options!$AL$4:$AL$27, Options!$D$4:$D$27, B21 &amp; " US"))=0,0,SUM(SUMIFS(Options!$AL$4:$AL$27, Options!$D$4:$D$27, B21), SUMIFS(Options!$AL$4:$AL$27, Options!$D$4:$D$27, B21 &amp; " US")))</f>
        <v>3092837.5515460968</v>
      </c>
      <c r="R21" s="19">
        <f t="shared" si="18"/>
        <v>1.2907452973699193E-3</v>
      </c>
      <c r="S21" s="20">
        <f>IF(SUM(SUMIFS(Options!$AK$4:$AK$27, Options!$D$4:$D$27, B21), SUMIFS(Options!$AK$4:$AK$27, Options!$D$4:$D$27, B21 &amp; " US"))=0,0,SUM(SUMIFS(Options!$AK$4:$AK$27, Options!$D$4:$D$27, B21), SUMIFS(Options!AK$4:$AK$27, Options!$D$4:$D$27, B21 &amp; " US")))</f>
        <v>0.24418194001608995</v>
      </c>
      <c r="T21" s="13">
        <f t="shared" si="5"/>
        <v>6911237.5515460968</v>
      </c>
      <c r="U21" s="48">
        <f t="shared" si="6"/>
        <v>2.8842922461948008E-3</v>
      </c>
      <c r="V21" s="20">
        <f t="shared" si="7"/>
        <v>0.83112003681771041</v>
      </c>
      <c r="W21" s="15">
        <f t="shared" si="8"/>
        <v>1129.5556753614078</v>
      </c>
      <c r="X21" s="19"/>
      <c r="Y21" s="375">
        <f>Tabelad[[#This Row],[Exp %]]*$Y$10*$AD$7/Tabelad[[#This Row],[Price Today]]</f>
        <v>3800.9634554386139</v>
      </c>
      <c r="Z21" s="266">
        <f>Tabelad[[#This Row],[Vol 10d]]/16*Tabelad[[#This Row],[Exp %]]*100</f>
        <v>0.45551607429855495</v>
      </c>
      <c r="AA21" s="19">
        <f>Tabelad[[#This Row],[Exp %]]*Tabelad[[#This Row],[Beta Adj2]]</f>
        <v>3.503163961911279E-3</v>
      </c>
      <c r="AB21" s="36">
        <f>_xll.BDP($B21&amp;" Equity","volatility_10d")</f>
        <v>25.268788897491778</v>
      </c>
      <c r="AC21" s="36" cm="1">
        <f t="array" ref="AC21">_xll.BDP(B21&amp;" EQUITY","eqy_beta")</f>
        <v>1.2145662307739258</v>
      </c>
      <c r="AD21" s="15">
        <f>Tabelad[[#This Row],[D1 P&amp;L bps]]*$AD$5/10000</f>
        <v>131828.35481616182</v>
      </c>
      <c r="AE21" s="277"/>
      <c r="AF21" s="231" t="str">
        <f>_xll.BDP(B21&amp;" Equity","EXPECTED_REPORT_DT")</f>
        <v>28/01/2026</v>
      </c>
      <c r="AG21" s="172" t="e">
        <f>_xll.BDP(B21&amp;" Index","CHG_PCT_1D_PRE_FROM_REGULAR")/100</f>
        <v>#VALUE!</v>
      </c>
      <c r="AH21" s="20" t="e">
        <f t="shared" si="9"/>
        <v>#VALUE!</v>
      </c>
      <c r="AI21" s="456" t="str">
        <f>_xll.BDP(B21&amp;" Equity","DVD_EX_DT")</f>
        <v>15/12/2025</v>
      </c>
    </row>
    <row r="22" spans="1:35" s="59" customFormat="1">
      <c r="A22" s="553"/>
      <c r="B22" s="424" t="s">
        <v>81</v>
      </c>
      <c r="C22" s="59" t="s">
        <v>2289</v>
      </c>
      <c r="E22" s="59" t="s">
        <v>194</v>
      </c>
      <c r="F22" s="163" t="s">
        <v>99</v>
      </c>
      <c r="G22" s="404"/>
      <c r="H22" s="524">
        <v>-1880</v>
      </c>
      <c r="I22" s="14" cm="1">
        <f t="array" ref="I22">_xll.BDP(B22&amp;" Equity","LAST_PRICE")</f>
        <v>636.4</v>
      </c>
      <c r="J22" s="523">
        <f t="shared" ref="J22" si="31">I22/K22-1</f>
        <v>4.2289970333899696E-3</v>
      </c>
      <c r="K22" s="554">
        <v>633.72</v>
      </c>
      <c r="L22" s="8" cm="1">
        <f t="array" ref="L22">_xll.BDP(E22&amp;" Curncy","PX_LAST")</f>
        <v>1</v>
      </c>
      <c r="M22" s="551">
        <v>1</v>
      </c>
      <c r="N22" s="404">
        <f t="shared" ref="N22" si="32">IFERROR(IF(((I22/L22)*H22*M22)&lt;&gt;0,((I22/L22)*H22*M22),0),"-")</f>
        <v>-1196432</v>
      </c>
      <c r="O22" s="552">
        <f>IFERROR(IF(Tabelad[[#This Row],[D1 Exp USD]]&lt;&gt;0,N22/$AE$7,0),"-")</f>
        <v>-4.9931137729846288E-4</v>
      </c>
      <c r="P22" s="545">
        <f>IFERROR(IF(Tabelad[[#This Row],[D1 Exp USD]]&lt;&gt;0,((I22-K22)/L22*M22*H22)/$AD$7*10000,0),"-")</f>
        <v>-2.1026940464485475E-2</v>
      </c>
      <c r="Q22" s="404"/>
      <c r="R22" s="128"/>
      <c r="S22" s="545"/>
      <c r="T22" s="546">
        <f t="shared" ref="T22" si="33">N22+Q22</f>
        <v>-1196432</v>
      </c>
      <c r="U22" s="522">
        <f t="shared" ref="U22" si="34">T22/$AE$7</f>
        <v>-4.9931137729846288E-4</v>
      </c>
      <c r="V22" s="545">
        <f t="shared" ref="V22" si="35">P22+S22</f>
        <v>-2.1026940464485475E-2</v>
      </c>
      <c r="W22" s="404">
        <f t="shared" ref="W22" si="36">$W$10/(I22/L22*M22)</f>
        <v>1129.5556753614078</v>
      </c>
      <c r="X22" s="128"/>
      <c r="Y22" s="521">
        <f>Tabelad[[#This Row],[Exp %]]*$Y$10*$AD$7/Tabelad[[#This Row],[Price Today]]</f>
        <v>-658</v>
      </c>
      <c r="Z22" s="549">
        <f>Tabelad[[#This Row],[Vol 10d]]/16*Tabelad[[#This Row],[Exp %]]*100</f>
        <v>-7.8856211169192045E-2</v>
      </c>
      <c r="AA22" s="128">
        <f>Tabelad[[#This Row],[Exp %]]*Tabelad[[#This Row],[Beta Adj2]]</f>
        <v>-6.0644673750793164E-4</v>
      </c>
      <c r="AB22" s="14">
        <f>_xll.BDP($B22&amp;" Equity","volatility_10d")</f>
        <v>25.268788897491778</v>
      </c>
      <c r="AC22" s="14" cm="1">
        <f t="array" ref="AC22">_xll.BDP(B22&amp;" EQUITY","eqy_beta")</f>
        <v>1.2145662307739258</v>
      </c>
      <c r="AD22" s="404">
        <f>Tabelad[[#This Row],[D1 P&amp;L bps]]*$AD$5/10000</f>
        <v>-4722.7245655982588</v>
      </c>
      <c r="AE22" s="337"/>
      <c r="AF22" s="550" t="str">
        <f>_xll.BDP(B22&amp;" Equity","EXPECTED_REPORT_DT")</f>
        <v>28/01/2026</v>
      </c>
      <c r="AG22" s="556" t="e">
        <f>_xll.BDP(B22&amp;" Index","CHG_PCT_1D_PRE_FROM_REGULAR")/100</f>
        <v>#VALUE!</v>
      </c>
      <c r="AH22" s="545" t="e">
        <f t="shared" ref="AH22" si="37">(T22*AG22)/$AD$7*10000</f>
        <v>#VALUE!</v>
      </c>
      <c r="AI22" s="555" t="str">
        <f>_xll.BDP(B22&amp;" Equity","DVD_EX_DT")</f>
        <v>15/12/2025</v>
      </c>
    </row>
    <row r="23" spans="1:35">
      <c r="B23" s="40" t="s">
        <v>90</v>
      </c>
      <c r="C23" t="s">
        <v>2289</v>
      </c>
      <c r="E23" t="s">
        <v>194</v>
      </c>
      <c r="F23" s="22" t="s">
        <v>99</v>
      </c>
      <c r="G23" s="15"/>
      <c r="H23" s="457">
        <v>3500</v>
      </c>
      <c r="I23" s="36" cm="1">
        <f t="array" ref="I23">_xll.BDP(B23&amp;" Equity","LAST_PRICE")</f>
        <v>446.77</v>
      </c>
      <c r="J23" s="51">
        <f t="shared" si="2"/>
        <v>5.9895071040958481E-3</v>
      </c>
      <c r="K23" s="439" cm="1">
        <f t="array" ref="K23">_xll.BDP(B23&amp;" EQUITY","PX_YEST_CLOSE")</f>
        <v>444.11</v>
      </c>
      <c r="L23" s="53" cm="1">
        <f t="array" ref="L23">_xll.BDP(E23&amp;" Curncy","PX_LAST")</f>
        <v>1</v>
      </c>
      <c r="M23" s="52">
        <v>1</v>
      </c>
      <c r="N23" s="15">
        <f t="shared" si="3"/>
        <v>1563695</v>
      </c>
      <c r="O23" s="357">
        <f>IFERROR(IF(Tabelad[[#This Row],[D1 Exp USD]]&lt;&gt;0,N23/$AE$7,0),"-")</f>
        <v>6.525825990317209E-4</v>
      </c>
      <c r="P23" s="20">
        <f>IFERROR(IF(Tabelad[[#This Row],[D1 Exp USD]]&lt;&gt;0,((I23-K23)/L23*M23*H23)/$AD$7*10000,0),"-")</f>
        <v>3.8853766220300311E-2</v>
      </c>
      <c r="Q23" s="15">
        <f>IF(SUM(SUMIFS(Options!$AL$4:$AL$27, Options!$D$4:$D$27, B23), SUMIFS(Options!$AL$4:$AL$27, Options!$D$4:$D$27, B23 &amp; " US"))=0,0,SUM(SUMIFS(Options!$AL$4:$AL$27, Options!$D$4:$D$27, B23), SUMIFS(Options!$AL$4:$AL$27, Options!$D$4:$D$27, B23 &amp; " US")))</f>
        <v>1372715.0409281254</v>
      </c>
      <c r="R23" s="19">
        <f t="shared" si="18"/>
        <v>5.7288022864996767E-4</v>
      </c>
      <c r="S23" s="20">
        <f>IF(SUM(SUMIFS(Options!$AK$4:$AK$27, Options!$D$4:$D$27, B23), SUMIFS(Options!$AK$4:$AK$27, Options!$D$4:$D$27, B23 &amp; " US"))=0,0,SUM(SUMIFS(Options!$AK$4:$AK$27, Options!$D$4:$D$27, B23), SUMIFS(Options!AK$4:$AK$27, Options!$D$4:$D$27, B23 &amp; " US")))</f>
        <v>4.7054373161535018E-2</v>
      </c>
      <c r="T23" s="13">
        <f t="shared" si="5"/>
        <v>2936410.0409281254</v>
      </c>
      <c r="U23" s="48">
        <f t="shared" si="6"/>
        <v>1.2254628276816887E-3</v>
      </c>
      <c r="V23" s="20">
        <f t="shared" si="7"/>
        <v>8.5908139381835336E-2</v>
      </c>
      <c r="W23" s="15">
        <f t="shared" si="8"/>
        <v>1608.9917223627369</v>
      </c>
      <c r="X23" s="19"/>
      <c r="Y23" s="375">
        <f>Tabelad[[#This Row],[Exp %]]*$Y$10*$AD$7/Tabelad[[#This Row],[Price Today]]</f>
        <v>2300.3861367702484</v>
      </c>
      <c r="Z23" s="266">
        <f>Tabelad[[#This Row],[Vol 10d]]/16*Tabelad[[#This Row],[Exp %]]*100</f>
        <v>0.12980769898183855</v>
      </c>
      <c r="AA23" s="19">
        <f>Tabelad[[#This Row],[Exp %]]*Tabelad[[#This Row],[Beta Adj2]]</f>
        <v>1.2531523651215645E-3</v>
      </c>
      <c r="AB23" s="36">
        <f>_xll.BDP($B23&amp;" Equity","volatility_10d")</f>
        <v>16.948071673773306</v>
      </c>
      <c r="AC23" s="36" cm="1">
        <f t="array" ref="AC23">_xll.BDP(B23&amp;" EQUITY","eqy_beta")</f>
        <v>1.0225951671600342</v>
      </c>
      <c r="AD23" s="15">
        <f>Tabelad[[#This Row],[D1 P&amp;L bps]]*$AD$5/10000</f>
        <v>8726.6921454668318</v>
      </c>
      <c r="AE23" s="277"/>
      <c r="AF23" s="231" t="str">
        <f>_xll.BDP(B23&amp;" Equity","EXPECTED_REPORT_DT")</f>
        <v>28/01/2026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56" t="str">
        <f>_xll.BDP(B23&amp;" Equity","DVD_EX_DT")</f>
        <v>19/02/2026</v>
      </c>
    </row>
    <row r="24" spans="1:35">
      <c r="B24" s="453" t="s">
        <v>2332</v>
      </c>
      <c r="C24" t="s">
        <v>2154</v>
      </c>
      <c r="E24" t="s">
        <v>2121</v>
      </c>
      <c r="F24" s="22" t="s">
        <v>99</v>
      </c>
      <c r="G24" s="15"/>
      <c r="H24" s="457">
        <v>2400</v>
      </c>
      <c r="I24" s="36" cm="1">
        <f t="array" ref="I24">_xll.BDP(B24&amp;" Equity","LAST_PRICE")</f>
        <v>755000</v>
      </c>
      <c r="J24" s="51">
        <f t="shared" si="2"/>
        <v>2.0270270270270174E-2</v>
      </c>
      <c r="K24" s="439" cm="1">
        <f t="array" ref="K24">_xll.BDP(B24&amp;" EQUITY","PX_YEST_CLOSE")</f>
        <v>740000</v>
      </c>
      <c r="L24" s="53" cm="1">
        <f t="array" ref="L24">_xll.BDP(E24&amp;" Curncy","PX_LAST")</f>
        <v>1468.45</v>
      </c>
      <c r="M24" s="52">
        <v>1</v>
      </c>
      <c r="N24" s="15">
        <f t="shared" si="3"/>
        <v>1233954.1693622526</v>
      </c>
      <c r="O24" s="357">
        <f>IFERROR(IF(Tabelad[[#This Row],[D1 Exp USD]]&lt;&gt;0,N24/$AE$7,0),"-")</f>
        <v>5.1497064256677107E-4</v>
      </c>
      <c r="P24" s="20">
        <f>IFERROR(IF(Tabelad[[#This Row],[D1 Exp USD]]&lt;&gt;0,((I24-K24)/L24*M24*H24)/$AD$7*10000,0),"-")</f>
        <v>0.10231204819207373</v>
      </c>
      <c r="Q24" s="15">
        <f>IF(SUM(SUMIFS(Options!$AL$4:$AL$27, Options!$D$4:$D$27, B24), SUMIFS(Options!$AL$4:$AL$27, Options!$D$4:$D$27, B24 &amp; " US"))=0,0,SUM(SUMIFS(Options!$AL$4:$AL$27, Options!$D$4:$D$27, B24), SUMIFS(Options!$AL$4:$AL$27, Options!$D$4:$D$27, B24 &amp; " US")))</f>
        <v>0</v>
      </c>
      <c r="R24" s="19">
        <f t="shared" si="18"/>
        <v>0</v>
      </c>
      <c r="S24" s="20">
        <f>IF(SUM(SUMIFS(Options!$AK$4:$AK$27, Options!$D$4:$D$27, B24), SUMIFS(Options!$AK$4:$AK$27, Options!$D$4:$D$27, B24 &amp; " US"))=0,0,SUM(SUMIFS(Options!$AK$4:$AK$27, Options!$D$4:$D$27, B24), SUMIFS(Options!AK$4:$AK$27, Options!$D$4:$D$27, B24 &amp; " US")))</f>
        <v>0</v>
      </c>
      <c r="T24" s="13">
        <f t="shared" si="5"/>
        <v>1233954.1693622526</v>
      </c>
      <c r="U24" s="48">
        <f t="shared" si="6"/>
        <v>5.1497064256677107E-4</v>
      </c>
      <c r="V24" s="20">
        <f t="shared" si="7"/>
        <v>0.10231204819207373</v>
      </c>
      <c r="W24" s="15">
        <f t="shared" si="8"/>
        <v>1398.1379528963046</v>
      </c>
      <c r="X24" s="19"/>
      <c r="Y24" s="375">
        <f>Tabelad[[#This Row],[Exp %]]*$Y$10*$AD$7/Tabelad[[#This Row],[Price Today]]</f>
        <v>0.57203173414144148</v>
      </c>
      <c r="Z24" s="266">
        <f>Tabelad[[#This Row],[Vol 10d]]/16*Tabelad[[#This Row],[Exp %]]*100</f>
        <v>7.6768025485365307E-2</v>
      </c>
      <c r="AA24" s="19">
        <f>Tabelad[[#This Row],[Exp %]]*Tabelad[[#This Row],[Beta Adj2]]</f>
        <v>8.1845108176165028E-4</v>
      </c>
      <c r="AB24" s="36">
        <f>_xll.BDP($B24&amp;" Equity","volatility_10d")</f>
        <v>23.85162</v>
      </c>
      <c r="AC24" s="36" cm="1">
        <f t="array" ref="AC24">_xll.BDP(B24&amp;" EQUITY","eqy_beta")</f>
        <v>1.589316</v>
      </c>
      <c r="AD24" s="15">
        <f>Tabelad[[#This Row],[D1 P&amp;L bps]]*$AD$5/10000</f>
        <v>22979.64481183036</v>
      </c>
      <c r="AE24" s="277"/>
      <c r="AF24" s="231" t="str">
        <f>_xll.BDP(B24&amp;" Equity","EXPECTED_REPORT_DT")</f>
        <v>29/01/2026</v>
      </c>
      <c r="AG24" s="172" t="e">
        <f>_xll.BDP(B24&amp;" Index","CHG_PCT_1D_PRE_FROM_REGULAR")/100</f>
        <v>#VALUE!</v>
      </c>
      <c r="AH24" s="20" t="e">
        <f t="shared" si="9"/>
        <v>#VALUE!</v>
      </c>
      <c r="AI24" s="456" t="str">
        <f>_xll.BDP(B24&amp;" Equity","DVD_EX_DT")</f>
        <v>27/11/2025</v>
      </c>
    </row>
    <row r="25" spans="1:35">
      <c r="B25" s="40" t="s">
        <v>2337</v>
      </c>
      <c r="C25" t="s">
        <v>2154</v>
      </c>
      <c r="E25" t="s">
        <v>194</v>
      </c>
      <c r="F25" s="22" t="s">
        <v>99</v>
      </c>
      <c r="G25" s="15"/>
      <c r="H25" s="457"/>
      <c r="I25" s="36" cm="1">
        <f t="array" ref="I25">_xll.BDP(B25&amp;" Equity","LAST_PRICE")</f>
        <v>489.36799999999999</v>
      </c>
      <c r="J25" s="51">
        <f t="shared" ref="J25" si="38">I25/K25-1</f>
        <v>-2.3782640786770171E-2</v>
      </c>
      <c r="K25" s="439" cm="1">
        <f t="array" ref="K25">_xll.BDP(B25&amp;" EQUITY","PX_YEST_CLOSE")</f>
        <v>501.29</v>
      </c>
      <c r="L25" s="53" cm="1">
        <f t="array" ref="L25">_xll.BDP(E25&amp;" Curncy","PX_LAST")</f>
        <v>1</v>
      </c>
      <c r="M25" s="52">
        <v>1</v>
      </c>
      <c r="N25" s="15">
        <f t="shared" ref="N25" si="39">IFERROR(IF(((I25/L25)*H25*M25)&lt;&gt;0,((I25/L25)*H25*M25),0),"-")</f>
        <v>0</v>
      </c>
      <c r="O25" s="357">
        <f>IFERROR(IF(Tabelad[[#This Row],[D1 Exp USD]]&lt;&gt;0,N25/$AE$7,0),"-")</f>
        <v>0</v>
      </c>
      <c r="P25" s="20">
        <f>IFERROR(IF(Tabelad[[#This Row],[D1 Exp USD]]&lt;&gt;0,((I25-K25)/L25*M25*H25)/$AD$7*10000,0),"-")</f>
        <v>0</v>
      </c>
      <c r="Q25" s="15">
        <f>IF(SUM(SUMIFS(Options!$AL$4:$AL$27, Options!$D$4:$D$27, B25), SUMIFS(Options!$AL$4:$AL$27, Options!$D$4:$D$27, B25 &amp; " US"))=0,0,SUM(SUMIFS(Options!$AL$4:$AL$27, Options!$D$4:$D$27, B25), SUMIFS(Options!$AL$4:$AL$27, Options!$D$4:$D$27, B25 &amp; " US")))</f>
        <v>303735.27366328239</v>
      </c>
      <c r="R25" s="19">
        <f t="shared" si="18"/>
        <v>1.2675896150131312E-4</v>
      </c>
      <c r="S25" s="20">
        <f>IF(SUM(SUMIFS(Options!$AK$4:$AK$27, Options!$D$4:$D$27, B25), SUMIFS(Options!$AK$4:$AK$27, Options!$D$4:$D$27, B25 &amp; " US"))=0,0,SUM(SUMIFS(Options!$AK$4:$AK$27, Options!$D$4:$D$27, B25), SUMIFS(Options!AK$4:$AK$27, Options!$D$4:$D$27, B25 &amp; " US")))</f>
        <v>-4.4341704198785817E-2</v>
      </c>
      <c r="T25" s="13">
        <f t="shared" ref="T25" si="40">N25+Q25</f>
        <v>303735.27366328239</v>
      </c>
      <c r="U25" s="48">
        <f t="shared" ref="U25" si="41">T25/$AE$7</f>
        <v>1.2675896150131312E-4</v>
      </c>
      <c r="V25" s="20">
        <f t="shared" ref="V25" si="42">P25+S25</f>
        <v>-4.4341704198785817E-2</v>
      </c>
      <c r="W25" s="15">
        <f t="shared" ref="W25" si="43">$W$10/(I25/L25*M25)</f>
        <v>1468.933873485802</v>
      </c>
      <c r="X25" s="19"/>
      <c r="Y25" s="375">
        <f>Tabelad[[#This Row],[Exp %]]*$Y$10*$AD$7/Tabelad[[#This Row],[Price Today]]</f>
        <v>217.23395437002179</v>
      </c>
      <c r="Z25" s="266">
        <f>Tabelad[[#This Row],[Vol 10d]]/16*Tabelad[[#This Row],[Exp %]]*100</f>
        <v>7.3620544656175887E-2</v>
      </c>
      <c r="AA25" s="19" t="e">
        <f>Tabelad[[#This Row],[Exp %]]*Tabelad[[#This Row],[Beta Adj2]]</f>
        <v>#VALUE!</v>
      </c>
      <c r="AB25" s="36">
        <f>_xll.BDP($B25&amp;" Equity","volatility_10d")</f>
        <v>92.926661795553755</v>
      </c>
      <c r="AC25" s="36" t="str" cm="1">
        <f t="array" ref="AC25">_xll.BDP(B25&amp;" EQUITY","eqy_beta")</f>
        <v>#N/A N/A</v>
      </c>
      <c r="AD25" s="15">
        <f>Tabelad[[#This Row],[D1 P&amp;L bps]]*$AD$5/10000</f>
        <v>0</v>
      </c>
      <c r="AE25" s="277"/>
      <c r="AF25" s="231" t="str">
        <f>_xll.BDP(B25&amp;" Equity","EXPECTED_REPORT_DT")</f>
        <v>29/01/2026</v>
      </c>
      <c r="AG25" s="172">
        <f>_xll.BDP(B25&amp;" Index","CHG_PCT_1D_PRE_FROM_REGULAR")/100</f>
        <v>9.2760559999999995E-3</v>
      </c>
      <c r="AH25" s="20">
        <f t="shared" ref="AH25" si="44">(T25*AG25)/$AD$7*10000</f>
        <v>1.1758232253880247E-2</v>
      </c>
      <c r="AI25" s="456" t="str">
        <f>_xll.BDP(B25&amp;" Equity","DVD_EX_DT")</f>
        <v>#N/A N/A</v>
      </c>
    </row>
    <row r="26" spans="1:35">
      <c r="B26" s="40" t="s">
        <v>1754</v>
      </c>
      <c r="C26" t="s">
        <v>2154</v>
      </c>
      <c r="E26" t="s">
        <v>194</v>
      </c>
      <c r="F26" s="22" t="s">
        <v>99</v>
      </c>
      <c r="G26" s="15"/>
      <c r="H26" s="457">
        <v>42000</v>
      </c>
      <c r="I26" s="36" cm="1">
        <f t="array" ref="I26">_xll.BDP(B26&amp;" Equity","LAST_PRICE")</f>
        <v>115.97</v>
      </c>
      <c r="J26" s="51">
        <f t="shared" si="2"/>
        <v>2.6802697561818523E-3</v>
      </c>
      <c r="K26" s="439" cm="1">
        <f t="array" ref="K26">_xll.BDP(B26&amp;" EQUITY","PX_YEST_CLOSE")</f>
        <v>115.66</v>
      </c>
      <c r="L26" s="53" cm="1">
        <f t="array" ref="L26">_xll.BDP(E26&amp;" Curncy","PX_LAST")</f>
        <v>1</v>
      </c>
      <c r="M26" s="52">
        <v>1</v>
      </c>
      <c r="N26" s="15">
        <f t="shared" si="3"/>
        <v>4870740</v>
      </c>
      <c r="O26" s="357">
        <f>IFERROR(IF(Tabelad[[#This Row],[D1 Exp USD]]&lt;&gt;0,N26/$AE$7,0),"-")</f>
        <v>2.0327238805571191E-3</v>
      </c>
      <c r="P26" s="20">
        <f>IFERROR(IF(Tabelad[[#This Row],[D1 Exp USD]]&lt;&gt;0,((I26-K26)/L26*M26*H26)/$AD$7*10000,0),"-")</f>
        <v>5.4336845992300729E-2</v>
      </c>
      <c r="Q26" s="15">
        <f>IF(SUM(SUMIFS(Options!$AL$4:$AL$27, Options!$D$4:$D$27, B26), SUMIFS(Options!$AL$4:$AL$27, Options!$D$4:$D$27, B26 &amp; " US"))=0,0,SUM(SUMIFS(Options!$AL$4:$AL$27, Options!$D$4:$D$27, B26), SUMIFS(Options!$AL$4:$AL$27, Options!$D$4:$D$27, B26 &amp; " US")))</f>
        <v>0</v>
      </c>
      <c r="R26" s="19">
        <f t="shared" si="18"/>
        <v>0</v>
      </c>
      <c r="S26" s="20">
        <f>IF(SUM(SUMIFS(Options!$AK$4:$AK$27, Options!$D$4:$D$27, B26), SUMIFS(Options!$AK$4:$AK$27, Options!$D$4:$D$27, B26 &amp; " US"))=0,0,SUM(SUMIFS(Options!$AK$4:$AK$27, Options!$D$4:$D$27, B26), SUMIFS(Options!AK$4:$AK$27, Options!$D$4:$D$27, B26 &amp; " US")))</f>
        <v>0</v>
      </c>
      <c r="T26" s="13">
        <f t="shared" si="5"/>
        <v>4870740</v>
      </c>
      <c r="U26" s="48">
        <f t="shared" si="6"/>
        <v>2.0327238805571191E-3</v>
      </c>
      <c r="V26" s="20">
        <f t="shared" si="7"/>
        <v>5.4336845992300729E-2</v>
      </c>
      <c r="W26" s="15">
        <f t="shared" si="8"/>
        <v>6198.5792170388886</v>
      </c>
      <c r="X26" s="19"/>
      <c r="Y26" s="375">
        <f>Tabelad[[#This Row],[Exp %]]*$Y$10*$AD$7/Tabelad[[#This Row],[Price Today]]</f>
        <v>14700</v>
      </c>
      <c r="Z26" s="266">
        <f>Tabelad[[#This Row],[Vol 10d]]/16*Tabelad[[#This Row],[Exp %]]*100</f>
        <v>0.35891923186253605</v>
      </c>
      <c r="AA26" s="19">
        <f>Tabelad[[#This Row],[Exp %]]*Tabelad[[#This Row],[Beta Adj2]]</f>
        <v>1.8899193848098434E-3</v>
      </c>
      <c r="AB26" s="36">
        <f>_xll.BDP($B26&amp;" Equity","volatility_10d")</f>
        <v>28.251292586903848</v>
      </c>
      <c r="AC26" s="36" cm="1">
        <f t="array" ref="AC26">_xll.BDP(B26&amp;" EQUITY","eqy_beta")</f>
        <v>0.92974722385406494</v>
      </c>
      <c r="AD26" s="15">
        <f>Tabelad[[#This Row],[D1 P&amp;L bps]]*$AD$5/10000</f>
        <v>12204.24615832227</v>
      </c>
      <c r="AE26" s="277"/>
      <c r="AF26" s="231" t="str">
        <f>_xll.BDP(B26&amp;" Equity","EXPECTED_REPORT_DT")</f>
        <v>#N/A N/A</v>
      </c>
      <c r="AG26" s="172">
        <f>_xll.BDP(B26&amp;" Index","CHG_PCT_1D_PRE_FROM_REGULAR")/100</f>
        <v>-6.0528549999999996E-4</v>
      </c>
      <c r="AH26" s="20">
        <f t="shared" si="9"/>
        <v>-1.230378290404956E-2</v>
      </c>
      <c r="AI26" s="456" t="str">
        <f>_xll.BDP(B26&amp;" Equity","DVD_EX_DT")</f>
        <v>16/12/2025</v>
      </c>
    </row>
    <row r="27" spans="1:35">
      <c r="B27" s="40" t="s">
        <v>2072</v>
      </c>
      <c r="C27" t="s">
        <v>2073</v>
      </c>
      <c r="E27" t="s">
        <v>194</v>
      </c>
      <c r="F27" s="22" t="s">
        <v>99</v>
      </c>
      <c r="G27" s="15"/>
      <c r="H27" s="457">
        <v>1200</v>
      </c>
      <c r="I27" s="36" cm="1">
        <f t="array" ref="I27">_xll.BDP(B27&amp;" Equity","LAST_PRICE")</f>
        <v>360.76499999999999</v>
      </c>
      <c r="J27" s="51">
        <f t="shared" si="2"/>
        <v>-4.621454585586604E-3</v>
      </c>
      <c r="K27" s="439" cm="1">
        <f t="array" ref="K27">_xll.BDP(B27&amp;" EQUITY","PX_YEST_CLOSE")</f>
        <v>362.44</v>
      </c>
      <c r="L27" s="53" cm="1">
        <f t="array" ref="L27">_xll.BDP(E27&amp;" Curncy","PX_LAST")</f>
        <v>1</v>
      </c>
      <c r="M27" s="52">
        <v>1</v>
      </c>
      <c r="N27" s="15">
        <f t="shared" si="3"/>
        <v>432918</v>
      </c>
      <c r="O27" s="357">
        <f>IFERROR(IF(Tabelad[[#This Row],[D1 Exp USD]]&lt;&gt;0,N27/$AE$7,0),"-")</f>
        <v>1.8067126492545831E-4</v>
      </c>
      <c r="P27" s="20">
        <f>IFERROR(IF(Tabelad[[#This Row],[D1 Exp USD]]&lt;&gt;0,((I27-K27)/L27*M27*H27)/$AD$7*10000,0),"-")</f>
        <v>-8.3884071001938867E-3</v>
      </c>
      <c r="Q27" s="15">
        <f>IF(SUM(SUMIFS(Options!$AL$4:$AL$27, Options!$D$4:$D$27, B27), SUMIFS(Options!$AL$4:$AL$27, Options!$D$4:$D$27, B27 &amp; " US"))=0,0,SUM(SUMIFS(Options!$AL$4:$AL$27, Options!$D$4:$D$27, B27), SUMIFS(Options!$AL$4:$AL$27, Options!$D$4:$D$27, B27 &amp; " US")))</f>
        <v>960112.71211355925</v>
      </c>
      <c r="R27" s="19">
        <f t="shared" si="18"/>
        <v>4.0068737767560866E-4</v>
      </c>
      <c r="S27" s="20">
        <f>IF(SUM(SUMIFS(Options!$AK$4:$AK$27, Options!$D$4:$D$27, B27), SUMIFS(Options!$AK$4:$AK$27, Options!$D$4:$D$27, B27 &amp; " US"))=0,0,SUM(SUMIFS(Options!$AK$4:$AK$27, Options!$D$4:$D$27, B27), SUMIFS(Options!AK$4:$AK$27, Options!$D$4:$D$27, B27 &amp; " US")))</f>
        <v>-3.2552027552991088E-2</v>
      </c>
      <c r="T27" s="13">
        <f t="shared" si="5"/>
        <v>1393030.7121135592</v>
      </c>
      <c r="U27" s="48">
        <f t="shared" si="6"/>
        <v>5.81358642601067E-4</v>
      </c>
      <c r="V27" s="20">
        <f t="shared" si="7"/>
        <v>-4.0940434653184976E-2</v>
      </c>
      <c r="W27" s="15">
        <f t="shared" si="8"/>
        <v>1992.5692120909732</v>
      </c>
      <c r="X27" s="19"/>
      <c r="Y27" s="375">
        <f>Tabelad[[#This Row],[Exp %]]*$Y$10*$AD$7/Tabelad[[#This Row],[Price Today]]</f>
        <v>1351.4635545015335</v>
      </c>
      <c r="Z27" s="266">
        <f>Tabelad[[#This Row],[Vol 10d]]/16*Tabelad[[#This Row],[Exp %]]*100</f>
        <v>0.4141366678699111</v>
      </c>
      <c r="AA27" s="19">
        <f>Tabelad[[#This Row],[Exp %]]*Tabelad[[#This Row],[Beta Adj2]]</f>
        <v>1.1746163933139962E-3</v>
      </c>
      <c r="AB27" s="36">
        <f>_xll.BDP($B27&amp;" Equity","volatility_10d")</f>
        <v>113.97760694280279</v>
      </c>
      <c r="AC27" s="36" cm="1">
        <f t="array" ref="AC27">_xll.BDP(B27&amp;" EQUITY","eqy_beta")</f>
        <v>2.0204677581787109</v>
      </c>
      <c r="AD27" s="15">
        <f>Tabelad[[#This Row],[D1 P&amp;L bps]]*$AD$5/10000</f>
        <v>-1884.0656511695661</v>
      </c>
      <c r="AE27" s="277"/>
      <c r="AF27" s="231" t="str">
        <f>_xll.BDP(B27&amp;" Equity","EXPECTED_REPORT_DT")</f>
        <v>03/02/2026</v>
      </c>
      <c r="AG27" s="172" t="e">
        <f>_xll.BDP(B27&amp;" Index","CHG_PCT_1D_PRE_FROM_REGULAR")/100</f>
        <v>#VALUE!</v>
      </c>
      <c r="AH27" s="20" t="e">
        <f t="shared" si="9"/>
        <v>#VALUE!</v>
      </c>
      <c r="AI27" s="456" t="str">
        <f>_xll.BDP(B27&amp;" Equity","DVD_EX_DT")</f>
        <v>#N/A N/A</v>
      </c>
    </row>
    <row r="28" spans="1:35">
      <c r="B28" s="40" t="s">
        <v>137</v>
      </c>
      <c r="C28" t="s">
        <v>1882</v>
      </c>
      <c r="E28" t="s">
        <v>194</v>
      </c>
      <c r="F28" s="22" t="s">
        <v>99</v>
      </c>
      <c r="G28" s="15"/>
      <c r="H28" s="457">
        <v>7000</v>
      </c>
      <c r="I28" s="36" cm="1">
        <f t="array" ref="I28">_xll.BDP(B28&amp;" Equity","LAST_PRICE")</f>
        <v>330.52</v>
      </c>
      <c r="J28" s="51">
        <f t="shared" si="2"/>
        <v>5.231143552311357E-3</v>
      </c>
      <c r="K28" s="439" cm="1">
        <f t="array" ref="K28">_xll.BDP(B28&amp;" EQUITY","PX_YEST_CLOSE")</f>
        <v>328.8</v>
      </c>
      <c r="L28" s="53" cm="1">
        <f t="array" ref="L28">_xll.BDP(E28&amp;" Curncy","PX_LAST")</f>
        <v>1</v>
      </c>
      <c r="M28" s="52">
        <v>1</v>
      </c>
      <c r="N28" s="15">
        <f t="shared" si="3"/>
        <v>2313640</v>
      </c>
      <c r="O28" s="357">
        <f>IFERROR(IF(Tabelad[[#This Row],[D1 Exp USD]]&lt;&gt;0,N28/$AE$7,0),"-")</f>
        <v>9.6555991061156473E-4</v>
      </c>
      <c r="P28" s="20">
        <f>IFERROR(IF(Tabelad[[#This Row],[D1 Exp USD]]&lt;&gt;0,((I28-K28)/L28*M28*H28)/$AD$7*10000,0),"-")</f>
        <v>5.024697586384675E-2</v>
      </c>
      <c r="Q28" s="15">
        <f>IF(SUM(SUMIFS(Options!$AL$4:$AL$27, Options!$D$4:$D$27, B28), SUMIFS(Options!$AL$4:$AL$27, Options!$D$4:$D$27, B28 &amp; " US"))=0,0,SUM(SUMIFS(Options!$AL$4:$AL$27, Options!$D$4:$D$27, B28), SUMIFS(Options!$AL$4:$AL$27, Options!$D$4:$D$27, B28 &amp; " US")))</f>
        <v>582938.74734044075</v>
      </c>
      <c r="R28" s="19">
        <f t="shared" si="18"/>
        <v>2.4327997647605225E-4</v>
      </c>
      <c r="S28" s="20">
        <f>IF(SUM(SUMIFS(Options!$AK$4:$AK$27, Options!$D$4:$D$27, B28), SUMIFS(Options!$AK$4:$AK$27, Options!$D$4:$D$27, B28 &amp; " US"))=0,0,SUM(SUMIFS(Options!$AK$4:$AK$27, Options!$D$4:$D$27, B28), SUMIFS(Options!AK$4:$AK$27, Options!$D$4:$D$27, B28 &amp; " US")))</f>
        <v>3.077835938503973E-3</v>
      </c>
      <c r="T28" s="13">
        <f t="shared" si="5"/>
        <v>2896578.7473404408</v>
      </c>
      <c r="U28" s="48">
        <f t="shared" si="6"/>
        <v>1.2088398870876171E-3</v>
      </c>
      <c r="V28" s="20">
        <f t="shared" si="7"/>
        <v>5.332481180235072E-2</v>
      </c>
      <c r="W28" s="15">
        <f t="shared" si="8"/>
        <v>2174.9038841825004</v>
      </c>
      <c r="X28" s="19"/>
      <c r="Y28" s="375">
        <f>Tabelad[[#This Row],[Exp %]]*$Y$10*$AD$7/Tabelad[[#This Row],[Price Today]]</f>
        <v>3067.2956600785255</v>
      </c>
      <c r="Z28" s="266">
        <f>Tabelad[[#This Row],[Vol 10d]]/16*Tabelad[[#This Row],[Exp %]]*100</f>
        <v>0.39589945868895793</v>
      </c>
      <c r="AA28" s="19">
        <f>Tabelad[[#This Row],[Exp %]]*Tabelad[[#This Row],[Beta Adj2]]</f>
        <v>2.4404561370132338E-3</v>
      </c>
      <c r="AB28" s="36">
        <f>_xll.BDP($B28&amp;" Equity","volatility_10d")</f>
        <v>52.400581803140057</v>
      </c>
      <c r="AC28" s="36" cm="1">
        <f t="array" ref="AC28">_xll.BDP(B28&amp;" EQUITY","eqy_beta")</f>
        <v>2.0188415050506592</v>
      </c>
      <c r="AD28" s="15">
        <f>Tabelad[[#This Row],[D1 P&amp;L bps]]*$AD$5/10000</f>
        <v>11285.64698511494</v>
      </c>
      <c r="AE28" s="277"/>
      <c r="AF28" s="231" t="str">
        <f>_xll.BDP(B28&amp;" Equity","EXPECTED_REPORT_DT")</f>
        <v>06/03/2026</v>
      </c>
      <c r="AG28" s="172">
        <f>_xll.BDP(B28&amp;" Index","CHG_PCT_1D_PRE_FROM_REGULAR")/100</f>
        <v>1.5784679999999999E-2</v>
      </c>
      <c r="AH28" s="20">
        <f t="shared" si="9"/>
        <v>0.19081150788914164</v>
      </c>
      <c r="AI28" s="456" t="str">
        <f>_xll.BDP(B28&amp;" Equity","DVD_EX_DT")</f>
        <v>22/12/2025</v>
      </c>
    </row>
    <row r="29" spans="1:35">
      <c r="B29" s="40" t="s">
        <v>96</v>
      </c>
      <c r="C29" t="s">
        <v>1882</v>
      </c>
      <c r="E29" t="s">
        <v>194</v>
      </c>
      <c r="F29" s="22" t="s">
        <v>99</v>
      </c>
      <c r="G29" s="15"/>
      <c r="H29" s="457">
        <v>9500</v>
      </c>
      <c r="I29" s="36" cm="1">
        <f t="array" ref="I29">_xll.BDP(B29&amp;" Equity","LAST_PRICE")</f>
        <v>332.44</v>
      </c>
      <c r="J29" s="51">
        <f t="shared" si="2"/>
        <v>1.9379369557218196E-2</v>
      </c>
      <c r="K29" s="439" cm="1">
        <f t="array" ref="K29">_xll.BDP(B29&amp;" EQUITY","PX_YEST_CLOSE")</f>
        <v>326.12</v>
      </c>
      <c r="L29" s="53" cm="1">
        <f t="array" ref="L29">_xll.BDP(E29&amp;" Curncy","PX_LAST")</f>
        <v>1</v>
      </c>
      <c r="M29" s="52">
        <v>1</v>
      </c>
      <c r="N29" s="15">
        <f t="shared" si="3"/>
        <v>3158180</v>
      </c>
      <c r="O29" s="357">
        <f>IFERROR(IF(Tabelad[[#This Row],[D1 Exp USD]]&lt;&gt;0,N29/$AE$7,0),"-")</f>
        <v>1.3180149022731418E-3</v>
      </c>
      <c r="P29" s="20">
        <f>IFERROR(IF(Tabelad[[#This Row],[D1 Exp USD]]&lt;&gt;0,((I29-K29)/L29*M29*H29)/$AD$7*10000,0),"-")</f>
        <v>0.25056714542071495</v>
      </c>
      <c r="Q29" s="15">
        <f>IF(SUM(SUMIFS(Options!$AL$4:$AL$27, Options!$D$4:$D$27, B29), SUMIFS(Options!$AL$4:$AL$27, Options!$D$4:$D$27, B29 &amp; " US"))=0,0,SUM(SUMIFS(Options!$AL$4:$AL$27, Options!$D$4:$D$27, B29), SUMIFS(Options!$AL$4:$AL$27, Options!$D$4:$D$27, B29 &amp; " US")))</f>
        <v>9297691.7861104012</v>
      </c>
      <c r="R29" s="19">
        <f t="shared" si="18"/>
        <v>3.8802399897523549E-3</v>
      </c>
      <c r="S29" s="20">
        <f>IF(SUM(SUMIFS(Options!$AK$4:$AK$27, Options!$D$4:$D$27, B29), SUMIFS(Options!$AK$4:$AK$27, Options!$D$4:$D$27, B29 &amp; " US"))=0,0,SUM(SUMIFS(Options!$AK$4:$AK$27, Options!$D$4:$D$27, B29), SUMIFS(Options!AK$4:$AK$27, Options!$D$4:$D$27, B29 &amp; " US")))</f>
        <v>0.92449844918927526</v>
      </c>
      <c r="T29" s="13">
        <f t="shared" si="5"/>
        <v>12455871.786110401</v>
      </c>
      <c r="U29" s="48">
        <f t="shared" si="6"/>
        <v>5.1982548920254971E-3</v>
      </c>
      <c r="V29" s="20">
        <f t="shared" si="7"/>
        <v>1.1750655946099902</v>
      </c>
      <c r="W29" s="15">
        <f t="shared" si="8"/>
        <v>2162.3427740344123</v>
      </c>
      <c r="X29" s="19"/>
      <c r="Y29" s="375">
        <f>Tabelad[[#This Row],[Exp %]]*$Y$10*$AD$7/Tabelad[[#This Row],[Price Today]]</f>
        <v>13113.810387253761</v>
      </c>
      <c r="Z29" s="266">
        <f>Tabelad[[#This Row],[Vol 10d]]/16*Tabelad[[#This Row],[Exp %]]*100</f>
        <v>1.3102229487889039</v>
      </c>
      <c r="AA29" s="19">
        <f>Tabelad[[#This Row],[Exp %]]*Tabelad[[#This Row],[Beta Adj2]]</f>
        <v>7.6502913104564913E-3</v>
      </c>
      <c r="AB29" s="36">
        <f>_xll.BDP($B29&amp;" Equity","volatility_10d")</f>
        <v>40.328086282921802</v>
      </c>
      <c r="AC29" s="36" cm="1">
        <f t="array" ref="AC29">_xll.BDP(B29&amp;" EQUITY","eqy_beta")</f>
        <v>1.4717037677764893</v>
      </c>
      <c r="AD29" s="15">
        <f>Tabelad[[#This Row],[D1 P&amp;L bps]]*$AD$5/10000</f>
        <v>56278.25955035814</v>
      </c>
      <c r="AE29" s="277"/>
      <c r="AF29" s="231" t="str">
        <f>_xll.BDP(B29&amp;" Equity","EXPECTED_REPORT_DT")</f>
        <v>17/04/2026</v>
      </c>
      <c r="AG29" s="172" t="e">
        <f>_xll.BDP(B29&amp;" Index","CHG_PCT_1D_PRE_FROM_REGULAR")/100</f>
        <v>#VALUE!</v>
      </c>
      <c r="AH29" s="20" t="e">
        <f t="shared" si="9"/>
        <v>#VALUE!</v>
      </c>
      <c r="AI29" s="456" t="str">
        <f>_xll.BDP(B29&amp;" Equity","DVD_EX_DT")</f>
        <v>17/03/2026</v>
      </c>
    </row>
    <row r="30" spans="1:35">
      <c r="B30" s="40" t="s">
        <v>94</v>
      </c>
      <c r="C30" t="s">
        <v>1882</v>
      </c>
      <c r="E30" t="s">
        <v>194</v>
      </c>
      <c r="F30" s="22" t="s">
        <v>99</v>
      </c>
      <c r="G30" s="15"/>
      <c r="H30" s="457">
        <f>25392-2384</f>
        <v>23008</v>
      </c>
      <c r="I30" s="36" cm="1">
        <f t="array" ref="I30">_xll.BDP(B30&amp;" Equity","LAST_PRICE")</f>
        <v>185.09</v>
      </c>
      <c r="J30" s="51">
        <f t="shared" si="2"/>
        <v>9.6552476543749766E-3</v>
      </c>
      <c r="K30" s="439" cm="1">
        <f t="array" ref="K30">_xll.BDP(B30&amp;" EQUITY","PX_YEST_CLOSE")</f>
        <v>183.32</v>
      </c>
      <c r="L30" s="53" cm="1">
        <f t="array" ref="L30">_xll.BDP(E30&amp;" Curncy","PX_LAST")</f>
        <v>1</v>
      </c>
      <c r="M30" s="52">
        <v>1</v>
      </c>
      <c r="N30" s="15">
        <f t="shared" si="3"/>
        <v>4258550.72</v>
      </c>
      <c r="O30" s="357">
        <f>IFERROR(IF(Tabelad[[#This Row],[D1 Exp USD]]&lt;&gt;0,N30/$AE$7,0),"-")</f>
        <v>1.7772366714519175E-3</v>
      </c>
      <c r="P30" s="20">
        <f>IFERROR(IF(Tabelad[[#This Row],[D1 Exp USD]]&lt;&gt;0,((I30-K30)/L30*M30*H30)/$AD$7*10000,0),"-")</f>
        <v>0.16995563825543855</v>
      </c>
      <c r="Q30" s="15">
        <f>IF(SUM(SUMIFS(Options!$AL$4:$AL$27, Options!$D$4:$D$27, B30), SUMIFS(Options!$AL$4:$AL$27, Options!$D$4:$D$27, B30 &amp; " US"))=0,0,SUM(SUMIFS(Options!$AL$4:$AL$27, Options!$D$4:$D$27, B30), SUMIFS(Options!$AL$4:$AL$27, Options!$D$4:$D$27, B30 &amp; " US")))</f>
        <v>0</v>
      </c>
      <c r="R30" s="19">
        <f t="shared" si="18"/>
        <v>0</v>
      </c>
      <c r="S30" s="20">
        <f>IF(SUM(SUMIFS(Options!$AK$4:$AK$27, Options!$D$4:$D$27, B30), SUMIFS(Options!$AK$4:$AK$27, Options!$D$4:$D$27, B30 &amp; " US"))=0,0,SUM(SUMIFS(Options!$AK$4:$AK$27, Options!$D$4:$D$27, B30), SUMIFS(Options!AK$4:$AK$27, Options!$D$4:$D$27, B30 &amp; " US")))</f>
        <v>0</v>
      </c>
      <c r="T30" s="13">
        <f t="shared" si="5"/>
        <v>4258550.72</v>
      </c>
      <c r="U30" s="48">
        <f t="shared" si="6"/>
        <v>1.7772366714519175E-3</v>
      </c>
      <c r="V30" s="20">
        <f t="shared" si="7"/>
        <v>0.16995563825543855</v>
      </c>
      <c r="W30" s="15">
        <f t="shared" si="8"/>
        <v>3883.7821157274834</v>
      </c>
      <c r="X30" s="19"/>
      <c r="Y30" s="375">
        <f>Tabelad[[#This Row],[Exp %]]*$Y$10*$AD$7/Tabelad[[#This Row],[Price Today]]</f>
        <v>8052.7999999999993</v>
      </c>
      <c r="Z30" s="266">
        <f>Tabelad[[#This Row],[Vol 10d]]/16*Tabelad[[#This Row],[Exp %]]*100</f>
        <v>0.39626636597195447</v>
      </c>
      <c r="AA30" s="19">
        <f>Tabelad[[#This Row],[Exp %]]*Tabelad[[#This Row],[Beta Adj2]]</f>
        <v>3.3031062244008791E-3</v>
      </c>
      <c r="AB30" s="36">
        <f>_xll.BDP($B30&amp;" Equity","volatility_10d")</f>
        <v>35.674831368247538</v>
      </c>
      <c r="AC30" s="36" cm="1">
        <f t="array" ref="AC30">_xll.BDP(B30&amp;" EQUITY","eqy_beta")</f>
        <v>1.8585629463195801</v>
      </c>
      <c r="AD30" s="15">
        <f>Tabelad[[#This Row],[D1 P&amp;L bps]]*$AD$5/10000</f>
        <v>38172.63235260373</v>
      </c>
      <c r="AE30" s="277"/>
      <c r="AF30" s="231" t="str">
        <f>_xll.BDP(B30&amp;" Equity","EXPECTED_REPORT_DT")</f>
        <v>25/02/2026</v>
      </c>
      <c r="AG30" s="172">
        <f>_xll.BDP(B30&amp;" Index","CHG_PCT_1D_PRE_FROM_REGULAR")/100</f>
        <v>7.1459609999999993E-3</v>
      </c>
      <c r="AH30" s="20">
        <f t="shared" si="9"/>
        <v>0.12700063941965214</v>
      </c>
      <c r="AI30" s="456" t="str">
        <f>_xll.BDP(B30&amp;" Equity","DVD_EX_DT")</f>
        <v>04/12/2025</v>
      </c>
    </row>
    <row r="31" spans="1:35" s="59" customFormat="1">
      <c r="A31" s="553"/>
      <c r="B31" s="424" t="s">
        <v>94</v>
      </c>
      <c r="C31" s="59" t="s">
        <v>1882</v>
      </c>
      <c r="E31" s="59" t="s">
        <v>194</v>
      </c>
      <c r="F31" s="163" t="s">
        <v>99</v>
      </c>
      <c r="G31" s="404"/>
      <c r="H31" s="524">
        <v>1500</v>
      </c>
      <c r="I31" s="14" cm="1">
        <f t="array" ref="I31">_xll.BDP(B31&amp;" Equity","LAST_PRICE")</f>
        <v>185.09</v>
      </c>
      <c r="J31" s="523">
        <f t="shared" ref="J31" si="45">I31/K31-1</f>
        <v>2.6543878656555275E-3</v>
      </c>
      <c r="K31" s="554">
        <v>184.6</v>
      </c>
      <c r="L31" s="8" cm="1">
        <f t="array" ref="L31">_xll.BDP(E31&amp;" Curncy","PX_LAST")</f>
        <v>1</v>
      </c>
      <c r="M31" s="551">
        <v>1</v>
      </c>
      <c r="N31" s="404">
        <f t="shared" ref="N31" si="46">IFERROR(IF(((I31/L31)*H31*M31)&lt;&gt;0,((I31/L31)*H31*M31),0),"-")</f>
        <v>277635</v>
      </c>
      <c r="O31" s="552">
        <f>IFERROR(IF(Tabelad[[#This Row],[D1 Exp USD]]&lt;&gt;0,N31/$AE$7,0),"-")</f>
        <v>1.1586643807275193E-4</v>
      </c>
      <c r="P31" s="545">
        <f>IFERROR(IF(Tabelad[[#This Row],[D1 Exp USD]]&lt;&gt;0,((I31-K31)/L31*M31*H31)/$AD$7*10000,0),"-")</f>
        <v>3.0674025963395917E-3</v>
      </c>
      <c r="Q31" s="404"/>
      <c r="R31" s="128"/>
      <c r="S31" s="545"/>
      <c r="T31" s="546">
        <f t="shared" ref="T31" si="47">N31+Q31</f>
        <v>277635</v>
      </c>
      <c r="U31" s="522">
        <f t="shared" ref="U31" si="48">T31/$AE$7</f>
        <v>1.1586643807275193E-4</v>
      </c>
      <c r="V31" s="545">
        <f t="shared" ref="V31" si="49">P31+S31</f>
        <v>3.0674025963395917E-3</v>
      </c>
      <c r="W31" s="404">
        <f t="shared" ref="W31" si="50">$W$10/(I31/L31*M31)</f>
        <v>3883.7821157274834</v>
      </c>
      <c r="X31" s="128"/>
      <c r="Y31" s="521">
        <f>Tabelad[[#This Row],[Exp %]]*$Y$10*$AD$7/Tabelad[[#This Row],[Price Today]]</f>
        <v>525</v>
      </c>
      <c r="Z31" s="549">
        <f>Tabelad[[#This Row],[Vol 10d]]/16*Tabelad[[#This Row],[Exp %]]*100</f>
        <v>2.5834472746780759E-2</v>
      </c>
      <c r="AA31" s="128">
        <f>Tabelad[[#This Row],[Exp %]]*Tabelad[[#This Row],[Beta Adj2]]</f>
        <v>2.1534506852404899E-4</v>
      </c>
      <c r="AB31" s="14">
        <f>_xll.BDP($B31&amp;" Equity","volatility_10d")</f>
        <v>35.674831368247538</v>
      </c>
      <c r="AC31" s="14" cm="1">
        <f t="array" ref="AC31">_xll.BDP(B31&amp;" EQUITY","eqy_beta")</f>
        <v>1.8585629463195801</v>
      </c>
      <c r="AD31" s="404">
        <f>Tabelad[[#This Row],[D1 P&amp;L bps]]*$AD$5/10000</f>
        <v>688.94937990529718</v>
      </c>
      <c r="AE31" s="337"/>
      <c r="AF31" s="550" t="str">
        <f>_xll.BDP(B31&amp;" Equity","EXPECTED_REPORT_DT")</f>
        <v>25/02/2026</v>
      </c>
      <c r="AG31" s="556">
        <f>_xll.BDP(B31&amp;" Index","CHG_PCT_1D_PRE_FROM_REGULAR")/100</f>
        <v>7.1459609999999993E-3</v>
      </c>
      <c r="AH31" s="545">
        <f t="shared" ref="AH31" si="51">(T31*AG31)/$AD$7*10000</f>
        <v>8.2797704767680041E-3</v>
      </c>
      <c r="AI31" s="555" t="str">
        <f>_xll.BDP(B31&amp;" Equity","DVD_EX_DT")</f>
        <v>04/12/2025</v>
      </c>
    </row>
    <row r="32" spans="1:35">
      <c r="B32" s="40" t="s">
        <v>138</v>
      </c>
      <c r="C32" t="s">
        <v>1882</v>
      </c>
      <c r="E32" t="s">
        <v>194</v>
      </c>
      <c r="F32" s="22" t="s">
        <v>100</v>
      </c>
      <c r="G32" s="15"/>
      <c r="H32" s="457">
        <v>-49</v>
      </c>
      <c r="I32" s="36" cm="1">
        <f t="array" ref="I32">_xll.BDP(B32&amp;" Equity","LAST_PRICE")</f>
        <v>84.34</v>
      </c>
      <c r="J32" s="51">
        <f t="shared" si="2"/>
        <v>2.1683827983040693E-2</v>
      </c>
      <c r="K32" s="439" cm="1">
        <f t="array" ref="K32">_xll.BDP(B32&amp;" EQUITY","PX_YEST_CLOSE")</f>
        <v>82.55</v>
      </c>
      <c r="L32" s="53" cm="1">
        <f t="array" ref="L32">_xll.BDP(E32&amp;" Curncy","PX_LAST")</f>
        <v>1</v>
      </c>
      <c r="M32" s="52">
        <v>1</v>
      </c>
      <c r="N32" s="15">
        <f t="shared" si="3"/>
        <v>-4132.66</v>
      </c>
      <c r="O32" s="357">
        <f>IFERROR(IF(Tabelad[[#This Row],[D1 Exp USD]]&lt;&gt;0,N32/$AE$7,0),"-")</f>
        <v>-1.724698233168509E-6</v>
      </c>
      <c r="P32" s="20">
        <f>IFERROR(IF(Tabelad[[#This Row],[D1 Exp USD]]&lt;&gt;0,((I32-K32)/L32*M32*H32)/$AD$7*10000,0),"-")</f>
        <v>-3.6604337649651911E-4</v>
      </c>
      <c r="Q32" s="15">
        <f>IF(SUM(SUMIFS(Options!$AL$4:$AL$27, Options!$D$4:$D$27, B32), SUMIFS(Options!$AL$4:$AL$27, Options!$D$4:$D$27, B32 &amp; " US"))=0,0,SUM(SUMIFS(Options!$AL$4:$AL$27, Options!$D$4:$D$27, B32), SUMIFS(Options!$AL$4:$AL$27, Options!$D$4:$D$27, B32 &amp; " US")))</f>
        <v>-560952.1146312356</v>
      </c>
      <c r="R32" s="19">
        <f t="shared" si="18"/>
        <v>-2.3410421399210944E-4</v>
      </c>
      <c r="S32" s="20">
        <f>IF(SUM(SUMIFS(Options!$AK$4:$AK$27, Options!$D$4:$D$27, B32), SUMIFS(Options!$AK$4:$AK$27, Options!$D$4:$D$27, B32 &amp; " US"))=0,0,SUM(SUMIFS(Options!$AK$4:$AK$27, Options!$D$4:$D$27, B32), SUMIFS(Options!AK$4:$AK$27, Options!$D$4:$D$27, B32 &amp; " US")))</f>
        <v>-6.2913053251453577E-2</v>
      </c>
      <c r="T32" s="13">
        <f t="shared" si="5"/>
        <v>-565084.77463123563</v>
      </c>
      <c r="U32" s="48">
        <f t="shared" si="6"/>
        <v>-2.3582891222527795E-4</v>
      </c>
      <c r="V32" s="20">
        <f t="shared" si="7"/>
        <v>-6.3279096627950102E-2</v>
      </c>
      <c r="W32" s="15">
        <f t="shared" si="8"/>
        <v>8523.2301612520732</v>
      </c>
      <c r="X32" s="19"/>
      <c r="Y32" s="375">
        <f>Tabelad[[#This Row],[Exp %]]*$Y$10*$AD$7/Tabelad[[#This Row],[Price Today]]</f>
        <v>-2345.0281138360497</v>
      </c>
      <c r="Z32" s="266">
        <f>Tabelad[[#This Row],[Vol 10d]]/16*Tabelad[[#This Row],[Exp %]]*100</f>
        <v>-3.7412059591561207E-2</v>
      </c>
      <c r="AA32" s="19">
        <f>Tabelad[[#This Row],[Exp %]]*Tabelad[[#This Row],[Beta Adj2]]</f>
        <v>-4.6655863281384511E-4</v>
      </c>
      <c r="AB32" s="36">
        <f>_xll.BDP($B32&amp;" Equity","volatility_10d")</f>
        <v>25.382509201974667</v>
      </c>
      <c r="AC32" s="36" cm="1">
        <f t="array" ref="AC32">_xll.BDP(B32&amp;" EQUITY","eqy_beta")</f>
        <v>1.9783775806427002</v>
      </c>
      <c r="AD32" s="15">
        <f>Tabelad[[#This Row],[D1 P&amp;L bps]]*$AD$5/10000</f>
        <v>-82.214626002030883</v>
      </c>
      <c r="AE32" s="277"/>
      <c r="AF32" s="231" t="str">
        <f>_xll.BDP(B32&amp;" Equity","EXPECTED_REPORT_DT")</f>
        <v>05/03/2026</v>
      </c>
      <c r="AG32" s="172">
        <f>_xll.BDP(B32&amp;" Index","CHG_PCT_1D_PRE_FROM_REGULAR")/100</f>
        <v>1.8413040000000002E-2</v>
      </c>
      <c r="AH32" s="20">
        <f t="shared" si="9"/>
        <v>-4.3423271939605323E-2</v>
      </c>
      <c r="AI32" s="456" t="str">
        <f>_xll.BDP(B32&amp;" Equity","DVD_EX_DT")</f>
        <v>09/01/2026</v>
      </c>
    </row>
    <row r="33" spans="2:35">
      <c r="B33" s="40" t="s">
        <v>2146</v>
      </c>
      <c r="C33" t="s">
        <v>2147</v>
      </c>
      <c r="E33" t="s">
        <v>194</v>
      </c>
      <c r="F33" s="22" t="s">
        <v>99</v>
      </c>
      <c r="G33" s="15"/>
      <c r="H33" s="457">
        <v>24092</v>
      </c>
      <c r="I33" s="36" cm="1">
        <f t="array" ref="I33">_xll.BDP(B33&amp;" Equity","LAST_PRICE")</f>
        <v>17.18</v>
      </c>
      <c r="J33" s="51">
        <f>I33/K33-1</f>
        <v>-4.0579710144927894E-3</v>
      </c>
      <c r="K33" s="439" cm="1">
        <f t="array" ref="K33">_xll.BDP(B33&amp;" EQUITY","PX_YEST_CLOSE")</f>
        <v>17.25</v>
      </c>
      <c r="L33" s="53" cm="1">
        <f t="array" ref="L33">_xll.BDP(E33&amp;" Curncy","PX_LAST")</f>
        <v>1</v>
      </c>
      <c r="M33" s="52">
        <v>1</v>
      </c>
      <c r="N33" s="15">
        <f>IFERROR(IF(((I33/L33)*H33*M33)&lt;&gt;0,((I33/L33)*H33*M33),0),"-")</f>
        <v>413900.56</v>
      </c>
      <c r="O33" s="357">
        <f>IFERROR(IF(Tabelad[[#This Row],[D1 Exp USD]]&lt;&gt;0,N33/$AE$7,0),"-")</f>
        <v>1.7273464658100509E-4</v>
      </c>
      <c r="P33" s="20">
        <f>IFERROR(IF(Tabelad[[#This Row],[D1 Exp USD]]&lt;&gt;0,((I33-K33)/L33*M33*H33)/$AD$7*10000,0),"-")</f>
        <v>-7.03808222390594E-3</v>
      </c>
      <c r="Q33" s="15">
        <f>IF(SUM(SUMIFS(Options!$AL$4:$AL$27, Options!$D$4:$D$27, B33), SUMIFS(Options!$AL$4:$AL$27, Options!$D$4:$D$27, B33 &amp; " US"))=0,0,SUM(SUMIFS(Options!$AL$4:$AL$27, Options!$D$4:$D$27, B33), SUMIFS(Options!$AL$4:$AL$27, Options!$D$4:$D$27, B33 &amp; " US")))</f>
        <v>0</v>
      </c>
      <c r="R33" s="19">
        <f t="shared" si="18"/>
        <v>0</v>
      </c>
      <c r="S33" s="20">
        <f>IF(SUM(SUMIFS(Options!$AK$4:$AK$27, Options!$D$4:$D$27, B33), SUMIFS(Options!$AK$4:$AK$27, Options!$D$4:$D$27, B33 &amp; " US"))=0,0,SUM(SUMIFS(Options!$AK$4:$AK$27, Options!$D$4:$D$27, B33), SUMIFS(Options!AK$4:$AK$27, Options!$D$4:$D$27, B33 &amp; " US")))</f>
        <v>0</v>
      </c>
      <c r="T33" s="13">
        <f>N33+Q33</f>
        <v>413900.56</v>
      </c>
      <c r="U33" s="48">
        <f>T33/$AE$7</f>
        <v>1.7273464658100509E-4</v>
      </c>
      <c r="V33" s="20">
        <f>P33+S33</f>
        <v>-7.03808222390594E-3</v>
      </c>
      <c r="W33" s="15">
        <f>$W$10/(I33/L33*M33)</f>
        <v>41842.213725261929</v>
      </c>
      <c r="X33" s="19"/>
      <c r="Y33" s="375">
        <f>Tabelad[[#This Row],[Exp %]]*$Y$10*$AD$7/Tabelad[[#This Row],[Price Today]]</f>
        <v>8432.2000000000007</v>
      </c>
      <c r="Z33" s="266">
        <f>Tabelad[[#This Row],[Vol 10d]]/16*Tabelad[[#This Row],[Exp %]]*100</f>
        <v>0.11569125483057757</v>
      </c>
      <c r="AA33" s="19">
        <f>Tabelad[[#This Row],[Exp %]]*Tabelad[[#This Row],[Beta Adj2]]</f>
        <v>3.5477120747706979E-4</v>
      </c>
      <c r="AB33" s="36">
        <f>_xll.BDP($B33&amp;" Equity","volatility_10d")</f>
        <v>107.16206122673681</v>
      </c>
      <c r="AC33" s="36" cm="1">
        <f t="array" ref="AC33">_xll.BDP(B33&amp;" EQUITY","eqy_beta")</f>
        <v>2.0538508892059326</v>
      </c>
      <c r="AD33" s="15">
        <f>Tabelad[[#This Row],[D1 P&amp;L bps]]*$AD$5/10000</f>
        <v>-1580.7779486360171</v>
      </c>
      <c r="AE33" s="277"/>
      <c r="AF33" s="231" t="str">
        <f>_xll.BDP(B33&amp;" Equity","EXPECTED_REPORT_DT")</f>
        <v>24/02/2026</v>
      </c>
      <c r="AG33" s="172">
        <f>_xll.BDP(B33&amp;" Index","CHG_PCT_1D_PRE_FROM_REGULAR")/100</f>
        <v>1.5652200000000002E-2</v>
      </c>
      <c r="AH33" s="20">
        <f>(T33*AG33)/$AD$7*10000</f>
        <v>2.7036772352152079E-2</v>
      </c>
      <c r="AI33" s="456" t="str">
        <f>_xll.BDP(B33&amp;" Equity","DVD_EX_DT")</f>
        <v>12/10/2017</v>
      </c>
    </row>
    <row r="34" spans="2:35">
      <c r="B34" s="40" t="s">
        <v>88</v>
      </c>
      <c r="C34" t="s">
        <v>2295</v>
      </c>
      <c r="E34" t="s">
        <v>194</v>
      </c>
      <c r="F34" s="22" t="s">
        <v>99</v>
      </c>
      <c r="G34" s="15"/>
      <c r="H34" s="457">
        <v>45750</v>
      </c>
      <c r="I34" s="36" cm="1">
        <f t="array" ref="I34">_xll.BDP(B34&amp;" Equity","LAST_PRICE")</f>
        <v>53.83</v>
      </c>
      <c r="J34" s="51">
        <f t="shared" ref="J34:J36" si="52">I34/K34-1</f>
        <v>6.9210624766180562E-3</v>
      </c>
      <c r="K34" s="439" cm="1">
        <f t="array" ref="K34">_xll.BDP(B34&amp;" EQUITY","PX_YEST_CLOSE")</f>
        <v>53.46</v>
      </c>
      <c r="L34" s="53" cm="1">
        <f t="array" ref="L34">_xll.BDP(E34&amp;" Curncy","PX_LAST")</f>
        <v>1</v>
      </c>
      <c r="M34" s="52">
        <v>1</v>
      </c>
      <c r="N34" s="15">
        <f t="shared" ref="N34:N36" si="53">IFERROR(IF(((I34/L34)*H34*M34)&lt;&gt;0,((I34/L34)*H34*M34),0),"-")</f>
        <v>2462722.5</v>
      </c>
      <c r="O34" s="357">
        <f>IFERROR(IF(Tabelad[[#This Row],[D1 Exp USD]]&lt;&gt;0,N34/$AE$7,0),"-")</f>
        <v>1.0277770599406517E-3</v>
      </c>
      <c r="P34" s="20">
        <f>IFERROR(IF(Tabelad[[#This Row],[D1 Exp USD]]&lt;&gt;0,((I34-K34)/L34*M34*H34)/$AD$7*10000,0),"-")</f>
        <v>7.0644159795288597E-2</v>
      </c>
      <c r="Q34" s="15">
        <f>IF(SUM(SUMIFS(Options!$AL$4:$AL$27, Options!$D$4:$D$27, B34), SUMIFS(Options!$AL$4:$AL$27, Options!$D$4:$D$27, B34 &amp; " US"))=0,0,SUM(SUMIFS(Options!$AL$4:$AL$27, Options!$D$4:$D$27, B34), SUMIFS(Options!$AL$4:$AL$27, Options!$D$4:$D$27, B34 &amp; " US")))</f>
        <v>0</v>
      </c>
      <c r="R34" s="19">
        <f t="shared" si="18"/>
        <v>0</v>
      </c>
      <c r="S34" s="20">
        <f>IF(SUM(SUMIFS(Options!$AK$4:$AK$27, Options!$D$4:$D$27, B34), SUMIFS(Options!$AK$4:$AK$27, Options!$D$4:$D$27, B34 &amp; " US"))=0,0,SUM(SUMIFS(Options!$AK$4:$AK$27, Options!$D$4:$D$27, B34), SUMIFS(Options!AK$4:$AK$27, Options!$D$4:$D$27, B34 &amp; " US")))</f>
        <v>0</v>
      </c>
      <c r="T34" s="13">
        <f t="shared" ref="T34:T36" si="54">N34+Q34</f>
        <v>2462722.5</v>
      </c>
      <c r="U34" s="48">
        <f t="shared" ref="U34:U36" si="55">T34/$AE$7</f>
        <v>1.0277770599406517E-3</v>
      </c>
      <c r="V34" s="20">
        <f t="shared" ref="V34:V36" si="56">P34+S34</f>
        <v>7.0644159795288597E-2</v>
      </c>
      <c r="W34" s="15">
        <f t="shared" ref="W34:W36" si="57">$W$10/(I34/L34*M34)</f>
        <v>13354.063381014304</v>
      </c>
      <c r="X34" s="19"/>
      <c r="Y34" s="375">
        <f>Tabelad[[#This Row],[Exp %]]*$Y$10*$AD$7/Tabelad[[#This Row],[Price Today]]</f>
        <v>16012.5</v>
      </c>
      <c r="Z34" s="266">
        <f>Tabelad[[#This Row],[Vol 10d]]/16*Tabelad[[#This Row],[Exp %]]*100</f>
        <v>0.10838985644486185</v>
      </c>
      <c r="AA34" s="19">
        <f>Tabelad[[#This Row],[Exp %]]*Tabelad[[#This Row],[Beta Adj2]]</f>
        <v>1.0276732850152089E-3</v>
      </c>
      <c r="AB34" s="36">
        <f>_xll.BDP($B34&amp;" Equity","volatility_10d")</f>
        <v>16.873675923628145</v>
      </c>
      <c r="AC34" s="36">
        <f>_xll.BDP(B34&amp;" EQUITY","eqy_beta")</f>
        <v>0.99989902973175049</v>
      </c>
      <c r="AD34" s="15">
        <f>Tabelad[[#This Row],[D1 P&amp;L bps]]*$AD$5/10000</f>
        <v>15866.926024961389</v>
      </c>
      <c r="AE34" s="277"/>
      <c r="AF34" s="231" t="str">
        <f>_xll.BDP(B34&amp;" Equity","EXPECTED_REPORT_DT")</f>
        <v>#N/A N/A</v>
      </c>
      <c r="AG34" s="172">
        <f>_xll.BDP(B34&amp;" Index","CHG_PCT_1D_PRE_FROM_REGULAR")/100</f>
        <v>1.8706E-3</v>
      </c>
      <c r="AH34" s="20">
        <f t="shared" ref="AH34:AH36" si="58">(T34*AG34)/$AD$7*10000</f>
        <v>1.9225597683249829E-2</v>
      </c>
      <c r="AI34" s="456" t="str">
        <f>_xll.BDP(B34&amp;" Equity","DVD_EX_DT")</f>
        <v>22/12/2025</v>
      </c>
    </row>
    <row r="35" spans="2:35">
      <c r="B35" s="40" t="s">
        <v>2321</v>
      </c>
      <c r="C35" t="s">
        <v>2295</v>
      </c>
      <c r="E35" t="s">
        <v>194</v>
      </c>
      <c r="F35" s="22" t="s">
        <v>100</v>
      </c>
      <c r="G35" s="15"/>
      <c r="H35" s="457">
        <v>-10000</v>
      </c>
      <c r="I35" s="36" cm="1">
        <f t="array" ref="I35">_xll.BDP(B35&amp;" Equity","LAST_PRICE")</f>
        <v>22.645</v>
      </c>
      <c r="J35" s="51">
        <f t="shared" ref="J35" si="59">I35/K35-1</f>
        <v>1.0937500000000044E-2</v>
      </c>
      <c r="K35" s="439" cm="1">
        <f t="array" ref="K35">_xll.BDP(B35&amp;" EQUITY","PX_YEST_CLOSE")</f>
        <v>22.4</v>
      </c>
      <c r="L35" s="53" cm="1">
        <f t="array" ref="L35">_xll.BDP(E35&amp;" Curncy","PX_LAST")</f>
        <v>1</v>
      </c>
      <c r="M35" s="52">
        <v>1</v>
      </c>
      <c r="N35" s="15">
        <f t="shared" ref="N35" si="60">IFERROR(IF(((I35/L35)*H35*M35)&lt;&gt;0,((I35/L35)*H35*M35),0),"-")</f>
        <v>-226450</v>
      </c>
      <c r="O35" s="357">
        <f>IFERROR(IF(Tabelad[[#This Row],[D1 Exp USD]]&lt;&gt;0,N35/$AE$7,0),"-")</f>
        <v>-9.450521332531804E-5</v>
      </c>
      <c r="P35" s="20">
        <f>IFERROR(IF(Tabelad[[#This Row],[D1 Exp USD]]&lt;&gt;0,((I35-K35)/L35*M35*H35)/$AD$7*10000,0),"-")</f>
        <v>-1.0224675321131823E-2</v>
      </c>
      <c r="Q35" s="15">
        <f>IF(SUM(SUMIFS(Options!$AL$4:$AL$27, Options!$D$4:$D$27, B35), SUMIFS(Options!$AL$4:$AL$27, Options!$D$4:$D$27, B35 &amp; " US"))=0,0,SUM(SUMIFS(Options!$AL$4:$AL$27, Options!$D$4:$D$27, B35), SUMIFS(Options!$AL$4:$AL$27, Options!$D$4:$D$27, B35 &amp; " US")))</f>
        <v>0</v>
      </c>
      <c r="R35" s="19">
        <f t="shared" si="18"/>
        <v>0</v>
      </c>
      <c r="S35" s="20">
        <f>IF(SUM(SUMIFS(Options!$AK$4:$AK$27, Options!$D$4:$D$27, B35), SUMIFS(Options!$AK$4:$AK$27, Options!$D$4:$D$27, B35 &amp; " US"))=0,0,SUM(SUMIFS(Options!$AK$4:$AK$27, Options!$D$4:$D$27, B35), SUMIFS(Options!AK$4:$AK$27, Options!$D$4:$D$27, B35 &amp; " US")))</f>
        <v>0</v>
      </c>
      <c r="T35" s="13">
        <f t="shared" ref="T35" si="61">N35+Q35</f>
        <v>-226450</v>
      </c>
      <c r="U35" s="48">
        <f t="shared" ref="U35" si="62">T35/$AE$7</f>
        <v>-9.450521332531804E-5</v>
      </c>
      <c r="V35" s="20">
        <f t="shared" ref="V35" si="63">P35+S35</f>
        <v>-1.0224675321131823E-2</v>
      </c>
      <c r="W35" s="15">
        <f t="shared" ref="W35" si="64">$W$10/(I35/L35*M35)</f>
        <v>31744.280494590417</v>
      </c>
      <c r="X35" s="19"/>
      <c r="Y35" s="375">
        <f>Tabelad[[#This Row],[Exp %]]*$Y$10*$AD$7/Tabelad[[#This Row],[Price Today]]</f>
        <v>-3500</v>
      </c>
      <c r="Z35" s="266">
        <f>Tabelad[[#This Row],[Vol 10d]]/16*Tabelad[[#This Row],[Exp %]]*100</f>
        <v>-2.5833394936655023E-2</v>
      </c>
      <c r="AA35" s="19">
        <f>Tabelad[[#This Row],[Exp %]]*Tabelad[[#This Row],[Beta Adj2]]</f>
        <v>-3.4630546525579484E-5</v>
      </c>
      <c r="AB35" s="36">
        <f>_xll.BDP($B35&amp;" Equity","volatility_10d")</f>
        <v>43.736668533157811</v>
      </c>
      <c r="AC35" s="36">
        <f>_xll.BDP(B35&amp;" EQUITY","eqy_beta")</f>
        <v>0.36644059419631958</v>
      </c>
      <c r="AD35" s="15">
        <f>Tabelad[[#This Row],[D1 P&amp;L bps]]*$AD$5/10000</f>
        <v>-2296.4979330176238</v>
      </c>
      <c r="AE35" s="277"/>
      <c r="AF35" s="231" t="str">
        <f>_xll.BDP(B35&amp;" Equity","EXPECTED_REPORT_DT")</f>
        <v>11/02/2026</v>
      </c>
      <c r="AG35" s="172" t="e">
        <f>_xll.BDP(B35&amp;" Index","CHG_PCT_1D_PRE_FROM_REGULAR")/100</f>
        <v>#VALUE!</v>
      </c>
      <c r="AH35" s="20" t="e">
        <f t="shared" ref="AH35" si="65">(T35*AG35)/$AD$7*10000</f>
        <v>#VALUE!</v>
      </c>
      <c r="AI35" s="456" t="str">
        <f>_xll.BDP(B35&amp;" Equity","DVD_EX_DT")</f>
        <v>28/11/2025</v>
      </c>
    </row>
    <row r="36" spans="2:35">
      <c r="B36" s="40" t="s">
        <v>4</v>
      </c>
      <c r="C36" t="s">
        <v>2295</v>
      </c>
      <c r="E36" t="s">
        <v>194</v>
      </c>
      <c r="F36" s="22" t="s">
        <v>100</v>
      </c>
      <c r="G36" s="15"/>
      <c r="H36" s="457">
        <v>-27500</v>
      </c>
      <c r="I36" s="36" cm="1">
        <f t="array" ref="I36">_xll.BDP(B36&amp;" Equity","LAST_PRICE")</f>
        <v>82.474999999999994</v>
      </c>
      <c r="J36" s="51">
        <f t="shared" si="52"/>
        <v>4.2455118874329401E-4</v>
      </c>
      <c r="K36" s="439" cm="1">
        <f t="array" ref="K36">_xll.BDP(B36&amp;" EQUITY","PX_YEST_CLOSE")</f>
        <v>82.44</v>
      </c>
      <c r="L36" s="53" cm="1">
        <f t="array" ref="L36">_xll.BDP(E36&amp;" Curncy","PX_LAST")</f>
        <v>1</v>
      </c>
      <c r="M36" s="52">
        <v>1</v>
      </c>
      <c r="N36" s="15">
        <f t="shared" si="53"/>
        <v>-2268062.5</v>
      </c>
      <c r="O36" s="357">
        <f>IFERROR(IF(Tabelad[[#This Row],[D1 Exp USD]]&lt;&gt;0,N36/$AE$7,0),"-")</f>
        <v>-9.4653888451161035E-4</v>
      </c>
      <c r="P36" s="20">
        <f>IFERROR(IF(Tabelad[[#This Row],[D1 Exp USD]]&lt;&gt;0,((I36-K36)/L36*M36*H36)/$AD$7*10000,0),"-")</f>
        <v>-4.0168367333013807E-3</v>
      </c>
      <c r="Q36" s="15">
        <f>IF(SUM(SUMIFS(Options!$AL$4:$AL$27, Options!$D$4:$D$27, B36), SUMIFS(Options!$AL$4:$AL$27, Options!$D$4:$D$27, B36 &amp; " US"))=0,0,SUM(SUMIFS(Options!$AL$4:$AL$27, Options!$D$4:$D$27, B36), SUMIFS(Options!$AL$4:$AL$27, Options!$D$4:$D$27, B36 &amp; " US")))</f>
        <v>0</v>
      </c>
      <c r="R36" s="19">
        <f t="shared" si="18"/>
        <v>0</v>
      </c>
      <c r="S36" s="20">
        <f>IF(SUM(SUMIFS(Options!$AK$4:$AK$27, Options!$D$4:$D$27, B36), SUMIFS(Options!$AK$4:$AK$27, Options!$D$4:$D$27, B36 &amp; " US"))=0,0,SUM(SUMIFS(Options!$AK$4:$AK$27, Options!$D$4:$D$27, B36), SUMIFS(Options!AK$4:$AK$27, Options!$D$4:$D$27, B36 &amp; " US")))</f>
        <v>0</v>
      </c>
      <c r="T36" s="13">
        <f t="shared" si="54"/>
        <v>-2268062.5</v>
      </c>
      <c r="U36" s="48">
        <f t="shared" si="55"/>
        <v>-9.4653888451161035E-4</v>
      </c>
      <c r="V36" s="20">
        <f t="shared" si="56"/>
        <v>-4.0168367333013807E-3</v>
      </c>
      <c r="W36" s="15">
        <f t="shared" si="57"/>
        <v>8715.96522340103</v>
      </c>
      <c r="X36" s="19"/>
      <c r="Y36" s="375">
        <f>Tabelad[[#This Row],[Exp %]]*$Y$10*$AD$7/Tabelad[[#This Row],[Price Today]]</f>
        <v>-9625</v>
      </c>
      <c r="Z36" s="266">
        <f>Tabelad[[#This Row],[Vol 10d]]/16*Tabelad[[#This Row],[Exp %]]*100</f>
        <v>-7.8468590216336537E-2</v>
      </c>
      <c r="AA36" s="19">
        <f>Tabelad[[#This Row],[Exp %]]*Tabelad[[#This Row],[Beta Adj2]]</f>
        <v>-9.4930416195009905E-4</v>
      </c>
      <c r="AB36" s="36">
        <f>_xll.BDP($B36&amp;" Equity","volatility_10d")</f>
        <v>13.26408733973131</v>
      </c>
      <c r="AC36" s="36">
        <f>_xll.BDP(B36&amp;" EQUITY","eqy_beta")</f>
        <v>1.002921462059021</v>
      </c>
      <c r="AD36" s="15">
        <f>Tabelad[[#This Row],[D1 P&amp;L bps]]*$AD$5/10000</f>
        <v>-902.19561654254642</v>
      </c>
      <c r="AE36" s="277"/>
      <c r="AF36" s="231" t="str">
        <f>_xll.BDP(B36&amp;" Equity","EXPECTED_REPORT_DT")</f>
        <v>#N/A N/A</v>
      </c>
      <c r="AG36" s="172">
        <f>_xll.BDP(B36&amp;" Index","CHG_PCT_1D_PRE_FROM_REGULAR")/100</f>
        <v>3.6388620000000002E-4</v>
      </c>
      <c r="AH36" s="20">
        <f t="shared" si="58"/>
        <v>-3.4443243783716881E-3</v>
      </c>
      <c r="AI36" s="456" t="str">
        <f>_xll.BDP(B36&amp;" Equity","DVD_EX_DT")</f>
        <v>22/12/2025</v>
      </c>
    </row>
    <row r="37" spans="2:35">
      <c r="C37" s="40"/>
      <c r="D37" s="40"/>
      <c r="E37" s="40"/>
      <c r="H37" s="13"/>
      <c r="I37" s="53"/>
      <c r="K37" s="53"/>
      <c r="L37" s="53"/>
      <c r="M37" s="36"/>
      <c r="S37" s="277"/>
      <c r="U37" s="71"/>
      <c r="V37" s="65"/>
      <c r="X37" s="53"/>
      <c r="Y37" s="454"/>
      <c r="Z37" s="19"/>
      <c r="AG37" s="53"/>
      <c r="AI37" s="48"/>
    </row>
    <row r="38" spans="2:35">
      <c r="C38" s="21"/>
      <c r="D38" s="21"/>
      <c r="E38" s="21"/>
      <c r="H38" s="13"/>
      <c r="L38" s="3"/>
      <c r="S38" s="276"/>
    </row>
    <row r="39" spans="2:35">
      <c r="C39" s="21"/>
      <c r="D39" s="21"/>
      <c r="E39" s="21"/>
      <c r="H39" s="13"/>
      <c r="L39" s="3"/>
      <c r="S39" s="276"/>
    </row>
    <row r="40" spans="2:35">
      <c r="C40" s="21"/>
      <c r="D40" s="21"/>
      <c r="E40" s="21"/>
      <c r="H40" s="13"/>
      <c r="L40" s="3"/>
      <c r="S40" s="276"/>
    </row>
    <row r="41" spans="2:35">
      <c r="C41" s="21"/>
      <c r="D41" s="21"/>
      <c r="E41" s="21"/>
      <c r="H41" s="13"/>
      <c r="S41" s="276"/>
    </row>
    <row r="42" spans="2:35">
      <c r="C42" s="21"/>
      <c r="D42" s="21"/>
      <c r="E42" s="21"/>
      <c r="S42" s="276"/>
    </row>
    <row r="43" spans="2:35">
      <c r="C43" s="21"/>
      <c r="D43" s="21"/>
      <c r="E43" s="21"/>
      <c r="H43" s="13"/>
    </row>
    <row r="44" spans="2:35">
      <c r="C44" s="21"/>
      <c r="D44" s="21"/>
      <c r="E44" s="21"/>
    </row>
    <row r="45" spans="2:35">
      <c r="C45" s="21"/>
      <c r="D45" s="21"/>
      <c r="E45" s="21"/>
    </row>
    <row r="46" spans="2:35">
      <c r="C46" s="21"/>
      <c r="D46" s="21"/>
      <c r="E46" s="21"/>
    </row>
    <row r="47" spans="2:35">
      <c r="C47" s="21"/>
      <c r="D47" s="21"/>
      <c r="E47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6">
    <cfRule type="colorScale" priority="547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6">
    <cfRule type="colorScale" priority="547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7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6">
    <cfRule type="dataBar" priority="547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6">
    <cfRule type="colorScale" priority="547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6">
    <cfRule type="dataBar" priority="5479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6">
    <cfRule type="colorScale" priority="547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6">
    <cfRule type="colorScale" priority="548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8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6">
    <cfRule type="colorScale" priority="54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6">
    <cfRule type="colorScale" priority="548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AB12:AB36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H16" sqref="H16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3.111798216491068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SUM(V4:V27)</f>
        <v>13.794422476003822</v>
      </c>
      <c r="W1" s="50">
        <f>SUM(W4:W27)</f>
        <v>13.442818845062863</v>
      </c>
      <c r="X1" s="50">
        <f>SUM(X4:X27)</f>
        <v>51.330000000000013</v>
      </c>
      <c r="Y1" s="269"/>
      <c r="AG1" s="43"/>
      <c r="AI1" s="416">
        <f>SUM(AI4:AI27)*252</f>
        <v>-13.882057607474968</v>
      </c>
      <c r="AJ1" s="416"/>
      <c r="AK1" s="363" t="s">
        <v>1904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2135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1845</v>
      </c>
      <c r="BB3" s="10" t="s">
        <v>1848</v>
      </c>
      <c r="BC3" s="10" t="s">
        <v>1849</v>
      </c>
      <c r="BD3" s="10" t="s">
        <v>1850</v>
      </c>
    </row>
    <row r="4" spans="1:56" s="59" customFormat="1">
      <c r="A4" s="483"/>
      <c r="B4" s="482" t="s">
        <v>2314</v>
      </c>
      <c r="C4" s="482" t="s">
        <v>1934</v>
      </c>
      <c r="D4" s="482" t="str" cm="1">
        <f t="array" ref="D4">_xll.BDP(B4&amp;" Index","OPT_UNDL_TICKER")</f>
        <v>1OH6</v>
      </c>
      <c r="E4" s="482" t="str" cm="1">
        <f t="array" ref="E4">_xll.BDP($B4&amp;" Index","mifid_Maturity_date")</f>
        <v>06/02/2026</v>
      </c>
      <c r="F4" s="482" cm="1">
        <f t="array" ref="F4">_xll.BDP($B4&amp;" Index","opt_days_expire")</f>
        <v>15</v>
      </c>
      <c r="G4" s="482" t="str" cm="1">
        <f t="array" ref="G4">_xll.BDP(B4&amp;" Index","QUOTED_CURRENCY_REALTIME")</f>
        <v>USD</v>
      </c>
      <c r="H4" s="481">
        <v>10</v>
      </c>
      <c r="I4" s="480">
        <v>267.5</v>
      </c>
      <c r="J4" s="479" t="e">
        <f>VLOOKUP(B4,Precificação!$B:$O,14,FALSE)</f>
        <v>#N/A</v>
      </c>
      <c r="K4" s="74">
        <f>_xll.BDP(B4&amp;" index","PX_YEST_CLOSE")</f>
        <v>262.25</v>
      </c>
      <c r="L4" s="479" cm="1">
        <f t="array" ref="L4">_xll.BDP($B4&amp;" Index","mid")</f>
        <v>190.5</v>
      </c>
      <c r="M4" s="478">
        <f t="shared" ref="M4:M27" si="0">L4/Z4</f>
        <v>7.4334936444604861E-3</v>
      </c>
      <c r="N4" s="477"/>
      <c r="O4" s="478">
        <f t="shared" ref="O4:O27" si="1">L4/K4-1</f>
        <v>-0.27359389895138231</v>
      </c>
      <c r="P4" s="479" cm="1">
        <f t="array" ref="P4">_xll.BDP($B4&amp;" Index","bid")</f>
        <v>189.75</v>
      </c>
      <c r="Q4" s="479" cm="1">
        <f t="array" ref="Q4">_xll.BDP($B4&amp;" Index","ask")</f>
        <v>191.25</v>
      </c>
      <c r="R4" s="476">
        <f t="shared" ref="R4:R27" si="2">(Q4/P4-1)</f>
        <v>7.905138339920903E-3</v>
      </c>
      <c r="S4" s="479" cm="1">
        <f t="array" ref="S4">_xll.BDP(G4&amp;" Curncy","PX_LAST")</f>
        <v>1</v>
      </c>
      <c r="T4" s="481">
        <v>20</v>
      </c>
      <c r="U4" s="481">
        <f t="shared" ref="U4:U27" si="3">(L4/S4)*H4*T4</f>
        <v>38100</v>
      </c>
      <c r="V4" s="475">
        <f>U4/'Master P&amp;L'!$AD$7*10000</f>
        <v>0.15900413458576362</v>
      </c>
      <c r="W4" s="475">
        <f>(Y4*H4*T4/S4)/'Master P&amp;L'!$AD$7*10000</f>
        <v>0.15900413458576362</v>
      </c>
      <c r="X4" s="474">
        <f t="shared" ref="X4:X27" si="4">IF(C4="Put",IF(Z4&lt;AA4,AA4-Z4,0),IF(Z4&gt;AA4,Z4-AA4,0))</f>
        <v>0</v>
      </c>
      <c r="Y4" s="473">
        <f t="shared" ref="Y4:Y27" si="5">L4-X4</f>
        <v>190.5</v>
      </c>
      <c r="Z4" s="472">
        <f>_xll.BDP(D4&amp;" Index","LAST_PRICE")</f>
        <v>25627.25</v>
      </c>
      <c r="AA4" s="472" cm="1">
        <f t="array" ref="AA4">_xll.BDP(B4&amp;" Index","OPT_STRIKE_PX")</f>
        <v>25000</v>
      </c>
      <c r="AB4" s="476">
        <f t="shared" ref="AB4:AB27" si="6">AA4/Z4-1</f>
        <v>-2.4475899677101509E-2</v>
      </c>
      <c r="AC4" s="471" cm="1">
        <f t="array" ref="AC4">_xll.BDP($D4&amp;" Index","volatility_10d")</f>
        <v>17.60223388671875</v>
      </c>
      <c r="AD4" s="472" cm="1">
        <f t="array" ref="AD4">_xll.BDP(B4&amp;" Index","ivol_mid")</f>
        <v>21.970077</v>
      </c>
      <c r="AE4" s="472">
        <f t="shared" ref="AE4:AE27" si="7">AD4/AC4</f>
        <v>1.2481414087206781</v>
      </c>
      <c r="AF4" s="470" cm="1">
        <f t="array" ref="AF4">_xll.BDP(B4&amp;" Index","DELTA_MID_RT")</f>
        <v>-0.27521651983261108</v>
      </c>
      <c r="AG4" s="478">
        <f>AL4/'Master P&amp;L'!$AE$7</f>
        <v>-5.8869445045265886E-4</v>
      </c>
      <c r="AH4" s="478">
        <f>AM4/'Master P&amp;L'!$AE$7</f>
        <v>-2.1390229438650976E-3</v>
      </c>
      <c r="AI4" s="485">
        <f>AO4/'Master P&amp;L'!$AD$7*10000</f>
        <v>-1.0678448334002751E-2</v>
      </c>
      <c r="AJ4" s="477">
        <f t="shared" ref="AJ4:AJ27" si="8">(252*AI4)/$AI$1</f>
        <v>0.19384510972780483</v>
      </c>
      <c r="AK4" s="470">
        <f>AP4/'Master P&amp;L'!$AD$7*10000</f>
        <v>-5.9887384023771861E-2</v>
      </c>
      <c r="AL4" s="481">
        <f t="shared" ref="AL4:AL27" si="9">Z4*AF4*H4*T4/S4</f>
        <v>-1410608.5115760565</v>
      </c>
      <c r="AM4" s="481">
        <f t="shared" ref="AM4:AM27" si="10">IF(C4="Put",-Z4*H4*T4/S4,Z4*H4*T4/S4)</f>
        <v>-5125450</v>
      </c>
      <c r="AN4" s="470" cm="1">
        <f t="array" ref="AN4">_xll.BDP($B4&amp;" Index","theta_mid_rt")</f>
        <v>-12.793657302856445</v>
      </c>
      <c r="AO4" s="481">
        <f t="shared" ref="AO4:AO27" si="11">AN4*H4*T4/S4</f>
        <v>-2558.7314605712891</v>
      </c>
      <c r="AP4" s="481">
        <f t="shared" ref="AP4:AP27" si="12">(L4-K4)*T4/S4*H4</f>
        <v>-14350</v>
      </c>
      <c r="AQ4" s="479" t="str" cm="1">
        <f t="array" ref="AQ4">_xll.BDP($D4&amp;" Index","EXPECTED_REPORT_DT")</f>
        <v>#N/A Field Not Applicable</v>
      </c>
      <c r="AR4" s="484" cm="1">
        <f t="array" ref="AR4">_xll.BDP($B4&amp;" Index","GAMMA_LAST")</f>
        <v>7.6836000000000002E-2</v>
      </c>
      <c r="AS4" s="482">
        <f t="shared" ref="AS4:AS27" si="13">$Z4*($AR4*$Z4*$AS$3)*$H4*$T4/$S4</f>
        <v>100924999.2054645</v>
      </c>
      <c r="AT4" s="482">
        <f t="shared" ref="AT4:AT27" si="14">$Z4*($AR4*$Z4*$AT$3)*$H4*$T4/$S4</f>
        <v>504624996.02732253</v>
      </c>
      <c r="AU4" s="482" t="s">
        <v>151</v>
      </c>
      <c r="AV4" s="469" t="e" cm="1">
        <f t="array" ref="AV4">_xll.BDP($D4&amp;" Index","EST_PE_NXT_YR")*(AA4/Z4)</f>
        <v>#VALUE!</v>
      </c>
      <c r="AW4" s="482"/>
      <c r="AX4" s="481"/>
      <c r="AY4" s="481">
        <v>209.63</v>
      </c>
      <c r="AZ4" s="468"/>
      <c r="BA4" s="481">
        <f t="shared" ref="BA4:BA27" si="15">+AY4</f>
        <v>209.63</v>
      </c>
      <c r="BB4" s="499" t="e">
        <f t="shared" ref="BB4:BB27" si="16">+J4</f>
        <v>#N/A</v>
      </c>
      <c r="BC4" s="499" t="e">
        <f t="shared" ref="BC4:BC27" si="17">(BB4-BA4)*H4*100</f>
        <v>#N/A</v>
      </c>
      <c r="BD4" s="499" t="e">
        <f>BC4/'Master P&amp;L'!$AD$7*10000</f>
        <v>#N/A</v>
      </c>
    </row>
    <row r="5" spans="1:56" s="59" customFormat="1">
      <c r="A5" s="483"/>
      <c r="B5" s="482" t="s">
        <v>2314</v>
      </c>
      <c r="C5" s="482" t="s">
        <v>1934</v>
      </c>
      <c r="D5" s="482" t="str" cm="1">
        <f t="array" ref="D5">_xll.BDP(B5&amp;" Index","OPT_UNDL_TICKER")</f>
        <v>1OH6</v>
      </c>
      <c r="E5" s="482" t="str" cm="1">
        <f t="array" ref="E5">_xll.BDP($B5&amp;" Index","mifid_Maturity_date")</f>
        <v>06/02/2026</v>
      </c>
      <c r="F5" s="482" cm="1">
        <f t="array" ref="F5">_xll.BDP($B5&amp;" Index","opt_days_expire")</f>
        <v>15</v>
      </c>
      <c r="G5" s="482" t="str" cm="1">
        <f t="array" ref="G5">_xll.BDP(B5&amp;" Index","QUOTED_CURRENCY_REALTIME")</f>
        <v>USD</v>
      </c>
      <c r="H5" s="481">
        <v>-10</v>
      </c>
      <c r="I5" s="480"/>
      <c r="J5" s="479"/>
      <c r="K5" s="74">
        <v>185.38</v>
      </c>
      <c r="L5" s="479" cm="1">
        <f t="array" ref="L5">_xll.BDP($B5&amp;" Index","mid")</f>
        <v>190.5</v>
      </c>
      <c r="M5" s="478">
        <f t="shared" ref="M5" si="18">L5/Z5</f>
        <v>7.4334936444604861E-3</v>
      </c>
      <c r="N5" s="477"/>
      <c r="O5" s="478">
        <f t="shared" ref="O5" si="19">L5/K5-1</f>
        <v>2.7618944869996831E-2</v>
      </c>
      <c r="P5" s="479" cm="1">
        <f t="array" ref="P5">_xll.BDP($B5&amp;" Index","bid")</f>
        <v>189.75</v>
      </c>
      <c r="Q5" s="479" cm="1">
        <f t="array" ref="Q5">_xll.BDP($B5&amp;" Index","ask")</f>
        <v>191.25</v>
      </c>
      <c r="R5" s="476">
        <f t="shared" ref="R5" si="20">(Q5/P5-1)</f>
        <v>7.905138339920903E-3</v>
      </c>
      <c r="S5" s="479" cm="1">
        <f t="array" ref="S5">_xll.BDP(G5&amp;" Curncy","PX_LAST")</f>
        <v>1</v>
      </c>
      <c r="T5" s="481">
        <v>20</v>
      </c>
      <c r="U5" s="481">
        <f t="shared" ref="U5" si="21">(L5/S5)*H5*T5</f>
        <v>-38100</v>
      </c>
      <c r="V5" s="475">
        <f>U5/'Master P&amp;L'!$AD$7*10000</f>
        <v>-0.15900413458576362</v>
      </c>
      <c r="W5" s="475">
        <f>(Y5*H5*T5/S5)/'Master P&amp;L'!$AD$7*10000</f>
        <v>-0.15900413458576362</v>
      </c>
      <c r="X5" s="474">
        <f t="shared" ref="X5" si="22">IF(C5="Put",IF(Z5&lt;AA5,AA5-Z5,0),IF(Z5&gt;AA5,Z5-AA5,0))</f>
        <v>0</v>
      </c>
      <c r="Y5" s="473">
        <f t="shared" ref="Y5" si="23">L5-X5</f>
        <v>190.5</v>
      </c>
      <c r="Z5" s="472">
        <f>_xll.BDP(D5&amp;" Index","LAST_PRICE")</f>
        <v>25627.25</v>
      </c>
      <c r="AA5" s="472" cm="1">
        <f t="array" ref="AA5">_xll.BDP(B5&amp;" Index","OPT_STRIKE_PX")</f>
        <v>25000</v>
      </c>
      <c r="AB5" s="476">
        <f t="shared" ref="AB5" si="24">AA5/Z5-1</f>
        <v>-2.4475899677101509E-2</v>
      </c>
      <c r="AC5" s="471" cm="1">
        <f t="array" ref="AC5">_xll.BDP($D5&amp;" Index","volatility_10d")</f>
        <v>17.60223388671875</v>
      </c>
      <c r="AD5" s="472" cm="1">
        <f t="array" ref="AD5">_xll.BDP(B5&amp;" Index","ivol_mid")</f>
        <v>21.970077</v>
      </c>
      <c r="AE5" s="472">
        <f t="shared" ref="AE5" si="25">AD5/AC5</f>
        <v>1.2481414087206781</v>
      </c>
      <c r="AF5" s="470" cm="1">
        <f t="array" ref="AF5">_xll.BDP(B5&amp;" Index","DELTA_MID_RT")</f>
        <v>-0.27521651983261108</v>
      </c>
      <c r="AG5" s="478">
        <f>AL5/'Master P&amp;L'!$AE$7</f>
        <v>5.8869445045265886E-4</v>
      </c>
      <c r="AH5" s="478">
        <f>AM5/'Master P&amp;L'!$AE$7</f>
        <v>2.1390229438650976E-3</v>
      </c>
      <c r="AI5" s="485">
        <f>AO5/'Master P&amp;L'!$AD$7*10000</f>
        <v>1.0678448334002751E-2</v>
      </c>
      <c r="AJ5" s="477">
        <f t="shared" si="8"/>
        <v>-0.19384510972780483</v>
      </c>
      <c r="AK5" s="470">
        <f>AP5/'Master P&amp;L'!$AD$7*10000</f>
        <v>-4.2734969505465121E-3</v>
      </c>
      <c r="AL5" s="481">
        <f t="shared" ref="AL5" si="26">Z5*AF5*H5*T5/S5</f>
        <v>1410608.5115760565</v>
      </c>
      <c r="AM5" s="481">
        <f t="shared" ref="AM5" si="27">IF(C5="Put",-Z5*H5*T5/S5,Z5*H5*T5/S5)</f>
        <v>5125450</v>
      </c>
      <c r="AN5" s="470" cm="1">
        <f t="array" ref="AN5">_xll.BDP($B5&amp;" Index","theta_mid_rt")</f>
        <v>-12.793657302856445</v>
      </c>
      <c r="AO5" s="481">
        <f t="shared" ref="AO5" si="28">AN5*H5*T5/S5</f>
        <v>2558.7314605712891</v>
      </c>
      <c r="AP5" s="481">
        <f t="shared" ref="AP5" si="29">(L5-K5)*T5/S5*H5</f>
        <v>-1024.0000000000009</v>
      </c>
      <c r="AQ5" s="479" t="str" cm="1">
        <f t="array" ref="AQ5">_xll.BDP($D5&amp;" Index","EXPECTED_REPORT_DT")</f>
        <v>#N/A Field Not Applicable</v>
      </c>
      <c r="AR5" s="484" cm="1">
        <f t="array" ref="AR5">_xll.BDP($B5&amp;" Index","GAMMA_LAST")</f>
        <v>7.6836000000000002E-2</v>
      </c>
      <c r="AS5" s="482">
        <f t="shared" si="13"/>
        <v>-100924999.2054645</v>
      </c>
      <c r="AT5" s="482">
        <f t="shared" si="14"/>
        <v>-504624996.02732253</v>
      </c>
      <c r="AU5" s="482" t="s">
        <v>151</v>
      </c>
      <c r="AV5" s="469" t="e" cm="1">
        <f t="array" ref="AV5">_xll.BDP($D5&amp;" Index","EST_PE_NXT_YR")*(AA5/Z5)</f>
        <v>#VALUE!</v>
      </c>
      <c r="AW5" s="482"/>
      <c r="AX5" s="481"/>
      <c r="AY5" s="481">
        <v>209.63</v>
      </c>
      <c r="AZ5" s="468"/>
      <c r="BA5" s="481">
        <f t="shared" ref="BA5" si="30">+AY5</f>
        <v>209.63</v>
      </c>
      <c r="BB5" s="499">
        <f t="shared" ref="BB5" si="31">+J5</f>
        <v>0</v>
      </c>
      <c r="BC5" s="499">
        <f t="shared" ref="BC5" si="32">(BB5-BA5)*H5*100</f>
        <v>209630.00000000003</v>
      </c>
      <c r="BD5" s="499">
        <f>BC5/'Master P&amp;L'!$AD$7*10000</f>
        <v>0.87485660717096159</v>
      </c>
    </row>
    <row r="6" spans="1:56" s="59" customFormat="1">
      <c r="A6" s="356"/>
      <c r="B6" t="s">
        <v>2288</v>
      </c>
      <c r="C6" t="str" cm="1">
        <f t="array" ref="C6">_xll.BDP($B6&amp;" Equity","opt_put_call")</f>
        <v>Put</v>
      </c>
      <c r="D6" t="str" cm="1">
        <f t="array" ref="D6">_xll.BDP(B6&amp;" Equity","OPT_UNDL_TICKER")</f>
        <v>AMAT US</v>
      </c>
      <c r="E6" t="str" cm="1">
        <f t="array" ref="E6">_xll.BDP($B6&amp;" Equity","mifid_Maturity_date")</f>
        <v>23/01/2026</v>
      </c>
      <c r="F6" cm="1">
        <f t="array" ref="F6">_xll.BDP($B6&amp;" Equity","opt_days_expire")</f>
        <v>1</v>
      </c>
      <c r="G6" t="str" cm="1">
        <f t="array" ref="G6">_xll.BDP(B6&amp;" Equity","QUOTED_CURRENCY_REALTIME")</f>
        <v>USD</v>
      </c>
      <c r="H6" s="15">
        <v>125</v>
      </c>
      <c r="I6" s="410">
        <v>3.75</v>
      </c>
      <c r="J6" s="415">
        <f>VLOOKUP(B6,Precificação!$B:$O,14,FALSE)</f>
        <v>0.23166932390625555</v>
      </c>
      <c r="K6" s="74">
        <f t="shared" ref="K6:K27" si="33">+J6</f>
        <v>0.23166932390625555</v>
      </c>
      <c r="L6" s="74" cm="1">
        <f t="array" ref="L6">_xll.BDP($B6&amp;" Equity","mid")</f>
        <v>0.12</v>
      </c>
      <c r="M6" s="19">
        <f t="shared" si="0"/>
        <v>3.7337813870997851E-4</v>
      </c>
      <c r="N6" s="350"/>
      <c r="O6" s="19">
        <f t="shared" si="1"/>
        <v>-0.4820203297672776</v>
      </c>
      <c r="P6" s="36" cm="1">
        <f t="array" ref="P6">_xll.BDP($B6&amp;" Equity","bid")</f>
        <v>0.08</v>
      </c>
      <c r="Q6" s="36" cm="1">
        <f t="array" ref="Q6">_xll.BDP($B6&amp;" Equity","ask")</f>
        <v>0.15</v>
      </c>
      <c r="R6" s="40">
        <f t="shared" si="2"/>
        <v>0.875</v>
      </c>
      <c r="S6" s="36" cm="1">
        <f t="array" ref="S6">_xll.BDP(G6&amp;" Curncy","PX_LAST")</f>
        <v>1</v>
      </c>
      <c r="T6" s="15" cm="1">
        <f t="array" ref="T6">_xll.BDP(B6&amp;" Equity","OPT_MULTIPLIER")</f>
        <v>100</v>
      </c>
      <c r="U6" s="15">
        <f t="shared" si="3"/>
        <v>1500</v>
      </c>
      <c r="V6" s="124">
        <f>U6/'Master P&amp;L'!$AD$7*10000</f>
        <v>6.2600052986521116E-3</v>
      </c>
      <c r="W6" s="124">
        <f>(Y6*H6*T6/S6)/'Master P&amp;L'!$AD$7*10000</f>
        <v>6.2600052986521116E-3</v>
      </c>
      <c r="X6" s="413">
        <f t="shared" si="4"/>
        <v>0</v>
      </c>
      <c r="Y6" s="273">
        <f t="shared" si="5"/>
        <v>0.12</v>
      </c>
      <c r="Z6" s="37">
        <f>_xll.BDP(D6&amp;" Equity","LAST_PRICE")</f>
        <v>321.39</v>
      </c>
      <c r="AA6" s="37" cm="1">
        <f t="array" ref="AA6">_xll.BDP(B6&amp;" Equity","OPT_STRIKE_PX")</f>
        <v>290</v>
      </c>
      <c r="AB6" s="40">
        <f t="shared" si="6"/>
        <v>-9.7669498117551878E-2</v>
      </c>
      <c r="AC6" s="324" cm="1">
        <f t="array" ref="AC6">_xll.BDP($D6&amp;" Equity","volatility_10d")</f>
        <v>57.058959256067766</v>
      </c>
      <c r="AD6" s="37" cm="1">
        <f t="array" ref="AD6">_xll.BDP(B6&amp;" Equity","ivol_mid")</f>
        <v>66.599890000000002</v>
      </c>
      <c r="AE6" s="37">
        <f t="shared" si="7"/>
        <v>1.167211790546594</v>
      </c>
      <c r="AF6" s="38" cm="1">
        <f t="array" ref="AF6">_xll.BDP(B6&amp;" Equity","DELTA_MID_RT")</f>
        <v>-1.9095465540885925E-2</v>
      </c>
      <c r="AG6" s="19">
        <f>AL6/'Master P&amp;L'!$AE$7</f>
        <v>-3.201518864472824E-5</v>
      </c>
      <c r="AH6" s="19">
        <f>AM6/'Master P&amp;L'!$AE$7</f>
        <v>-1.6765859191115017E-3</v>
      </c>
      <c r="AI6" s="435">
        <f>AO6/'Master P&amp;L'!$AD$7*10000</f>
        <v>-5.8398978383322146E-3</v>
      </c>
      <c r="AJ6" s="350">
        <f t="shared" si="8"/>
        <v>0.10601124825092841</v>
      </c>
      <c r="AK6" s="38">
        <f>AP6/'Master P&amp;L'!$AD$7*10000</f>
        <v>-5.825421327917156E-3</v>
      </c>
      <c r="AL6" s="15">
        <f t="shared" si="9"/>
        <v>-76713.645877316594</v>
      </c>
      <c r="AM6" s="15">
        <f t="shared" si="10"/>
        <v>-4017375</v>
      </c>
      <c r="AN6" s="38" cm="1">
        <f t="array" ref="AN6">_xll.BDP($B6&amp;" Equity","theta_mid_rt")</f>
        <v>-0.11194682866334915</v>
      </c>
      <c r="AO6" s="15">
        <f t="shared" si="11"/>
        <v>-1399.3353582918644</v>
      </c>
      <c r="AP6" s="15">
        <f t="shared" si="12"/>
        <v>-1395.8665488281945</v>
      </c>
      <c r="AQ6" s="36" t="str" cm="1">
        <f t="array" ref="AQ6">_xll.BDP($D6&amp;" Equity","EXPECTED_REPORT_DT")</f>
        <v>12/02/2026</v>
      </c>
      <c r="AR6" s="66" cm="1">
        <f t="array" ref="AR6">_xll.BDP($B6&amp;" Equity","GAMMA_LAST")</f>
        <v>9.3989999999999994E-3</v>
      </c>
      <c r="AS6">
        <f t="shared" si="13"/>
        <v>121354.63877598749</v>
      </c>
      <c r="AT6">
        <f t="shared" si="14"/>
        <v>606773.1938799374</v>
      </c>
      <c r="AU6" t="s">
        <v>151</v>
      </c>
      <c r="AV6" s="277" cm="1">
        <f t="array" ref="AV6">_xll.BDP($D6&amp;" Equity","EST_PE_NXT_YR")*(AA6/Z6)</f>
        <v>25.227711891364862</v>
      </c>
      <c r="AW6"/>
      <c r="AX6" s="15"/>
      <c r="AY6" s="15">
        <v>0.17</v>
      </c>
      <c r="AZ6" s="355"/>
      <c r="BA6" s="15">
        <f t="shared" si="15"/>
        <v>0.17</v>
      </c>
      <c r="BB6" s="414">
        <f t="shared" si="16"/>
        <v>0.23166932390625555</v>
      </c>
      <c r="BC6" s="414">
        <f t="shared" si="17"/>
        <v>770.86654882819425</v>
      </c>
      <c r="BD6" s="414">
        <f>BC6/'Master P&amp;L'!$AD$7*10000</f>
        <v>3.2170857868121087E-3</v>
      </c>
    </row>
    <row r="7" spans="1:56">
      <c r="A7" s="335"/>
      <c r="B7" s="73" t="s">
        <v>2287</v>
      </c>
      <c r="C7" s="73" t="str" cm="1">
        <f t="array" ref="C7">_xll.BDP($B7&amp;" Equity","opt_put_call")</f>
        <v>Put</v>
      </c>
      <c r="D7" s="73" t="str" cm="1">
        <f t="array" ref="D7">_xll.BDP(B7&amp;" Equity","OPT_UNDL_TICKER")</f>
        <v>AMAT US</v>
      </c>
      <c r="E7" s="73" t="str" cm="1">
        <f t="array" ref="E7">_xll.BDP($B7&amp;" Equity","mifid_Maturity_date")</f>
        <v>23/01/2026</v>
      </c>
      <c r="F7" s="73" cm="1">
        <f t="array" ref="F7">_xll.BDP($B7&amp;" Equity","opt_days_expire")</f>
        <v>1</v>
      </c>
      <c r="G7" s="73" t="str" cm="1">
        <f t="array" ref="G7">_xll.BDP(B7&amp;" Equity","QUOTED_CURRENCY_REALTIME")</f>
        <v>USD</v>
      </c>
      <c r="H7" s="42">
        <v>-25</v>
      </c>
      <c r="I7" s="409">
        <v>1.66</v>
      </c>
      <c r="J7" s="415">
        <f>VLOOKUP(B7,Precificação!$B:$O,14,FALSE)</f>
        <v>0.14236363409374225</v>
      </c>
      <c r="K7" s="74">
        <f t="shared" si="33"/>
        <v>0.14236363409374225</v>
      </c>
      <c r="L7" s="74" cm="1">
        <f t="array" ref="L7">_xll.BDP($B7&amp;" Equity","mid")</f>
        <v>0.15</v>
      </c>
      <c r="M7" s="75">
        <f t="shared" si="0"/>
        <v>4.6672267338747315E-4</v>
      </c>
      <c r="N7" s="352"/>
      <c r="O7" s="75">
        <f t="shared" si="1"/>
        <v>5.3639863542886301E-2</v>
      </c>
      <c r="P7" s="74" cm="1">
        <f t="array" ref="P7">_xll.BDP($B7&amp;" Equity","bid")</f>
        <v>0.01</v>
      </c>
      <c r="Q7" s="74" cm="1">
        <f t="array" ref="Q7">_xll.BDP($B7&amp;" Equity","ask")</f>
        <v>0.28000000000000003</v>
      </c>
      <c r="R7" s="76">
        <f t="shared" si="2"/>
        <v>27.000000000000004</v>
      </c>
      <c r="S7" s="36" cm="1">
        <f t="array" ref="S7">_xll.BDP(G7&amp;" Curncy","PX_LAST")</f>
        <v>1</v>
      </c>
      <c r="T7" s="42" cm="1">
        <f t="array" ref="T7">_xll.BDP(B7&amp;" Equity","OPT_MULTIPLIER")</f>
        <v>100</v>
      </c>
      <c r="U7" s="42">
        <f t="shared" si="3"/>
        <v>-375</v>
      </c>
      <c r="V7" s="113">
        <f>U7/'Master P&amp;L'!$AD$7*10000</f>
        <v>-1.5650013246630279E-3</v>
      </c>
      <c r="W7" s="113">
        <f>(Y7*H7*T7/S7)/'Master P&amp;L'!$AD$7*10000</f>
        <v>-1.5650013246630279E-3</v>
      </c>
      <c r="X7" s="118">
        <f t="shared" si="4"/>
        <v>0</v>
      </c>
      <c r="Y7" s="272">
        <f t="shared" si="5"/>
        <v>0.15</v>
      </c>
      <c r="Z7" s="77">
        <f>_xll.BDP(D7&amp;" Equity","LAST_PRICE")</f>
        <v>321.39</v>
      </c>
      <c r="AA7" s="77" cm="1">
        <f t="array" ref="AA7">_xll.BDP(B7&amp;" Equity","OPT_STRIKE_PX")</f>
        <v>280</v>
      </c>
      <c r="AB7" s="76">
        <f t="shared" si="6"/>
        <v>-0.12878434301005004</v>
      </c>
      <c r="AC7" s="323" cm="1">
        <f t="array" ref="AC7">_xll.BDP($D7&amp;" Equity","volatility_10d")</f>
        <v>57.058959256067766</v>
      </c>
      <c r="AD7" s="77" cm="1">
        <f t="array" ref="AD7">_xll.BDP(B7&amp;" Equity","ivol_mid")</f>
        <v>75.047430000000006</v>
      </c>
      <c r="AE7" s="77">
        <f t="shared" si="7"/>
        <v>1.3152611084826142</v>
      </c>
      <c r="AF7" s="78" cm="1">
        <f t="array" ref="AF7">_xll.BDP(B7&amp;" Equity","DELTA_MID_RT")</f>
        <v>-1.7869360744953156E-2</v>
      </c>
      <c r="AG7" s="75">
        <f>AL7/'Master P&amp;L'!$AE$7</f>
        <v>5.991903721702455E-6</v>
      </c>
      <c r="AH7" s="75">
        <f>AM7/'Master P&amp;L'!$AE$7</f>
        <v>3.3531718382230033E-4</v>
      </c>
      <c r="AI7" s="436">
        <f>AO7/'Master P&amp;L'!$AD$7*10000</f>
        <v>1.4757258508432535E-3</v>
      </c>
      <c r="AJ7" s="350">
        <f t="shared" si="8"/>
        <v>-2.6788745942982896E-2</v>
      </c>
      <c r="AK7" s="78">
        <f>AP7/'Master P&amp;L'!$AD$7*10000</f>
        <v>-7.9672818392699656E-5</v>
      </c>
      <c r="AL7" s="42">
        <f t="shared" si="9"/>
        <v>14357.584624551237</v>
      </c>
      <c r="AM7" s="42">
        <f t="shared" si="10"/>
        <v>803475</v>
      </c>
      <c r="AN7" s="78" cm="1">
        <f t="array" ref="AN7">_xll.BDP($B7&amp;" Equity","theta_mid_rt")</f>
        <v>-0.14144325256347656</v>
      </c>
      <c r="AO7" s="42">
        <f t="shared" si="11"/>
        <v>353.60813140869141</v>
      </c>
      <c r="AP7" s="42">
        <f t="shared" si="12"/>
        <v>-19.090914765644353</v>
      </c>
      <c r="AQ7" s="74" t="str" cm="1">
        <f t="array" ref="AQ7">_xll.BDP($D7&amp;" Equity","EXPECTED_REPORT_DT")</f>
        <v>12/02/2026</v>
      </c>
      <c r="AR7" s="235" cm="1">
        <f t="array" ref="AR7">_xll.BDP($B7&amp;" Equity","GAMMA_LAST")</f>
        <v>4.5799999999999999E-3</v>
      </c>
      <c r="AS7" s="73">
        <f t="shared" si="13"/>
        <v>-11826.880425449999</v>
      </c>
      <c r="AT7" s="73">
        <f t="shared" si="14"/>
        <v>-59134.402127249996</v>
      </c>
      <c r="AU7" s="73" t="s">
        <v>151</v>
      </c>
      <c r="AV7" s="322" cm="1">
        <f t="array" ref="AV7">_xll.BDP($D7&amp;" Equity","EST_PE_NXT_YR")*(AA7/Z7)</f>
        <v>24.357790791662627</v>
      </c>
      <c r="AW7" s="73"/>
      <c r="AX7" s="42"/>
      <c r="AY7" s="42">
        <v>0.15</v>
      </c>
      <c r="AZ7" s="354"/>
      <c r="BA7" s="42">
        <f t="shared" si="15"/>
        <v>0.15</v>
      </c>
      <c r="BB7" s="346">
        <f t="shared" si="16"/>
        <v>0.14236363409374225</v>
      </c>
      <c r="BC7" s="346">
        <f t="shared" si="17"/>
        <v>19.090914765644353</v>
      </c>
      <c r="BD7" s="346">
        <f>BC7/'Master P&amp;L'!$AD$7*10000</f>
        <v>7.9672818392699656E-5</v>
      </c>
    </row>
    <row r="8" spans="1:56" s="59" customFormat="1">
      <c r="A8" s="335"/>
      <c r="B8" s="73" t="s">
        <v>2260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ASHR US</v>
      </c>
      <c r="E8" s="73" t="str" cm="1">
        <f t="array" ref="E8">_xll.BDP($B8&amp;" Equity","mifid_Maturity_date")</f>
        <v>20/02/2026</v>
      </c>
      <c r="F8" s="73" cm="1">
        <f t="array" ref="F8">_xll.BDP($B8&amp;" Equity","opt_days_expire")</f>
        <v>29</v>
      </c>
      <c r="G8" s="73" t="str" cm="1">
        <f t="array" ref="G8">_xll.BDP(B8&amp;" Equity","QUOTED_CURRENCY_REALTIME")</f>
        <v>USD</v>
      </c>
      <c r="H8" s="42">
        <v>2000</v>
      </c>
      <c r="I8" s="409">
        <v>0.48</v>
      </c>
      <c r="J8" s="415">
        <f>VLOOKUP(B8,Precificação!$B:$O,14,FALSE)</f>
        <v>0.31432143300923893</v>
      </c>
      <c r="K8" s="74">
        <f t="shared" si="33"/>
        <v>0.31432143300923893</v>
      </c>
      <c r="L8" s="74" cm="1">
        <f t="array" ref="L8">_xll.BDP($B8&amp;" Equity","mid")</f>
        <v>0.26</v>
      </c>
      <c r="M8" s="75">
        <f t="shared" si="0"/>
        <v>7.7117010232834043E-3</v>
      </c>
      <c r="N8" s="352"/>
      <c r="O8" s="75">
        <f t="shared" si="1"/>
        <v>-0.17282128198888125</v>
      </c>
      <c r="P8" s="74" cm="1">
        <f t="array" ref="P8">_xll.BDP($B8&amp;" Equity","bid")</f>
        <v>0.24</v>
      </c>
      <c r="Q8" s="74" cm="1">
        <f t="array" ref="Q8">_xll.BDP($B8&amp;" Equity","ask")</f>
        <v>0.28000000000000003</v>
      </c>
      <c r="R8" s="76">
        <f t="shared" si="2"/>
        <v>0.16666666666666674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 t="shared" si="3"/>
        <v>52000</v>
      </c>
      <c r="V8" s="113">
        <f>U8/'Master P&amp;L'!$AD$7*10000</f>
        <v>0.21701351701993987</v>
      </c>
      <c r="W8" s="113">
        <f>(Y8*H8*T8/S8)/'Master P&amp;L'!$AD$7*10000</f>
        <v>0.21701351701993987</v>
      </c>
      <c r="X8" s="118">
        <f t="shared" si="4"/>
        <v>0</v>
      </c>
      <c r="Y8" s="272">
        <f t="shared" si="5"/>
        <v>0.26</v>
      </c>
      <c r="Z8" s="77">
        <f>_xll.BDP(D8&amp;" Equity","LAST_PRICE")</f>
        <v>33.715000000000003</v>
      </c>
      <c r="AA8" s="77" cm="1">
        <f t="array" ref="AA8">_xll.BDP(B8&amp;" Equity","OPT_STRIKE_PX")</f>
        <v>35</v>
      </c>
      <c r="AB8" s="76">
        <f t="shared" si="6"/>
        <v>3.8113599288150501E-2</v>
      </c>
      <c r="AC8" s="323" cm="1">
        <f t="array" ref="AC8">_xll.BDP($D8&amp;" Equity","volatility_10d")</f>
        <v>14.942082999236911</v>
      </c>
      <c r="AD8" s="77" cm="1">
        <f t="array" ref="AD8">_xll.BDP(B8&amp;" Equity","ivol_mid")</f>
        <v>18.752510000000001</v>
      </c>
      <c r="AE8" s="77">
        <f t="shared" si="7"/>
        <v>1.2550131063358225</v>
      </c>
      <c r="AF8" s="78" cm="1">
        <f t="array" ref="AF8">_xll.BDP(B8&amp;" Equity","DELTA_MID_RT")</f>
        <v>0.25731766223907471</v>
      </c>
      <c r="AG8" s="75">
        <f>AL8/'Master P&amp;L'!$AE$7</f>
        <v>7.2411275677379723E-4</v>
      </c>
      <c r="AH8" s="75">
        <f>AM8/'Master P&amp;L'!$AE$7</f>
        <v>2.8140810485874127E-3</v>
      </c>
      <c r="AI8" s="436">
        <f>AO8/'Master P&amp;L'!$AD$7*10000</f>
        <v>-7.9682956356165995E-3</v>
      </c>
      <c r="AJ8" s="350">
        <f t="shared" si="8"/>
        <v>0.14464790141010109</v>
      </c>
      <c r="AK8" s="78">
        <f>AP8/'Master P&amp;L'!$AD$7*10000</f>
        <v>-4.5340327795761512E-2</v>
      </c>
      <c r="AL8" s="42">
        <f t="shared" si="9"/>
        <v>1735092.9964780812</v>
      </c>
      <c r="AM8" s="42">
        <f t="shared" si="10"/>
        <v>6743000</v>
      </c>
      <c r="AN8" s="78" cm="1">
        <f t="array" ref="AN8">_xll.BDP($B8&amp;" Equity","theta_mid_rt")</f>
        <v>-9.5466719940304756E-3</v>
      </c>
      <c r="AO8" s="42">
        <f t="shared" si="11"/>
        <v>-1909.3343988060951</v>
      </c>
      <c r="AP8" s="42">
        <f t="shared" si="12"/>
        <v>-10864.286601847783</v>
      </c>
      <c r="AQ8" s="74" t="str" cm="1">
        <f t="array" ref="AQ8">_xll.BDP($D8&amp;" Equity","EXPECTED_REPORT_DT")</f>
        <v>#N/A N/A</v>
      </c>
      <c r="AR8" s="235" cm="1">
        <f t="array" ref="AR8">_xll.BDP($B8&amp;" Equity","GAMMA_LAST")</f>
        <v>6.3420000000000004E-2</v>
      </c>
      <c r="AS8" s="73">
        <f t="shared" si="13"/>
        <v>144179.18337900005</v>
      </c>
      <c r="AT8" s="73">
        <f t="shared" si="14"/>
        <v>720895.91689500026</v>
      </c>
      <c r="AU8" s="73" t="s">
        <v>151</v>
      </c>
      <c r="AV8" s="322" t="e" cm="1">
        <f t="array" ref="AV8">_xll.BDP($D8&amp;" Equity","EST_PE_NXT_YR")*(AA8/Z8)</f>
        <v>#VALUE!</v>
      </c>
      <c r="AW8" s="73"/>
      <c r="AX8" s="42"/>
      <c r="AY8" s="42">
        <v>0.3</v>
      </c>
      <c r="AZ8" s="354"/>
      <c r="BA8" s="42">
        <f t="shared" si="15"/>
        <v>0.3</v>
      </c>
      <c r="BB8" s="346">
        <f t="shared" si="16"/>
        <v>0.31432143300923893</v>
      </c>
      <c r="BC8" s="346">
        <f t="shared" si="17"/>
        <v>2864.2866018477876</v>
      </c>
      <c r="BD8" s="346">
        <f>BC8/'Master P&amp;L'!$AD$7*10000</f>
        <v>1.1953632869616935E-2</v>
      </c>
    </row>
    <row r="9" spans="1:56" s="59" customFormat="1">
      <c r="A9" s="356"/>
      <c r="B9" t="s">
        <v>2118</v>
      </c>
      <c r="C9" t="str" cm="1">
        <f t="array" ref="C9">_xll.BDP($B9&amp;" Equity","opt_put_call")</f>
        <v>Call</v>
      </c>
      <c r="D9" t="str" cm="1">
        <f t="array" ref="D9">_xll.BDP(B9&amp;" Equity","OPT_UNDL_TICKER")</f>
        <v>AVGO US</v>
      </c>
      <c r="E9" t="str" cm="1">
        <f t="array" ref="E9">_xll.BDP($B9&amp;" Equity","mifid_Maturity_date")</f>
        <v>18/06/2026</v>
      </c>
      <c r="F9" cm="1">
        <f t="array" ref="F9">_xll.BDP($B9&amp;" Equity","opt_days_expire")</f>
        <v>147</v>
      </c>
      <c r="G9" t="str" cm="1">
        <f t="array" ref="G9">_xll.BDP(B9&amp;" Equity","QUOTED_CURRENCY_REALTIME")</f>
        <v>USD</v>
      </c>
      <c r="H9" s="15">
        <v>-25</v>
      </c>
      <c r="I9" s="410">
        <v>23.39</v>
      </c>
      <c r="J9" s="415">
        <f>VLOOKUP(B9,Precificação!$B:$O,14,FALSE)</f>
        <v>17.425000000000001</v>
      </c>
      <c r="K9" s="74">
        <f t="shared" si="33"/>
        <v>17.425000000000001</v>
      </c>
      <c r="L9" s="74" cm="1">
        <f t="array" ref="L9">_xll.BDP($B9&amp;" Equity","mid")</f>
        <v>17.38</v>
      </c>
      <c r="M9" s="19">
        <f t="shared" si="0"/>
        <v>5.25838073338981E-2</v>
      </c>
      <c r="N9" s="350"/>
      <c r="O9" s="19">
        <f t="shared" si="1"/>
        <v>-2.5824964131995198E-3</v>
      </c>
      <c r="P9" s="36" cm="1">
        <f t="array" ref="P9">_xll.BDP($B9&amp;" Equity","bid")</f>
        <v>17.2</v>
      </c>
      <c r="Q9" s="36" cm="1">
        <f t="array" ref="Q9">_xll.BDP($B9&amp;" Equity","ask")</f>
        <v>17.55</v>
      </c>
      <c r="R9" s="40">
        <f t="shared" si="2"/>
        <v>2.0348837209302362E-2</v>
      </c>
      <c r="S9" s="36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-43450</v>
      </c>
      <c r="V9" s="124">
        <f>U9/'Master P&amp;L'!$AD$7*10000</f>
        <v>-0.18133148681762282</v>
      </c>
      <c r="W9" s="124">
        <f>(Y9*H9*T9/S9)/'Master P&amp;L'!$AD$7*10000</f>
        <v>-0.18133148681762282</v>
      </c>
      <c r="X9" s="413">
        <f t="shared" si="4"/>
        <v>0</v>
      </c>
      <c r="Y9" s="273">
        <f t="shared" si="5"/>
        <v>17.38</v>
      </c>
      <c r="Z9" s="37">
        <f>_xll.BDP(D9&amp;" Equity","LAST_PRICE")</f>
        <v>330.52</v>
      </c>
      <c r="AA9" s="37" cm="1">
        <f t="array" ref="AA9">_xll.BDP(B9&amp;" Equity","OPT_STRIKE_PX")</f>
        <v>410</v>
      </c>
      <c r="AB9" s="40">
        <f t="shared" si="6"/>
        <v>0.24046956311267098</v>
      </c>
      <c r="AC9" s="324" cm="1">
        <f t="array" ref="AC9">_xll.BDP($D9&amp;" Equity","volatility_10d")</f>
        <v>52.400581803140057</v>
      </c>
      <c r="AD9" s="37" cm="1">
        <f t="array" ref="AD9">_xll.BDP(B9&amp;" Equity","ivol_mid")</f>
        <v>49.049759999999999</v>
      </c>
      <c r="AE9" s="37">
        <f t="shared" si="7"/>
        <v>0.93605372902674022</v>
      </c>
      <c r="AF9" s="38" cm="1">
        <f t="array" ref="AF9">_xll.BDP(B9&amp;" Equity","DELTA_MID_RT")</f>
        <v>0.30966514348983765</v>
      </c>
      <c r="AG9" s="19">
        <f>AL9/'Master P&amp;L'!$AE$7</f>
        <v>-1.0678580295270179E-4</v>
      </c>
      <c r="AH9" s="19">
        <f>AM9/'Master P&amp;L'!$AE$7</f>
        <v>-3.44842825218416E-4</v>
      </c>
      <c r="AI9" s="435">
        <f>AO9/'Master P&amp;L'!$AD$7*10000</f>
        <v>1.2513466630895904E-3</v>
      </c>
      <c r="AJ9" s="350">
        <f t="shared" si="8"/>
        <v>-2.2715606577570921E-2</v>
      </c>
      <c r="AK9" s="38">
        <f>AP9/'Master P&amp;L'!$AD$7*10000</f>
        <v>4.6950039739892619E-4</v>
      </c>
      <c r="AL9" s="15">
        <f t="shared" si="9"/>
        <v>-255876.30806565285</v>
      </c>
      <c r="AM9" s="15">
        <f t="shared" si="10"/>
        <v>-826300</v>
      </c>
      <c r="AN9" s="38" cm="1">
        <f t="array" ref="AN9">_xll.BDP($B9&amp;" Equity","theta_mid_rt")</f>
        <v>-0.11993727833032608</v>
      </c>
      <c r="AO9" s="15">
        <f t="shared" si="11"/>
        <v>299.8431958258152</v>
      </c>
      <c r="AP9" s="15">
        <f t="shared" si="12"/>
        <v>112.50000000000426</v>
      </c>
      <c r="AQ9" s="36" t="str" cm="1">
        <f t="array" ref="AQ9">_xll.BDP($D9&amp;" Equity","EXPECTED_REPORT_DT")</f>
        <v>06/03/2026</v>
      </c>
      <c r="AR9" s="66" cm="1">
        <f t="array" ref="AR9">_xll.BDP($B9&amp;" Equity","GAMMA_LAST")</f>
        <v>1.1018999999999999E-2</v>
      </c>
      <c r="AS9">
        <f t="shared" si="13"/>
        <v>-30093.845008439996</v>
      </c>
      <c r="AT9">
        <f t="shared" si="14"/>
        <v>-150469.22504219998</v>
      </c>
      <c r="AU9" t="s">
        <v>151</v>
      </c>
      <c r="AV9" s="277" cm="1">
        <f t="array" ref="AV9">_xll.BDP($D9&amp;" Equity","EST_PE_NXT_YR")*(AA9/Z9)</f>
        <v>28.930798152322758</v>
      </c>
      <c r="AW9"/>
      <c r="AX9" s="15"/>
      <c r="AY9" s="15">
        <v>17.2</v>
      </c>
      <c r="AZ9" s="355"/>
      <c r="BA9" s="15">
        <f t="shared" si="15"/>
        <v>17.2</v>
      </c>
      <c r="BB9" s="414">
        <f t="shared" si="16"/>
        <v>17.425000000000001</v>
      </c>
      <c r="BC9" s="414">
        <f t="shared" si="17"/>
        <v>-562.50000000000352</v>
      </c>
      <c r="BD9" s="414">
        <f>BC9/'Master P&amp;L'!$AD$7*10000</f>
        <v>-2.3475019869945565E-3</v>
      </c>
    </row>
    <row r="10" spans="1:56" s="59" customFormat="1">
      <c r="A10" s="335"/>
      <c r="B10" s="73" t="s">
        <v>2116</v>
      </c>
      <c r="C10" s="73" t="str" cm="1">
        <f t="array" ref="C10">_xll.BDP($B10&amp;" Equity","opt_put_call")</f>
        <v>Call</v>
      </c>
      <c r="D10" s="73" t="str" cm="1">
        <f t="array" ref="D10">_xll.BDP(B10&amp;" Equity","OPT_UNDL_TICKER")</f>
        <v>AVGO US</v>
      </c>
      <c r="E10" s="73" t="str" cm="1">
        <f t="array" ref="E10">_xll.BDP($B10&amp;" Equity","mifid_Maturity_date")</f>
        <v>18/06/2026</v>
      </c>
      <c r="F10" s="73" cm="1">
        <f t="array" ref="F10">_xll.BDP($B10&amp;" Equity","opt_days_expire")</f>
        <v>147</v>
      </c>
      <c r="G10" s="73" t="str" cm="1">
        <f t="array" ref="G10">_xll.BDP(B10&amp;" Equity","QUOTED_CURRENCY_REALTIME")</f>
        <v>USD</v>
      </c>
      <c r="H10" s="42">
        <v>50</v>
      </c>
      <c r="I10" s="409">
        <v>43.25</v>
      </c>
      <c r="J10" s="415">
        <f>VLOOKUP(B10,Precificação!$B:$O,14,FALSE)</f>
        <v>35.024999999999999</v>
      </c>
      <c r="K10" s="74">
        <f t="shared" si="33"/>
        <v>35.024999999999999</v>
      </c>
      <c r="L10" s="74" cm="1">
        <f t="array" ref="L10">_xll.BDP($B10&amp;" Equity","mid")</f>
        <v>35.15</v>
      </c>
      <c r="M10" s="75">
        <f t="shared" si="0"/>
        <v>0.10634757352051313</v>
      </c>
      <c r="N10" s="352"/>
      <c r="O10" s="75">
        <f t="shared" si="1"/>
        <v>3.5688793718773315E-3</v>
      </c>
      <c r="P10" s="74" cm="1">
        <f t="array" ref="P10">_xll.BDP($B10&amp;" Equity","bid")</f>
        <v>35</v>
      </c>
      <c r="Q10" s="74" cm="1">
        <f t="array" ref="Q10">_xll.BDP($B10&amp;" Equity","ask")</f>
        <v>35.299999999999997</v>
      </c>
      <c r="R10" s="76">
        <f t="shared" si="2"/>
        <v>8.5714285714284522E-3</v>
      </c>
      <c r="S10" s="36" cm="1">
        <f t="array" ref="S10">_xll.BDP(G10&amp;" Curncy","PX_LAST")</f>
        <v>1</v>
      </c>
      <c r="T10" s="42" cm="1">
        <f t="array" ref="T10">_xll.BDP(B10&amp;" Equity","OPT_MULTIPLIER")</f>
        <v>100</v>
      </c>
      <c r="U10" s="42">
        <f t="shared" si="3"/>
        <v>175750</v>
      </c>
      <c r="V10" s="113">
        <f>U10/'Master P&amp;L'!$AD$7*10000</f>
        <v>0.73346395415873911</v>
      </c>
      <c r="W10" s="113">
        <f>(Y10*H10*T10/S10)/'Master P&amp;L'!$AD$7*10000</f>
        <v>0.73346395415873911</v>
      </c>
      <c r="X10" s="118">
        <f t="shared" si="4"/>
        <v>0</v>
      </c>
      <c r="Y10" s="272">
        <f t="shared" si="5"/>
        <v>35.15</v>
      </c>
      <c r="Z10" s="77">
        <f>_xll.BDP(D10&amp;" Equity","LAST_PRICE")</f>
        <v>330.52</v>
      </c>
      <c r="AA10" s="77" cm="1">
        <f t="array" ref="AA10">_xll.BDP(B10&amp;" Equity","OPT_STRIKE_PX")</f>
        <v>350</v>
      </c>
      <c r="AB10" s="76">
        <f t="shared" si="6"/>
        <v>5.8937431925450756E-2</v>
      </c>
      <c r="AC10" s="323" cm="1">
        <f t="array" ref="AC10">_xll.BDP($D10&amp;" Equity","volatility_10d")</f>
        <v>52.400581803140057</v>
      </c>
      <c r="AD10" s="77" cm="1">
        <f t="array" ref="AD10">_xll.BDP(B10&amp;" Equity","ivol_mid")</f>
        <v>49.845889999999997</v>
      </c>
      <c r="AE10" s="77">
        <f t="shared" si="7"/>
        <v>0.95124688094613918</v>
      </c>
      <c r="AF10" s="78" cm="1">
        <f t="array" ref="AF10">_xll.BDP(B10&amp;" Equity","DELTA_MID_RT")</f>
        <v>0.50757294893264771</v>
      </c>
      <c r="AG10" s="75">
        <f>AL10/'Master P&amp;L'!$AE$7</f>
        <v>3.5006577942875406E-4</v>
      </c>
      <c r="AH10" s="75">
        <f>AM10/'Master P&amp;L'!$AE$7</f>
        <v>6.8968565043683199E-4</v>
      </c>
      <c r="AI10" s="436">
        <f>AO10/'Master P&amp;L'!$AD$7*10000</f>
        <v>-2.8439334433828542E-3</v>
      </c>
      <c r="AJ10" s="350">
        <f t="shared" si="8"/>
        <v>5.1625720624194689E-2</v>
      </c>
      <c r="AK10" s="78">
        <f>AP10/'Master P&amp;L'!$AD$7*10000</f>
        <v>2.6083355411050469E-3</v>
      </c>
      <c r="AL10" s="42">
        <f t="shared" si="9"/>
        <v>838815.0554060936</v>
      </c>
      <c r="AM10" s="42">
        <f t="shared" si="10"/>
        <v>1652600</v>
      </c>
      <c r="AN10" s="78" cm="1">
        <f t="array" ref="AN10">_xll.BDP($B10&amp;" Equity","theta_mid_rt")</f>
        <v>-0.13629062473773956</v>
      </c>
      <c r="AO10" s="42">
        <f t="shared" si="11"/>
        <v>-681.45312368869781</v>
      </c>
      <c r="AP10" s="42">
        <f t="shared" si="12"/>
        <v>625</v>
      </c>
      <c r="AQ10" s="74" t="str" cm="1">
        <f t="array" ref="AQ10">_xll.BDP($D10&amp;" Equity","EXPECTED_REPORT_DT")</f>
        <v>06/03/2026</v>
      </c>
      <c r="AR10" s="235" cm="1">
        <f t="array" ref="AR10">_xll.BDP($B10&amp;" Equity","GAMMA_LAST")</f>
        <v>1.2456999999999999E-2</v>
      </c>
      <c r="AS10" s="73">
        <f t="shared" si="13"/>
        <v>68042.295538639984</v>
      </c>
      <c r="AT10" s="73">
        <f t="shared" si="14"/>
        <v>340211.47769319999</v>
      </c>
      <c r="AU10" s="73" t="s">
        <v>151</v>
      </c>
      <c r="AV10" s="322" cm="1">
        <f t="array" ref="AV10">_xll.BDP($D10&amp;" Equity","EST_PE_NXT_YR")*(AA10/Z10)</f>
        <v>24.697022812958448</v>
      </c>
      <c r="AW10" s="73"/>
      <c r="AX10" s="42"/>
      <c r="AY10" s="42">
        <v>34.799999999999997</v>
      </c>
      <c r="AZ10" s="354"/>
      <c r="BA10" s="42">
        <f t="shared" si="15"/>
        <v>34.799999999999997</v>
      </c>
      <c r="BB10" s="346">
        <f t="shared" si="16"/>
        <v>35.024999999999999</v>
      </c>
      <c r="BC10" s="346">
        <f t="shared" si="17"/>
        <v>1125.000000000007</v>
      </c>
      <c r="BD10" s="346">
        <f>BC10/'Master P&amp;L'!$AD$7*10000</f>
        <v>4.695003973989113E-3</v>
      </c>
    </row>
    <row r="11" spans="1:56">
      <c r="A11" s="335"/>
      <c r="B11" s="73" t="s">
        <v>2318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GDX US</v>
      </c>
      <c r="E11" s="73" t="str" cm="1">
        <f t="array" ref="E11">_xll.BDP($B11&amp;" Equity","mifid_Maturity_date")</f>
        <v>18/09/2026</v>
      </c>
      <c r="F11" s="73" cm="1">
        <f t="array" ref="F11">_xll.BDP($B11&amp;" Equity","opt_days_expire")</f>
        <v>239</v>
      </c>
      <c r="G11" s="73" t="str" cm="1">
        <f t="array" ref="G11">_xll.BDP(B11&amp;" Equity","QUOTED_CURRENCY_REALTIME")</f>
        <v>USD</v>
      </c>
      <c r="H11" s="42">
        <v>1100</v>
      </c>
      <c r="I11" s="409">
        <v>14.73</v>
      </c>
      <c r="J11" s="415">
        <f>VLOOKUP(B11,Precificação!$B:$O,14,FALSE)</f>
        <v>13.574999999999999</v>
      </c>
      <c r="K11" s="74">
        <f t="shared" si="33"/>
        <v>13.574999999999999</v>
      </c>
      <c r="L11" s="74" cm="1">
        <f t="array" ref="L11">_xll.BDP($B11&amp;" Equity","mid")</f>
        <v>15.22</v>
      </c>
      <c r="M11" s="75">
        <f t="shared" si="0"/>
        <v>0.14535383439977081</v>
      </c>
      <c r="N11" s="352"/>
      <c r="O11" s="75">
        <f t="shared" si="1"/>
        <v>0.12117863720073685</v>
      </c>
      <c r="P11" s="74" cm="1">
        <f t="array" ref="P11">_xll.BDP($B11&amp;" Equity","bid")</f>
        <v>14.3</v>
      </c>
      <c r="Q11" s="74" cm="1">
        <f t="array" ref="Q11">_xll.BDP($B11&amp;" Equity","ask")</f>
        <v>16.149999999999999</v>
      </c>
      <c r="R11" s="76">
        <f t="shared" si="2"/>
        <v>0.12937062937062915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3"/>
        <v>1674200</v>
      </c>
      <c r="V11" s="113">
        <f>U11/'Master P&amp;L'!$AD$7*10000</f>
        <v>6.9870005806689104</v>
      </c>
      <c r="W11" s="113">
        <f>(Y11*H11*T11/S11)/'Master P&amp;L'!$AD$7*10000</f>
        <v>6.9870005806689104</v>
      </c>
      <c r="X11" s="118">
        <f t="shared" si="4"/>
        <v>0</v>
      </c>
      <c r="Y11" s="272">
        <f t="shared" si="5"/>
        <v>15.22</v>
      </c>
      <c r="Z11" s="77">
        <f>_xll.BDP(D11&amp;" Equity","LAST_PRICE")</f>
        <v>104.71</v>
      </c>
      <c r="AA11" s="77" cm="1">
        <f t="array" ref="AA11">_xll.BDP(B11&amp;" Equity","OPT_STRIKE_PX")</f>
        <v>105</v>
      </c>
      <c r="AB11" s="76">
        <f t="shared" si="6"/>
        <v>2.7695540063030766E-3</v>
      </c>
      <c r="AC11" s="323" cm="1">
        <f t="array" ref="AC11">_xll.BDP($D11&amp;" Equity","volatility_10d")</f>
        <v>33.177258467343727</v>
      </c>
      <c r="AD11" s="77" cm="1">
        <f t="array" ref="AD11">_xll.BDP(B11&amp;" Equity","ivol_mid")</f>
        <v>42.532330000000002</v>
      </c>
      <c r="AE11" s="77">
        <f t="shared" si="7"/>
        <v>1.2819724101635597</v>
      </c>
      <c r="AF11" s="78" cm="1">
        <f t="array" ref="AF11">_xll.BDP(B11&amp;" Equity","DELTA_MID_RT")</f>
        <v>0.5918840765953064</v>
      </c>
      <c r="AG11" s="75">
        <f>AL11/'Master P&amp;L'!$AE$7</f>
        <v>2.8451223209469104E-3</v>
      </c>
      <c r="AH11" s="75">
        <f>AM11/'Master P&amp;L'!$AE$7</f>
        <v>4.806891135360326E-3</v>
      </c>
      <c r="AI11" s="436">
        <f>AO11/'Master P&amp;L'!$AD$7*10000</f>
        <v>-1.2271933391911891E-2</v>
      </c>
      <c r="AJ11" s="350">
        <f t="shared" si="8"/>
        <v>0.22277153014381573</v>
      </c>
      <c r="AK11" s="78">
        <f>AP11/'Master P&amp;L'!$AD$7*10000</f>
        <v>0.75516530586073372</v>
      </c>
      <c r="AL11" s="42">
        <f t="shared" si="9"/>
        <v>6817379.9826323986</v>
      </c>
      <c r="AM11" s="42">
        <f t="shared" si="10"/>
        <v>11518100</v>
      </c>
      <c r="AN11" s="78" cm="1">
        <f t="array" ref="AN11">_xll.BDP($B11&amp;" Equity","theta_mid_rt")</f>
        <v>-2.673233300447464E-2</v>
      </c>
      <c r="AO11" s="42">
        <f t="shared" si="11"/>
        <v>-2940.5566304922104</v>
      </c>
      <c r="AP11" s="42">
        <f t="shared" si="12"/>
        <v>180950.00000000015</v>
      </c>
      <c r="AQ11" s="74" t="str" cm="1">
        <f t="array" ref="AQ11">_xll.BDP($D11&amp;" Equity","EXPECTED_REPORT_DT")</f>
        <v>#N/A N/A</v>
      </c>
      <c r="AR11" s="235" cm="1">
        <f t="array" ref="AR11">_xll.BDP($B11&amp;" Equity","GAMMA_LAST")</f>
        <v>1.1086E-2</v>
      </c>
      <c r="AS11" s="73">
        <f t="shared" si="13"/>
        <v>133703.83942586</v>
      </c>
      <c r="AT11" s="73">
        <f t="shared" si="14"/>
        <v>668519.19712929998</v>
      </c>
      <c r="AU11" s="73" t="s">
        <v>151</v>
      </c>
      <c r="AV11" s="322" t="e" cm="1">
        <f t="array" ref="AV11">_xll.BDP($D11&amp;" Equity","EST_PE_NXT_YR")*(AA11/Z11)</f>
        <v>#VALUE!</v>
      </c>
      <c r="AW11" s="73"/>
      <c r="AX11" s="42"/>
      <c r="AY11" s="42">
        <v>14.55</v>
      </c>
      <c r="AZ11" s="354"/>
      <c r="BA11" s="42">
        <f t="shared" si="15"/>
        <v>14.55</v>
      </c>
      <c r="BB11" s="346">
        <f t="shared" si="16"/>
        <v>13.574999999999999</v>
      </c>
      <c r="BC11" s="346">
        <f t="shared" si="17"/>
        <v>-107250.00000000016</v>
      </c>
      <c r="BD11" s="346">
        <f>BC11/'Master P&amp;L'!$AD$7*10000</f>
        <v>-0.44759037885362662</v>
      </c>
    </row>
    <row r="12" spans="1:56" s="59" customFormat="1">
      <c r="A12" s="356"/>
      <c r="B12" t="s">
        <v>2319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GDX US</v>
      </c>
      <c r="E12" t="str" cm="1">
        <f t="array" ref="E12">_xll.BDP($B12&amp;" Equity","mifid_Maturity_date")</f>
        <v>18/09/2026</v>
      </c>
      <c r="F12" cm="1">
        <f t="array" ref="F12">_xll.BDP($B12&amp;" Equity","opt_days_expire")</f>
        <v>239</v>
      </c>
      <c r="G12" t="str" cm="1">
        <f t="array" ref="G12">_xll.BDP(B12&amp;" Equity","QUOTED_CURRENCY_REALTIME")</f>
        <v>USD</v>
      </c>
      <c r="H12" s="15">
        <v>-1100</v>
      </c>
      <c r="I12" s="410">
        <v>11.13</v>
      </c>
      <c r="J12" s="415">
        <f>VLOOKUP(B12,Precificação!$B:$O,14,FALSE)</f>
        <v>10.425000000000001</v>
      </c>
      <c r="K12" s="74">
        <f t="shared" si="33"/>
        <v>10.425000000000001</v>
      </c>
      <c r="L12" s="74" cm="1">
        <f t="array" ref="L12">_xll.BDP($B12&amp;" Equity","mid")</f>
        <v>11.72</v>
      </c>
      <c r="M12" s="19">
        <f t="shared" si="0"/>
        <v>0.11192818259956071</v>
      </c>
      <c r="N12" s="350"/>
      <c r="O12" s="19">
        <f t="shared" si="1"/>
        <v>0.12422062350119911</v>
      </c>
      <c r="P12" s="36" cm="1">
        <f t="array" ref="P12">_xll.BDP($B12&amp;" Equity","bid")</f>
        <v>11.25</v>
      </c>
      <c r="Q12" s="36" cm="1">
        <f t="array" ref="Q12">_xll.BDP($B12&amp;" Equity","ask")</f>
        <v>12.2</v>
      </c>
      <c r="R12" s="40">
        <f t="shared" si="2"/>
        <v>8.4444444444444322E-2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3"/>
        <v>-1289200</v>
      </c>
      <c r="V12" s="124">
        <f>U12/'Master P&amp;L'!$AD$7*10000</f>
        <v>-5.3802658873482017</v>
      </c>
      <c r="W12" s="124">
        <f>(Y12*H12*T12/S12)/'Master P&amp;L'!$AD$7*10000</f>
        <v>-5.3802658873482017</v>
      </c>
      <c r="X12" s="413">
        <f t="shared" si="4"/>
        <v>0</v>
      </c>
      <c r="Y12" s="273">
        <f t="shared" si="5"/>
        <v>11.72</v>
      </c>
      <c r="Z12" s="37">
        <f>_xll.BDP(D12&amp;" Equity","LAST_PRICE")</f>
        <v>104.71</v>
      </c>
      <c r="AA12" s="37" cm="1">
        <f t="array" ref="AA12">_xll.BDP(B12&amp;" Equity","OPT_STRIKE_PX")</f>
        <v>115</v>
      </c>
      <c r="AB12" s="40">
        <f t="shared" si="6"/>
        <v>9.8271416292617708E-2</v>
      </c>
      <c r="AC12" s="324" cm="1">
        <f t="array" ref="AC12">_xll.BDP($D12&amp;" Equity","volatility_10d")</f>
        <v>33.177258467343727</v>
      </c>
      <c r="AD12" s="37" cm="1">
        <f t="array" ref="AD12">_xll.BDP(B12&amp;" Equity","ivol_mid")</f>
        <v>43.829880000000003</v>
      </c>
      <c r="AE12" s="37">
        <f t="shared" si="7"/>
        <v>1.3210820310286222</v>
      </c>
      <c r="AF12" s="38" cm="1">
        <f t="array" ref="AF12">_xll.BDP(B12&amp;" Equity","DELTA_MID_RT")</f>
        <v>0.49148866534233093</v>
      </c>
      <c r="AG12" s="19">
        <f>AL12/'Master P&amp;L'!$AE$7</f>
        <v>-2.3625325085641284E-3</v>
      </c>
      <c r="AH12" s="19">
        <f>AM12/'Master P&amp;L'!$AE$7</f>
        <v>-4.806891135360326E-3</v>
      </c>
      <c r="AI12" s="435">
        <f>AO12/'Master P&amp;L'!$AD$7*10000</f>
        <v>1.3184501088431113E-2</v>
      </c>
      <c r="AJ12" s="350">
        <f t="shared" si="8"/>
        <v>-0.23933730634395303</v>
      </c>
      <c r="AK12" s="38">
        <f>AP12/'Master P&amp;L'!$AD$7*10000</f>
        <v>-0.59449183652866222</v>
      </c>
      <c r="AL12" s="15">
        <f t="shared" si="9"/>
        <v>-5661015.5962795019</v>
      </c>
      <c r="AM12" s="15">
        <f t="shared" si="10"/>
        <v>-11518100</v>
      </c>
      <c r="AN12" s="38" cm="1">
        <f t="array" ref="AN12">_xll.BDP($B12&amp;" Equity","theta_mid_rt")</f>
        <v>-2.8720207512378693E-2</v>
      </c>
      <c r="AO12" s="15">
        <f t="shared" si="11"/>
        <v>3159.2228263616562</v>
      </c>
      <c r="AP12" s="15">
        <f t="shared" si="12"/>
        <v>-142450</v>
      </c>
      <c r="AQ12" s="36" t="str" cm="1">
        <f t="array" ref="AQ12">_xll.BDP($D12&amp;" Equity","EXPECTED_REPORT_DT")</f>
        <v>#N/A N/A</v>
      </c>
      <c r="AR12" s="66" cm="1">
        <f t="array" ref="AR12">_xll.BDP($B12&amp;" Equity","GAMMA_LAST")</f>
        <v>1.1115E-2</v>
      </c>
      <c r="AS12">
        <f t="shared" si="13"/>
        <v>-134053.59689864999</v>
      </c>
      <c r="AT12">
        <f t="shared" si="14"/>
        <v>-670267.98449325003</v>
      </c>
      <c r="AU12" t="s">
        <v>151</v>
      </c>
      <c r="AV12" s="277" t="e" cm="1">
        <f t="array" ref="AV12">_xll.BDP($D12&amp;" Equity","EST_PE_NXT_YR")*(AA12/Z12)</f>
        <v>#VALUE!</v>
      </c>
      <c r="AW12"/>
      <c r="AX12" s="15"/>
      <c r="AY12" s="15">
        <v>10.63</v>
      </c>
      <c r="AZ12" s="355"/>
      <c r="BA12" s="15">
        <f t="shared" si="15"/>
        <v>10.63</v>
      </c>
      <c r="BB12" s="414">
        <f t="shared" si="16"/>
        <v>10.425000000000001</v>
      </c>
      <c r="BC12" s="414">
        <f t="shared" si="17"/>
        <v>22550.000000000007</v>
      </c>
      <c r="BD12" s="414">
        <f>BC12/'Master P&amp;L'!$AD$7*10000</f>
        <v>9.4108746323070105E-2</v>
      </c>
    </row>
    <row r="13" spans="1:56" s="501" customFormat="1">
      <c r="A13" s="519"/>
      <c r="B13" t="s">
        <v>2083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20/02/2026</v>
      </c>
      <c r="F13" cm="1">
        <f t="array" ref="F13">_xll.BDP($B13&amp;" Equity","opt_days_expire")</f>
        <v>29</v>
      </c>
      <c r="G13" t="str" cm="1">
        <f t="array" ref="G13">_xll.BDP(B13&amp;" Equity","QUOTED_CURRENCY_REALTIME")</f>
        <v>USD</v>
      </c>
      <c r="H13" s="15">
        <v>60</v>
      </c>
      <c r="I13" s="410">
        <v>38.049999999999997</v>
      </c>
      <c r="J13" s="415">
        <f>VLOOKUP(B13,Precificação!$B:$O,14,FALSE)</f>
        <v>33.700000000000003</v>
      </c>
      <c r="K13" s="74">
        <f t="shared" si="33"/>
        <v>33.700000000000003</v>
      </c>
      <c r="L13" s="74" cm="1">
        <f t="array" ref="L13">_xll.BDP($B13&amp;" Equity","mid")</f>
        <v>32.4</v>
      </c>
      <c r="M13" s="19">
        <f t="shared" si="0"/>
        <v>8.9809155544468E-2</v>
      </c>
      <c r="N13" s="350"/>
      <c r="O13" s="19">
        <f t="shared" si="1"/>
        <v>-3.8575667655786461E-2</v>
      </c>
      <c r="P13" s="36" cm="1">
        <f t="array" ref="P13">_xll.BDP($B13&amp;" Equity","bid")</f>
        <v>31.7</v>
      </c>
      <c r="Q13" s="36" cm="1">
        <f t="array" ref="Q13">_xll.BDP($B13&amp;" Equity","ask")</f>
        <v>33.1</v>
      </c>
      <c r="R13" s="40">
        <f t="shared" si="2"/>
        <v>4.4164037854889759E-2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194400</v>
      </c>
      <c r="V13" s="124">
        <f>U13/'Master P&amp;L'!$AD$7*10000</f>
        <v>0.81129668670531374</v>
      </c>
      <c r="W13" s="124">
        <f>(Y13*H13*T13/S13)/'Master P&amp;L'!$AD$7*10000</f>
        <v>0.81129668670531374</v>
      </c>
      <c r="X13" s="413">
        <f t="shared" si="4"/>
        <v>0</v>
      </c>
      <c r="Y13" s="273">
        <f t="shared" si="5"/>
        <v>32.4</v>
      </c>
      <c r="Z13" s="37">
        <f>_xll.BDP(D13&amp;" Equity","LAST_PRICE")</f>
        <v>360.76499999999999</v>
      </c>
      <c r="AA13" s="37" cm="1">
        <f t="array" ref="AA13">_xll.BDP(B13&amp;" Equity","OPT_STRIKE_PX")</f>
        <v>400</v>
      </c>
      <c r="AB13" s="40">
        <f t="shared" si="6"/>
        <v>0.10875500672182725</v>
      </c>
      <c r="AC13" s="324" cm="1">
        <f t="array" ref="AC13">_xll.BDP($D13&amp;" Equity","volatility_10d")</f>
        <v>113.97760694280279</v>
      </c>
      <c r="AD13" s="37" cm="1">
        <f t="array" ref="AD13">_xll.BDP(B13&amp;" Equity","ivol_mid")</f>
        <v>113.798</v>
      </c>
      <c r="AE13" s="37">
        <f t="shared" si="7"/>
        <v>0.99842419096504698</v>
      </c>
      <c r="AF13" s="38" cm="1">
        <f t="array" ref="AF13">_xll.BDP(B13&amp;" Equity","DELTA_MID_RT")</f>
        <v>0.44355407357215881</v>
      </c>
      <c r="AG13" s="48">
        <f>AL13/'Master P&amp;L'!$AE$7</f>
        <v>4.0068737767560866E-4</v>
      </c>
      <c r="AH13" s="19">
        <f>AM13/'Master P&amp;L'!$AE$7</f>
        <v>9.0335632462729164E-4</v>
      </c>
      <c r="AI13" s="435">
        <f>AO13/'Master P&amp;L'!$AD$7*10000</f>
        <v>-1.9650304008043858E-2</v>
      </c>
      <c r="AJ13" s="350">
        <f t="shared" si="8"/>
        <v>0.3567105648200633</v>
      </c>
      <c r="AK13" s="38">
        <f>AP13/'Master P&amp;L'!$AD$7*10000</f>
        <v>-3.2552027552991088E-2</v>
      </c>
      <c r="AL13" s="15">
        <f t="shared" si="9"/>
        <v>960112.71211355925</v>
      </c>
      <c r="AM13" s="15">
        <f t="shared" si="10"/>
        <v>2164590</v>
      </c>
      <c r="AN13" s="38" cm="1">
        <f t="array" ref="AN13">_xll.BDP($B13&amp;" Equity","theta_mid_rt")</f>
        <v>-0.7847558856010437</v>
      </c>
      <c r="AO13" s="15">
        <f t="shared" si="11"/>
        <v>-4708.5353136062622</v>
      </c>
      <c r="AP13" s="15">
        <f t="shared" si="12"/>
        <v>-7800.0000000000255</v>
      </c>
      <c r="AQ13" s="36" t="str" cm="1">
        <f t="array" ref="AQ13">_xll.BDP($D13&amp;" Equity","EXPECTED_REPORT_DT")</f>
        <v>03/02/2026</v>
      </c>
      <c r="AR13" s="66" cm="1">
        <f t="array" ref="AR13">_xll.BDP($B13&amp;" Equity","GAMMA_LAST")</f>
        <v>1.2147E-2</v>
      </c>
      <c r="AS13">
        <f t="shared" si="13"/>
        <v>94856.932579684479</v>
      </c>
      <c r="AT13">
        <f t="shared" si="14"/>
        <v>474284.66289842245</v>
      </c>
      <c r="AU13" t="s">
        <v>151</v>
      </c>
      <c r="AV13" s="277" cm="1">
        <f t="array" ref="AV13">_xll.BDP($D13&amp;" Equity","EST_PE_NXT_YR")*(AA13/Z13)</f>
        <v>44.640875876056327</v>
      </c>
      <c r="AW13"/>
      <c r="AX13" s="15"/>
      <c r="AY13" s="15">
        <v>30.2</v>
      </c>
      <c r="AZ13" s="355"/>
      <c r="BA13" s="15">
        <f t="shared" si="15"/>
        <v>30.2</v>
      </c>
      <c r="BB13" s="414">
        <f t="shared" si="16"/>
        <v>33.700000000000003</v>
      </c>
      <c r="BC13" s="414">
        <f t="shared" si="17"/>
        <v>21000.000000000022</v>
      </c>
      <c r="BD13" s="414">
        <f>BC13/'Master P&amp;L'!$AD$7*10000</f>
        <v>8.7640074181129665E-2</v>
      </c>
    </row>
    <row r="14" spans="1:56">
      <c r="A14" s="500"/>
      <c r="B14" s="501" t="s">
        <v>2077</v>
      </c>
      <c r="C14" s="501" t="str" cm="1">
        <f t="array" ref="C14">_xll.BDP($B14&amp;" Equity","opt_put_call")</f>
        <v>Call</v>
      </c>
      <c r="D14" s="501" t="str" cm="1">
        <f t="array" ref="D14">_xll.BDP(B14&amp;" Equity","OPT_UNDL_TICKER")</f>
        <v>META US</v>
      </c>
      <c r="E14" s="501" t="str" cm="1">
        <f t="array" ref="E14">_xll.BDP($B14&amp;" Equity","mifid_Maturity_date")</f>
        <v>17/04/2026</v>
      </c>
      <c r="F14" s="501" cm="1">
        <f t="array" ref="F14">_xll.BDP($B14&amp;" Equity","opt_days_expire")</f>
        <v>85</v>
      </c>
      <c r="G14" s="501" t="str" cm="1">
        <f t="array" ref="G14">_xll.BDP(B14&amp;" Equity","QUOTED_CURRENCY_REALTIME")</f>
        <v>USD</v>
      </c>
      <c r="H14" s="502">
        <v>60</v>
      </c>
      <c r="I14" s="503">
        <v>43.12</v>
      </c>
      <c r="J14" s="415">
        <f>VLOOKUP(B14,Precificação!$B:$O,14,FALSE)</f>
        <v>16.5</v>
      </c>
      <c r="K14" s="74">
        <f t="shared" si="33"/>
        <v>16.5</v>
      </c>
      <c r="L14" s="504" cm="1">
        <f t="array" ref="L14">_xll.BDP($B14&amp;" Equity","mid")</f>
        <v>24.57</v>
      </c>
      <c r="M14" s="505">
        <f t="shared" si="0"/>
        <v>3.8607793840351984E-2</v>
      </c>
      <c r="N14" s="506"/>
      <c r="O14" s="505">
        <f t="shared" si="1"/>
        <v>0.48909090909090902</v>
      </c>
      <c r="P14" s="504" cm="1">
        <f t="array" ref="P14">_xll.BDP($B14&amp;" Equity","bid")</f>
        <v>24.45</v>
      </c>
      <c r="Q14" s="504" cm="1">
        <f t="array" ref="Q14">_xll.BDP($B14&amp;" Equity","ask")</f>
        <v>24.7</v>
      </c>
      <c r="R14" s="507">
        <f t="shared" si="2"/>
        <v>1.0224948875255713E-2</v>
      </c>
      <c r="S14" s="504" cm="1">
        <f t="array" ref="S14">_xll.BDP(G14&amp;" Curncy","PX_LAST")</f>
        <v>1</v>
      </c>
      <c r="T14" s="502" cm="1">
        <f t="array" ref="T14">_xll.BDP(B14&amp;" Equity","OPT_MULTIPLIER")</f>
        <v>100</v>
      </c>
      <c r="U14" s="502">
        <f t="shared" si="3"/>
        <v>147420</v>
      </c>
      <c r="V14" s="508">
        <f>U14/'Master P&amp;L'!$AD$7*10000</f>
        <v>0.61523332075152948</v>
      </c>
      <c r="W14" s="508">
        <f>(Y14*H14*T14/S14)/'Master P&amp;L'!$AD$7*10000</f>
        <v>0.61523332075152948</v>
      </c>
      <c r="X14" s="509">
        <f t="shared" si="4"/>
        <v>0</v>
      </c>
      <c r="Y14" s="510">
        <f t="shared" si="5"/>
        <v>24.57</v>
      </c>
      <c r="Z14" s="511">
        <f>_xll.BDP(D14&amp;" Equity","LAST_PRICE")</f>
        <v>636.4</v>
      </c>
      <c r="AA14" s="511" cm="1">
        <f t="array" ref="AA14">_xll.BDP(B14&amp;" Equity","OPT_STRIKE_PX")</f>
        <v>690</v>
      </c>
      <c r="AB14" s="507">
        <f t="shared" si="6"/>
        <v>8.4223758642363311E-2</v>
      </c>
      <c r="AC14" s="512" cm="1">
        <f t="array" ref="AC14">_xll.BDP($D14&amp;" Equity","volatility_10d")</f>
        <v>25.268788897491778</v>
      </c>
      <c r="AD14" s="511" cm="1">
        <f t="array" ref="AD14">_xll.BDP(B14&amp;" Equity","ivol_mid")</f>
        <v>34.116280000000003</v>
      </c>
      <c r="AE14" s="511">
        <f t="shared" si="7"/>
        <v>1.3501351465002915</v>
      </c>
      <c r="AF14" s="513" cm="1">
        <f t="array" ref="AF14">_xll.BDP(B14&amp;" Equity","DELTA_MID_RT")</f>
        <v>0.36526086926460266</v>
      </c>
      <c r="AG14" s="505">
        <f>AL14/'Master P&amp;L'!$AE$7</f>
        <v>5.820603437417315E-4</v>
      </c>
      <c r="AH14" s="505">
        <f>AM14/'Master P&amp;L'!$AE$7</f>
        <v>1.5935469488248814E-3</v>
      </c>
      <c r="AI14" s="514">
        <f>AO14/'Master P&amp;L'!$AD$7*10000</f>
        <v>-5.8321707690399474E-3</v>
      </c>
      <c r="AJ14" s="506">
        <f t="shared" si="8"/>
        <v>0.10587097931409567</v>
      </c>
      <c r="AK14" s="513">
        <f>AP14/'Master P&amp;L'!$AD$7*10000</f>
        <v>0.20207297104049016</v>
      </c>
      <c r="AL14" s="502">
        <f t="shared" si="9"/>
        <v>1394712.1031999588</v>
      </c>
      <c r="AM14" s="502">
        <f t="shared" si="10"/>
        <v>3818400</v>
      </c>
      <c r="AN14" s="513" cm="1">
        <f t="array" ref="AN14">_xll.BDP($B14&amp;" Equity","theta_mid_rt")</f>
        <v>-0.23291397094726563</v>
      </c>
      <c r="AO14" s="502">
        <f t="shared" si="11"/>
        <v>-1397.4838256835938</v>
      </c>
      <c r="AP14" s="502">
        <f t="shared" si="12"/>
        <v>48420</v>
      </c>
      <c r="AQ14" s="504" t="str" cm="1">
        <f t="array" ref="AQ14">_xll.BDP($D14&amp;" Equity","EXPECTED_REPORT_DT")</f>
        <v>28/01/2026</v>
      </c>
      <c r="AR14" s="515" cm="1">
        <f t="array" ref="AR14">_xll.BDP($B14&amp;" Equity","GAMMA_LAST")</f>
        <v>2.0701000000000001E-2</v>
      </c>
      <c r="AS14" s="501">
        <f t="shared" si="13"/>
        <v>503040.46061759989</v>
      </c>
      <c r="AT14" s="501">
        <f t="shared" si="14"/>
        <v>2515202.303088</v>
      </c>
      <c r="AU14" s="501" t="s">
        <v>151</v>
      </c>
      <c r="AV14" s="516" cm="1">
        <f t="array" ref="AV14">_xll.BDP($D14&amp;" Equity","EST_PE_NXT_YR")*(AA14/Z14)</f>
        <v>19.719476443458046</v>
      </c>
      <c r="AW14" s="501"/>
      <c r="AX14" s="502"/>
      <c r="AY14" s="502">
        <v>23.75</v>
      </c>
      <c r="AZ14" s="517"/>
      <c r="BA14" s="502">
        <f t="shared" si="15"/>
        <v>23.75</v>
      </c>
      <c r="BB14" s="518">
        <f t="shared" si="16"/>
        <v>16.5</v>
      </c>
      <c r="BC14" s="518">
        <f t="shared" si="17"/>
        <v>-43500</v>
      </c>
      <c r="BD14" s="518">
        <f>BC14/'Master P&amp;L'!$AD$7*10000</f>
        <v>-0.18154015366091122</v>
      </c>
    </row>
    <row r="15" spans="1:56" s="558" customFormat="1">
      <c r="A15" s="500"/>
      <c r="B15" s="501" t="s">
        <v>2357</v>
      </c>
      <c r="C15" s="501" t="str" cm="1">
        <f t="array" ref="C15">_xll.BDP($B15&amp;" Equity","opt_put_call")</f>
        <v>Call</v>
      </c>
      <c r="D15" s="501" t="str" cm="1">
        <f t="array" ref="D15">_xll.BDP(B15&amp;" Equity","OPT_UNDL_TICKER")</f>
        <v>META US</v>
      </c>
      <c r="E15" s="501" t="str" cm="1">
        <f t="array" ref="E15">_xll.BDP($B15&amp;" Equity","mifid_Maturity_date")</f>
        <v>17/07/2026</v>
      </c>
      <c r="F15" s="501" cm="1">
        <f t="array" ref="F15">_xll.BDP($B15&amp;" Equity","opt_days_expire")</f>
        <v>176</v>
      </c>
      <c r="G15" s="501" t="str" cm="1">
        <f t="array" ref="G15">_xll.BDP(B15&amp;" Equity","QUOTED_CURRENCY_REALTIME")</f>
        <v>USD</v>
      </c>
      <c r="H15" s="502">
        <v>50</v>
      </c>
      <c r="I15" s="503">
        <v>52.74</v>
      </c>
      <c r="J15" s="415"/>
      <c r="K15" s="74">
        <v>52.74</v>
      </c>
      <c r="L15" s="504" cm="1">
        <f t="array" ref="L15">_xll.BDP($B15&amp;" Equity","mid")</f>
        <v>53.83</v>
      </c>
      <c r="M15" s="505">
        <f t="shared" ref="M15" si="34">L15/Z15</f>
        <v>8.4585166561910743E-2</v>
      </c>
      <c r="N15" s="506"/>
      <c r="O15" s="505">
        <f t="shared" ref="O15" si="35">L15/K15-1</f>
        <v>2.0667425104285098E-2</v>
      </c>
      <c r="P15" s="504" cm="1">
        <f t="array" ref="P15">_xll.BDP($B15&amp;" Equity","bid")</f>
        <v>53.6</v>
      </c>
      <c r="Q15" s="504" cm="1">
        <f t="array" ref="Q15">_xll.BDP($B15&amp;" Equity","ask")</f>
        <v>54.05</v>
      </c>
      <c r="R15" s="507">
        <f t="shared" ref="R15" si="36">(Q15/P15-1)</f>
        <v>8.3955223880596286E-3</v>
      </c>
      <c r="S15" s="504" cm="1">
        <f t="array" ref="S15">_xll.BDP(G15&amp;" Curncy","PX_LAST")</f>
        <v>1</v>
      </c>
      <c r="T15" s="502" cm="1">
        <f t="array" ref="T15">_xll.BDP(B15&amp;" Equity","OPT_MULTIPLIER")</f>
        <v>100</v>
      </c>
      <c r="U15" s="502">
        <f t="shared" ref="U15" si="37">(L15/S15)*H15*T15</f>
        <v>269150</v>
      </c>
      <c r="V15" s="508">
        <f>U15/'Master P&amp;L'!$AD$7*10000</f>
        <v>1.1232536174214771</v>
      </c>
      <c r="W15" s="508">
        <f>(Y15*H15*T15/S15)/'Master P&amp;L'!$AD$7*10000</f>
        <v>1.1232536174214771</v>
      </c>
      <c r="X15" s="509">
        <f t="shared" ref="X15" si="38">IF(C15="Put",IF(Z15&lt;AA15,AA15-Z15,0),IF(Z15&gt;AA15,Z15-AA15,0))</f>
        <v>0</v>
      </c>
      <c r="Y15" s="510">
        <f t="shared" ref="Y15" si="39">L15-X15</f>
        <v>53.83</v>
      </c>
      <c r="Z15" s="511">
        <f>_xll.BDP(D15&amp;" Equity","LAST_PRICE")</f>
        <v>636.4</v>
      </c>
      <c r="AA15" s="511" cm="1">
        <f t="array" ref="AA15">_xll.BDP(B15&amp;" Equity","OPT_STRIKE_PX")</f>
        <v>670</v>
      </c>
      <c r="AB15" s="507">
        <f t="shared" ref="AB15" si="40">AA15/Z15-1</f>
        <v>5.2796983029541167E-2</v>
      </c>
      <c r="AC15" s="512" cm="1">
        <f t="array" ref="AC15">_xll.BDP($D15&amp;" Equity","volatility_10d")</f>
        <v>25.268788897491778</v>
      </c>
      <c r="AD15" s="511" cm="1">
        <f t="array" ref="AD15">_xll.BDP(B15&amp;" Equity","ivol_mid")</f>
        <v>35.95749</v>
      </c>
      <c r="AE15" s="511">
        <f t="shared" ref="AE15" si="41">AD15/AC15</f>
        <v>1.4230001345085914</v>
      </c>
      <c r="AF15" s="513" cm="1">
        <f t="array" ref="AF15">_xll.BDP(B15&amp;" Equity","DELTA_MID_RT")</f>
        <v>0.49498611688613892</v>
      </c>
      <c r="AG15" s="505">
        <f>AL15/'Master P&amp;L'!$AE$7</f>
        <v>6.5731968022881898E-4</v>
      </c>
      <c r="AH15" s="505">
        <f>AM15/'Master P&amp;L'!$AE$7</f>
        <v>1.3279557906874012E-3</v>
      </c>
      <c r="AI15" s="514">
        <f>AO15/'Master P&amp;L'!$AD$7*10000</f>
        <v>-3.6568247335894396E-3</v>
      </c>
      <c r="AJ15" s="506">
        <f t="shared" si="8"/>
        <v>6.6382078141523831E-2</v>
      </c>
      <c r="AK15" s="513">
        <f>AP15/'Master P&amp;L'!$AD$7*10000</f>
        <v>2.2744685918435929E-2</v>
      </c>
      <c r="AL15" s="502">
        <f t="shared" ref="AL15" si="42">Z15*AF15*H15*T15/S15</f>
        <v>1575045.8239316938</v>
      </c>
      <c r="AM15" s="502">
        <f t="shared" ref="AM15" si="43">IF(C15="Put",-Z15*H15*T15/S15,Z15*H15*T15/S15)</f>
        <v>3182000</v>
      </c>
      <c r="AN15" s="513" cm="1">
        <f t="array" ref="AN15">_xll.BDP($B15&amp;" Equity","theta_mid_rt")</f>
        <v>-0.17524704337120056</v>
      </c>
      <c r="AO15" s="502">
        <f t="shared" ref="AO15" si="44">AN15*H15*T15/S15</f>
        <v>-876.23521685600281</v>
      </c>
      <c r="AP15" s="502">
        <f t="shared" ref="AP15" si="45">(L15-K15)*T15/S15*H15</f>
        <v>5449.9999999999818</v>
      </c>
      <c r="AQ15" s="504" t="str" cm="1">
        <f t="array" ref="AQ15">_xll.BDP($D15&amp;" Equity","EXPECTED_REPORT_DT")</f>
        <v>28/01/2026</v>
      </c>
      <c r="AR15" s="515" cm="1">
        <f t="array" ref="AR15">_xll.BDP($B15&amp;" Equity","GAMMA_LAST")</f>
        <v>1.5923E-2</v>
      </c>
      <c r="AS15" s="501">
        <f t="shared" si="13"/>
        <v>322444.69890399999</v>
      </c>
      <c r="AT15" s="501">
        <f t="shared" si="14"/>
        <v>1612223.4945199999</v>
      </c>
      <c r="AU15" s="501" t="s">
        <v>151</v>
      </c>
      <c r="AV15" s="516" cm="1">
        <f t="array" ref="AV15">_xll.BDP($D15&amp;" Equity","EST_PE_NXT_YR")*(AA15/Z15)</f>
        <v>19.147897416111434</v>
      </c>
      <c r="AW15" s="501"/>
      <c r="AX15" s="502"/>
      <c r="AY15" s="502">
        <v>23.75</v>
      </c>
      <c r="AZ15" s="517"/>
      <c r="BA15" s="502">
        <f t="shared" ref="BA15" si="46">+AY15</f>
        <v>23.75</v>
      </c>
      <c r="BB15" s="518">
        <f t="shared" ref="BB15" si="47">+J15</f>
        <v>0</v>
      </c>
      <c r="BC15" s="518">
        <f t="shared" ref="BC15" si="48">(BB15-BA15)*H15*100</f>
        <v>-118750</v>
      </c>
      <c r="BD15" s="518">
        <f>BC15/'Master P&amp;L'!$AD$7*10000</f>
        <v>-0.49558375280995881</v>
      </c>
    </row>
    <row r="16" spans="1:56" s="59" customFormat="1">
      <c r="A16" s="356"/>
      <c r="B16" t="s">
        <v>2119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META US</v>
      </c>
      <c r="E16" t="str" cm="1">
        <f t="array" ref="E16">_xll.BDP($B16&amp;" Equity","mifid_Maturity_date")</f>
        <v>17/04/2026</v>
      </c>
      <c r="F16" cm="1">
        <f t="array" ref="F16">_xll.BDP($B16&amp;" Equity","opt_days_expire")</f>
        <v>85</v>
      </c>
      <c r="G16" t="str" cm="1">
        <f t="array" ref="G16">_xll.BDP(B16&amp;" Equity","QUOTED_CURRENCY_REALTIME")</f>
        <v>USD</v>
      </c>
      <c r="H16" s="15">
        <v>-20</v>
      </c>
      <c r="I16" s="410">
        <v>22.96</v>
      </c>
      <c r="J16" s="415">
        <f>VLOOKUP(B16,Precificação!$B:$O,14,FALSE)</f>
        <v>32.475000000000001</v>
      </c>
      <c r="K16" s="74">
        <f t="shared" si="33"/>
        <v>32.475000000000001</v>
      </c>
      <c r="L16" s="74" cm="1">
        <f t="array" ref="L16">_xll.BDP($B16&amp;" Equity","mid")</f>
        <v>24.73</v>
      </c>
      <c r="M16" s="19">
        <f t="shared" si="0"/>
        <v>3.8859208045254556E-2</v>
      </c>
      <c r="N16" s="350"/>
      <c r="O16" s="19">
        <f t="shared" si="1"/>
        <v>-0.23849114703618168</v>
      </c>
      <c r="P16" s="36" cm="1">
        <f t="array" ref="P16">_xll.BDP($B16&amp;" Equity","bid")</f>
        <v>24.6</v>
      </c>
      <c r="Q16" s="36" cm="1">
        <f t="array" ref="Q16">_xll.BDP($B16&amp;" Equity","ask")</f>
        <v>24.85</v>
      </c>
      <c r="R16" s="40">
        <f t="shared" si="2"/>
        <v>1.0162601626016343E-2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-49460</v>
      </c>
      <c r="V16" s="124">
        <f>U16/'Master P&amp;L'!$AD$7*10000</f>
        <v>-0.20641324138088896</v>
      </c>
      <c r="W16" s="124">
        <f>(Y16*H16*T16/S16)/'Master P&amp;L'!$AD$7*10000</f>
        <v>-0.20641324138088896</v>
      </c>
      <c r="X16" s="413">
        <f t="shared" si="4"/>
        <v>0</v>
      </c>
      <c r="Y16" s="273">
        <f t="shared" si="5"/>
        <v>24.73</v>
      </c>
      <c r="Z16" s="37">
        <f>_xll.BDP(D16&amp;" Equity","LAST_PRICE")</f>
        <v>636.4</v>
      </c>
      <c r="AA16" s="37" cm="1">
        <f t="array" ref="AA16">_xll.BDP(B16&amp;" Equity","OPT_STRIKE_PX")</f>
        <v>600</v>
      </c>
      <c r="AB16" s="40">
        <f t="shared" si="6"/>
        <v>-5.7196731615336227E-2</v>
      </c>
      <c r="AC16" s="324" cm="1">
        <f t="array" ref="AC16">_xll.BDP($D16&amp;" Equity","volatility_10d")</f>
        <v>25.268788897491778</v>
      </c>
      <c r="AD16" s="37" cm="1">
        <f t="array" ref="AD16">_xll.BDP(B16&amp;" Equity","ivol_mid")</f>
        <v>34.613799999999998</v>
      </c>
      <c r="AE16" s="37">
        <f t="shared" si="7"/>
        <v>1.3698242579182662</v>
      </c>
      <c r="AF16" s="38" cm="1">
        <f t="array" ref="AF16">_xll.BDP(B16&amp;" Equity","DELTA_MID_RT")</f>
        <v>-0.31959220767021179</v>
      </c>
      <c r="AG16" s="19">
        <f>AL16/'Master P&amp;L'!$AE$7</f>
        <v>1.6976172913369129E-4</v>
      </c>
      <c r="AH16" s="19">
        <f>AM16/'Master P&amp;L'!$AE$7</f>
        <v>5.3118231627496048E-4</v>
      </c>
      <c r="AI16" s="435">
        <f>AO16/'Master P&amp;L'!$AD$7*10000</f>
        <v>1.9119861736851011E-3</v>
      </c>
      <c r="AJ16" s="350">
        <f t="shared" si="8"/>
        <v>-3.4708148416644172E-2</v>
      </c>
      <c r="AK16" s="38">
        <f>AP16/'Master P&amp;L'!$AD$7*10000</f>
        <v>6.4644988050747476E-2</v>
      </c>
      <c r="AL16" s="15">
        <f t="shared" si="9"/>
        <v>406776.96192264557</v>
      </c>
      <c r="AM16" s="15">
        <f t="shared" si="10"/>
        <v>1272800</v>
      </c>
      <c r="AN16" s="38" cm="1">
        <f t="array" ref="AN16">_xll.BDP($B16&amp;" Equity","theta_mid_rt")</f>
        <v>-0.22907163202762604</v>
      </c>
      <c r="AO16" s="15">
        <f t="shared" si="11"/>
        <v>458.14326405525208</v>
      </c>
      <c r="AP16" s="15">
        <f t="shared" si="12"/>
        <v>15490.000000000002</v>
      </c>
      <c r="AQ16" s="36" t="str" cm="1">
        <f t="array" ref="AQ16">_xll.BDP($D16&amp;" Equity","EXPECTED_REPORT_DT")</f>
        <v>28/01/2026</v>
      </c>
      <c r="AR16" s="66" cm="1">
        <f t="array" ref="AR16">_xll.BDP($B16&amp;" Equity","GAMMA_LAST")</f>
        <v>2.3306E-2</v>
      </c>
      <c r="AS16">
        <f t="shared" si="13"/>
        <v>-188780.91195520002</v>
      </c>
      <c r="AT16">
        <f t="shared" si="14"/>
        <v>-943904.55977599998</v>
      </c>
      <c r="AU16" t="s">
        <v>151</v>
      </c>
      <c r="AV16" s="277" cm="1">
        <f t="array" ref="AV16">_xll.BDP($D16&amp;" Equity","EST_PE_NXT_YR")*(AA16/Z16)</f>
        <v>17.147370820398301</v>
      </c>
      <c r="AW16"/>
      <c r="AX16" s="15"/>
      <c r="AY16" s="15">
        <v>25.48</v>
      </c>
      <c r="AZ16" s="355"/>
      <c r="BA16" s="15">
        <f t="shared" si="15"/>
        <v>25.48</v>
      </c>
      <c r="BB16" s="414">
        <f t="shared" si="16"/>
        <v>32.475000000000001</v>
      </c>
      <c r="BC16" s="414">
        <f t="shared" si="17"/>
        <v>-13990.000000000004</v>
      </c>
      <c r="BD16" s="414">
        <f>BC16/'Master P&amp;L'!$AD$7*10000</f>
        <v>-5.8384982752095374E-2</v>
      </c>
    </row>
    <row r="17" spans="1:56">
      <c r="A17" s="335"/>
      <c r="B17" s="73" t="s">
        <v>2120</v>
      </c>
      <c r="C17" s="73" t="str" cm="1">
        <f t="array" ref="C17">_xll.BDP($B17&amp;" Equity","opt_put_call")</f>
        <v>Put</v>
      </c>
      <c r="D17" s="73" t="str" cm="1">
        <f t="array" ref="D17">_xll.BDP(B17&amp;" Equity","OPT_UNDL_TICKER")</f>
        <v>META US</v>
      </c>
      <c r="E17" s="73" t="str" cm="1">
        <f t="array" ref="E17">_xll.BDP($B17&amp;" Equity","mifid_Maturity_date")</f>
        <v>17/04/2026</v>
      </c>
      <c r="F17" s="73" cm="1">
        <f t="array" ref="F17">_xll.BDP($B17&amp;" Equity","opt_days_expire")</f>
        <v>85</v>
      </c>
      <c r="G17" s="73" t="str" cm="1">
        <f t="array" ref="G17">_xll.BDP(B17&amp;" Equity","QUOTED_CURRENCY_REALTIME")</f>
        <v>USD</v>
      </c>
      <c r="H17" s="42">
        <v>20</v>
      </c>
      <c r="I17" s="409">
        <v>13.9</v>
      </c>
      <c r="J17" s="415">
        <f>VLOOKUP(B17,Precificação!$B:$O,14,FALSE)</f>
        <v>21.024999999999999</v>
      </c>
      <c r="K17" s="74">
        <f t="shared" si="33"/>
        <v>21.024999999999999</v>
      </c>
      <c r="L17" s="74" cm="1">
        <f t="array" ref="L17">_xll.BDP($B17&amp;" Equity","mid")</f>
        <v>15.6</v>
      </c>
      <c r="M17" s="75">
        <f t="shared" si="0"/>
        <v>2.4512884978001259E-2</v>
      </c>
      <c r="N17" s="352"/>
      <c r="O17" s="75">
        <f t="shared" si="1"/>
        <v>-0.25802615933412598</v>
      </c>
      <c r="P17" s="74" cm="1">
        <f t="array" ref="P17">_xll.BDP($B17&amp;" Equity","bid")</f>
        <v>15.5</v>
      </c>
      <c r="Q17" s="74" cm="1">
        <f t="array" ref="Q17">_xll.BDP($B17&amp;" Equity","ask")</f>
        <v>15.7</v>
      </c>
      <c r="R17" s="76">
        <f t="shared" si="2"/>
        <v>1.2903225806451646E-2</v>
      </c>
      <c r="S17" s="36" cm="1">
        <f t="array" ref="S17">_xll.BDP(G17&amp;" Curncy","PX_LAST")</f>
        <v>1</v>
      </c>
      <c r="T17" s="42" cm="1">
        <f t="array" ref="T17">_xll.BDP(B17&amp;" Equity","OPT_MULTIPLIER")</f>
        <v>100</v>
      </c>
      <c r="U17" s="42">
        <f t="shared" si="3"/>
        <v>31200</v>
      </c>
      <c r="V17" s="113">
        <f>U17/'Master P&amp;L'!$AD$7*10000</f>
        <v>0.13020811021196393</v>
      </c>
      <c r="W17" s="113">
        <f>(Y17*H17*T17/S17)/'Master P&amp;L'!$AD$7*10000</f>
        <v>0.13020811021196393</v>
      </c>
      <c r="X17" s="118">
        <f t="shared" si="4"/>
        <v>0</v>
      </c>
      <c r="Y17" s="272">
        <f t="shared" si="5"/>
        <v>15.6</v>
      </c>
      <c r="Z17" s="77">
        <f>_xll.BDP(D17&amp;" Equity","LAST_PRICE")</f>
        <v>636.4</v>
      </c>
      <c r="AA17" s="77" cm="1">
        <f t="array" ref="AA17">_xll.BDP(B17&amp;" Equity","OPT_STRIKE_PX")</f>
        <v>570</v>
      </c>
      <c r="AB17" s="76">
        <f t="shared" si="6"/>
        <v>-0.10433689503456944</v>
      </c>
      <c r="AC17" s="323" cm="1">
        <f t="array" ref="AC17">_xll.BDP($D17&amp;" Equity","volatility_10d")</f>
        <v>25.268788897491778</v>
      </c>
      <c r="AD17" s="77" cm="1">
        <f t="array" ref="AD17">_xll.BDP(B17&amp;" Equity","ivol_mid")</f>
        <v>35.346550000000001</v>
      </c>
      <c r="AE17" s="77">
        <f t="shared" si="7"/>
        <v>1.3988224818922192</v>
      </c>
      <c r="AF17" s="78" cm="1">
        <f t="array" ref="AF17">_xll.BDP(B17&amp;" Equity","DELTA_MID_RT")</f>
        <v>-0.22289231419563293</v>
      </c>
      <c r="AG17" s="75">
        <f>AL17/'Master P&amp;L'!$AE$7</f>
        <v>-1.1839645573432256E-4</v>
      </c>
      <c r="AH17" s="75">
        <f>AM17/'Master P&amp;L'!$AE$7</f>
        <v>-5.3118231627496048E-4</v>
      </c>
      <c r="AI17" s="436">
        <f>AO17/'Master P&amp;L'!$AD$7*10000</f>
        <v>-1.6246931786433169E-3</v>
      </c>
      <c r="AJ17" s="350">
        <f t="shared" si="8"/>
        <v>2.9492939202158123E-2</v>
      </c>
      <c r="AK17" s="78">
        <f>AP17/'Master P&amp;L'!$AD$7*10000</f>
        <v>-4.5280704993583595E-2</v>
      </c>
      <c r="AL17" s="42">
        <f t="shared" si="9"/>
        <v>-283697.3375082016</v>
      </c>
      <c r="AM17" s="42">
        <f t="shared" si="10"/>
        <v>-1272800</v>
      </c>
      <c r="AN17" s="78" cm="1">
        <f t="array" ref="AN17">_xll.BDP($B17&amp;" Equity","theta_mid_rt")</f>
        <v>-0.19465157389640808</v>
      </c>
      <c r="AO17" s="42">
        <f t="shared" si="11"/>
        <v>-389.30314779281616</v>
      </c>
      <c r="AP17" s="42">
        <f t="shared" si="12"/>
        <v>-10849.999999999998</v>
      </c>
      <c r="AQ17" s="74" t="str" cm="1">
        <f t="array" ref="AQ17">_xll.BDP($D17&amp;" Equity","EXPECTED_REPORT_DT")</f>
        <v>28/01/2026</v>
      </c>
      <c r="AR17" s="235" cm="1">
        <f t="array" ref="AR17">_xll.BDP($B17&amp;" Equity","GAMMA_LAST")</f>
        <v>1.9834999999999998E-2</v>
      </c>
      <c r="AS17" s="73">
        <f t="shared" si="13"/>
        <v>160665.46763199996</v>
      </c>
      <c r="AT17" s="73">
        <f t="shared" si="14"/>
        <v>803327.33815999981</v>
      </c>
      <c r="AU17" s="73" t="s">
        <v>151</v>
      </c>
      <c r="AV17" s="322" cm="1">
        <f t="array" ref="AV17">_xll.BDP($D17&amp;" Equity","EST_PE_NXT_YR")*(AA17/Z17)</f>
        <v>16.290002279378385</v>
      </c>
      <c r="AW17" s="73"/>
      <c r="AX17" s="42"/>
      <c r="AY17" s="42">
        <v>16.13</v>
      </c>
      <c r="AZ17" s="354"/>
      <c r="BA17" s="42">
        <f t="shared" si="15"/>
        <v>16.13</v>
      </c>
      <c r="BB17" s="346">
        <f t="shared" si="16"/>
        <v>21.024999999999999</v>
      </c>
      <c r="BC17" s="346">
        <f t="shared" si="17"/>
        <v>9790</v>
      </c>
      <c r="BD17" s="346">
        <f>BC17/'Master P&amp;L'!$AD$7*10000</f>
        <v>4.0856967915869451E-2</v>
      </c>
    </row>
    <row r="18" spans="1:56" s="59" customFormat="1">
      <c r="A18" s="356"/>
      <c r="B18" t="s">
        <v>2106</v>
      </c>
      <c r="C18" t="str" cm="1">
        <f t="array" ref="C18">_xll.BDP($B18&amp;" Equity","opt_put_call")</f>
        <v>Put</v>
      </c>
      <c r="D18" t="str" cm="1">
        <f t="array" ref="D18">_xll.BDP(B18&amp;" Equity","OPT_UNDL_TICKER")</f>
        <v>MRVL US</v>
      </c>
      <c r="E18" t="str" cm="1">
        <f t="array" ref="E18">_xll.BDP($B18&amp;" Equity","mifid_Maturity_date")</f>
        <v>20/03/2026</v>
      </c>
      <c r="F18" cm="1">
        <f t="array" ref="F18">_xll.BDP($B18&amp;" Equity","opt_days_expire")</f>
        <v>57</v>
      </c>
      <c r="G18" t="str" cm="1">
        <f t="array" ref="G18">_xll.BDP(B18&amp;" Equity","QUOTED_CURRENCY_REALTIME")</f>
        <v>USD</v>
      </c>
      <c r="H18" s="15">
        <v>200</v>
      </c>
      <c r="I18" s="410">
        <v>9.1999999999999993</v>
      </c>
      <c r="J18" s="415">
        <f>VLOOKUP(B18,Precificação!$B:$O,14,FALSE)</f>
        <v>8.8249999999999993</v>
      </c>
      <c r="K18" s="74">
        <f t="shared" si="33"/>
        <v>8.8249999999999993</v>
      </c>
      <c r="L18" s="74" cm="1">
        <f t="array" ref="L18">_xll.BDP($B18&amp;" Equity","mid")</f>
        <v>7.83</v>
      </c>
      <c r="M18" s="19">
        <f t="shared" si="0"/>
        <v>9.2838510789660891E-2</v>
      </c>
      <c r="N18" s="350"/>
      <c r="O18" s="19">
        <f t="shared" si="1"/>
        <v>-0.11274787535410757</v>
      </c>
      <c r="P18" s="36" cm="1">
        <f t="array" ref="P18">_xll.BDP($B18&amp;" Equity","bid")</f>
        <v>7.75</v>
      </c>
      <c r="Q18" s="36" cm="1">
        <f t="array" ref="Q18">_xll.BDP($B18&amp;" Equity","ask")</f>
        <v>7.9</v>
      </c>
      <c r="R18" s="40">
        <f t="shared" si="2"/>
        <v>1.9354838709677358E-2</v>
      </c>
      <c r="S18" s="36" cm="1">
        <f t="array" ref="S18">_xll.BDP(G18&amp;" Curncy","PX_LAST")</f>
        <v>1</v>
      </c>
      <c r="T18" s="15" cm="1">
        <f t="array" ref="T18">_xll.BDP(B18&amp;" Equity","OPT_MULTIPLIER")</f>
        <v>100</v>
      </c>
      <c r="U18" s="15">
        <f t="shared" si="3"/>
        <v>156600</v>
      </c>
      <c r="V18" s="124">
        <f>U18/'Master P&amp;L'!$AD$7*10000</f>
        <v>0.6535445531792804</v>
      </c>
      <c r="W18" s="124">
        <f>(Y18*H18*T18/S18)/'Master P&amp;L'!$AD$7*10000</f>
        <v>0.59845650655114213</v>
      </c>
      <c r="X18" s="413">
        <f t="shared" si="4"/>
        <v>0.65999999999999659</v>
      </c>
      <c r="Y18" s="273">
        <f t="shared" si="5"/>
        <v>7.1700000000000035</v>
      </c>
      <c r="Z18" s="37">
        <f>_xll.BDP(D18&amp;" Equity","LAST_PRICE")</f>
        <v>84.34</v>
      </c>
      <c r="AA18" s="37" cm="1">
        <f t="array" ref="AA18">_xll.BDP(B18&amp;" Equity","OPT_STRIKE_PX")</f>
        <v>85</v>
      </c>
      <c r="AB18" s="40">
        <f t="shared" si="6"/>
        <v>7.8254683424234805E-3</v>
      </c>
      <c r="AC18" s="324" cm="1">
        <f t="array" ref="AC18">_xll.BDP($D18&amp;" Equity","volatility_10d")</f>
        <v>25.382509201974667</v>
      </c>
      <c r="AD18" s="37" cm="1">
        <f t="array" ref="AD18">_xll.BDP(B18&amp;" Equity","ivol_mid")</f>
        <v>57.850290000000001</v>
      </c>
      <c r="AE18" s="37">
        <f t="shared" si="7"/>
        <v>2.2791399203156582</v>
      </c>
      <c r="AF18" s="38" cm="1">
        <f t="array" ref="AF18">_xll.BDP(B18&amp;" Equity","DELTA_MID_RT")</f>
        <v>-0.46050897240638733</v>
      </c>
      <c r="AG18" s="19">
        <f>AL18/'Master P&amp;L'!$AE$7</f>
        <v>-3.2417918819083343E-4</v>
      </c>
      <c r="AH18" s="19">
        <f>AM18/'Master P&amp;L'!$AE$7</f>
        <v>-7.0395846251775876E-4</v>
      </c>
      <c r="AI18" s="435">
        <f>AO18/'Master P&amp;L'!$AD$7*10000</f>
        <v>-5.5270977271880762E-3</v>
      </c>
      <c r="AJ18" s="350">
        <f t="shared" si="8"/>
        <v>0.10033301018009097</v>
      </c>
      <c r="AK18" s="38">
        <f>AP18/'Master P&amp;L'!$AD$7*10000</f>
        <v>-8.3049403628784602E-2</v>
      </c>
      <c r="AL18" s="15">
        <f t="shared" si="9"/>
        <v>-776786.53465509415</v>
      </c>
      <c r="AM18" s="15">
        <f t="shared" si="10"/>
        <v>-1686800</v>
      </c>
      <c r="AN18" s="38" cm="1">
        <f t="array" ref="AN18">_xll.BDP($B18&amp;" Equity","theta_mid_rt")</f>
        <v>-6.6219165921211243E-2</v>
      </c>
      <c r="AO18" s="15">
        <f t="shared" si="11"/>
        <v>-1324.3833184242249</v>
      </c>
      <c r="AP18" s="15">
        <f t="shared" si="12"/>
        <v>-19899.999999999982</v>
      </c>
      <c r="AQ18" s="36" t="str" cm="1">
        <f t="array" ref="AQ18">_xll.BDP($D18&amp;" Equity","EXPECTED_REPORT_DT")</f>
        <v>05/03/2026</v>
      </c>
      <c r="AR18" s="66" cm="1">
        <f t="array" ref="AR18">_xll.BDP($B18&amp;" Equity","GAMMA_LAST")</f>
        <v>1.7211000000000001E-2</v>
      </c>
      <c r="AS18">
        <f t="shared" si="13"/>
        <v>24485.179582320005</v>
      </c>
      <c r="AT18">
        <f t="shared" si="14"/>
        <v>122425.89791160003</v>
      </c>
      <c r="AU18" t="s">
        <v>151</v>
      </c>
      <c r="AV18" s="277" cm="1">
        <f t="array" ref="AV18">_xll.BDP($D18&amp;" Equity","EST_PE_NXT_YR")*(AA18/Z18)</f>
        <v>23.213167525576743</v>
      </c>
      <c r="AW18"/>
      <c r="AX18" s="15"/>
      <c r="AY18" s="15">
        <v>8.43</v>
      </c>
      <c r="AZ18" s="355"/>
      <c r="BA18" s="15">
        <f t="shared" si="15"/>
        <v>8.43</v>
      </c>
      <c r="BB18" s="414">
        <f t="shared" si="16"/>
        <v>8.8249999999999993</v>
      </c>
      <c r="BC18" s="414">
        <f t="shared" si="17"/>
        <v>7899.9999999999918</v>
      </c>
      <c r="BD18" s="414">
        <f>BC18/'Master P&amp;L'!$AD$7*10000</f>
        <v>3.2969361239567757E-2</v>
      </c>
    </row>
    <row r="19" spans="1:56" s="59" customFormat="1">
      <c r="A19" s="335"/>
      <c r="B19" s="73" t="s">
        <v>2107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MRVL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57</v>
      </c>
      <c r="G19" s="73" t="str" cm="1">
        <f t="array" ref="G19">_xll.BDP(B19&amp;" Equity","QUOTED_CURRENCY_REALTIME")</f>
        <v>USD</v>
      </c>
      <c r="H19" s="42">
        <v>-200</v>
      </c>
      <c r="I19" s="409">
        <v>4.5999999999999996</v>
      </c>
      <c r="J19" s="415">
        <f>VLOOKUP(B19,Precificação!$B:$O,14,FALSE)</f>
        <v>4.125</v>
      </c>
      <c r="K19" s="74">
        <f t="shared" si="33"/>
        <v>4.125</v>
      </c>
      <c r="L19" s="74" cm="1">
        <f t="array" ref="L19">_xll.BDP($B19&amp;" Equity","mid")</f>
        <v>3.58</v>
      </c>
      <c r="M19" s="75">
        <f t="shared" si="0"/>
        <v>4.244723737253972E-2</v>
      </c>
      <c r="N19" s="352"/>
      <c r="O19" s="75">
        <f t="shared" si="1"/>
        <v>-0.13212121212121208</v>
      </c>
      <c r="P19" s="74" cm="1">
        <f t="array" ref="P19">_xll.BDP($B19&amp;" Equity","bid")</f>
        <v>3.5</v>
      </c>
      <c r="Q19" s="74" cm="1">
        <f t="array" ref="Q19">_xll.BDP($B19&amp;" Equity","ask")</f>
        <v>3.65</v>
      </c>
      <c r="R19" s="76">
        <f t="shared" si="2"/>
        <v>4.2857142857142927E-2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si="3"/>
        <v>-71600</v>
      </c>
      <c r="V19" s="113">
        <f>U19/'Master P&amp;L'!$AD$7*10000</f>
        <v>-0.29881091958899414</v>
      </c>
      <c r="W19" s="113">
        <f>(Y19*H19*T19/S19)/'Master P&amp;L'!$AD$7*10000</f>
        <v>-0.29881091958899414</v>
      </c>
      <c r="X19" s="118">
        <f t="shared" si="4"/>
        <v>0</v>
      </c>
      <c r="Y19" s="272">
        <f t="shared" si="5"/>
        <v>3.58</v>
      </c>
      <c r="Z19" s="77">
        <f>_xll.BDP(D19&amp;" Equity","LAST_PRICE")</f>
        <v>84.34</v>
      </c>
      <c r="AA19" s="77" cm="1">
        <f t="array" ref="AA19">_xll.BDP(B19&amp;" Equity","OPT_STRIKE_PX")</f>
        <v>75</v>
      </c>
      <c r="AB19" s="76">
        <f t="shared" si="6"/>
        <v>-0.11074223381550874</v>
      </c>
      <c r="AC19" s="323" cm="1">
        <f t="array" ref="AC19">_xll.BDP($D19&amp;" Equity","volatility_10d")</f>
        <v>25.382509201974667</v>
      </c>
      <c r="AD19" s="77" cm="1">
        <f t="array" ref="AD19">_xll.BDP(B19&amp;" Equity","ivol_mid")</f>
        <v>59.098480000000002</v>
      </c>
      <c r="AE19" s="77">
        <f t="shared" si="7"/>
        <v>2.3283151216351121</v>
      </c>
      <c r="AF19" s="78" cm="1">
        <f t="array" ref="AF19">_xll.BDP(B19&amp;" Equity","DELTA_MID_RT")</f>
        <v>-0.2616807222366333</v>
      </c>
      <c r="AG19" s="75">
        <f>AL19/'Master P&amp;L'!$AE$7</f>
        <v>1.8421235889623706E-4</v>
      </c>
      <c r="AH19" s="75">
        <f>AM19/'Master P&amp;L'!$AE$7</f>
        <v>7.0395846251775876E-4</v>
      </c>
      <c r="AI19" s="436">
        <f>AO19/'Master P&amp;L'!$AD$7*10000</f>
        <v>4.6609042309660948E-3</v>
      </c>
      <c r="AJ19" s="350">
        <f t="shared" si="8"/>
        <v>-8.4609061524928836E-2</v>
      </c>
      <c r="AK19" s="78">
        <f>AP19/'Master P&amp;L'!$AD$7*10000</f>
        <v>4.5489371836872003E-2</v>
      </c>
      <c r="AL19" s="42">
        <f t="shared" si="9"/>
        <v>441403.04226875305</v>
      </c>
      <c r="AM19" s="42">
        <f t="shared" si="10"/>
        <v>1686800</v>
      </c>
      <c r="AN19" s="78" cm="1">
        <f t="array" ref="AN19">_xll.BDP($B19&amp;" Equity","theta_mid_rt")</f>
        <v>-5.5841457098722458E-2</v>
      </c>
      <c r="AO19" s="42">
        <f t="shared" si="11"/>
        <v>1116.8291419744492</v>
      </c>
      <c r="AP19" s="42">
        <f t="shared" si="12"/>
        <v>10899.999999999998</v>
      </c>
      <c r="AQ19" s="74" t="str" cm="1">
        <f t="array" ref="AQ19">_xll.BDP($D19&amp;" Equity","EXPECTED_REPORT_DT")</f>
        <v>05/03/2026</v>
      </c>
      <c r="AR19" s="235" cm="1">
        <f t="array" ref="AR19">_xll.BDP($B19&amp;" Equity","GAMMA_LAST")</f>
        <v>1.4489999999999999E-2</v>
      </c>
      <c r="AS19" s="73">
        <f t="shared" si="13"/>
        <v>-20614.1567688</v>
      </c>
      <c r="AT19" s="73">
        <f t="shared" si="14"/>
        <v>-103070.78384400002</v>
      </c>
      <c r="AU19" s="73" t="s">
        <v>151</v>
      </c>
      <c r="AV19" s="322" cm="1">
        <f t="array" ref="AV19">_xll.BDP($D19&amp;" Equity","EST_PE_NXT_YR")*(AA19/Z19)</f>
        <v>20.482206640214773</v>
      </c>
      <c r="AW19" s="73"/>
      <c r="AX19" s="42"/>
      <c r="AY19" s="42">
        <v>3.8</v>
      </c>
      <c r="AZ19" s="354"/>
      <c r="BA19" s="42">
        <f t="shared" si="15"/>
        <v>3.8</v>
      </c>
      <c r="BB19" s="346">
        <f t="shared" si="16"/>
        <v>4.125</v>
      </c>
      <c r="BC19" s="346">
        <f t="shared" si="17"/>
        <v>-6500.0000000000027</v>
      </c>
      <c r="BD19" s="346">
        <f>BC19/'Master P&amp;L'!$AD$7*10000</f>
        <v>-2.7126689627492494E-2</v>
      </c>
    </row>
    <row r="20" spans="1:56" s="59" customFormat="1">
      <c r="A20" s="425" t="s">
        <v>1770</v>
      </c>
      <c r="B20" s="59" t="s">
        <v>2067</v>
      </c>
      <c r="C20" s="59" t="str" cm="1">
        <f t="array" ref="C20">_xll.BDP($B20&amp;" Equity","opt_put_call")</f>
        <v>Put</v>
      </c>
      <c r="D20" s="59" t="str" cm="1">
        <f t="array" ref="D20">_xll.BDP(B20&amp;" Equity","OPT_UNDL_TICKER")</f>
        <v>MRVL US</v>
      </c>
      <c r="E20" s="59" t="str" cm="1">
        <f t="array" ref="E20">_xll.BDP($B20&amp;" Equity","mifid_Maturity_date")</f>
        <v>20/03/2026</v>
      </c>
      <c r="F20" s="59" cm="1">
        <f t="array" ref="F20">_xll.BDP($B20&amp;" Equity","opt_days_expire")</f>
        <v>57</v>
      </c>
      <c r="G20" s="59" t="str" cm="1">
        <f t="array" ref="G20">_xll.BDP(B20&amp;" Equity","QUOTED_CURRENCY_REALTIME")</f>
        <v>USD</v>
      </c>
      <c r="H20" s="404">
        <v>150</v>
      </c>
      <c r="I20" s="411">
        <v>6.13</v>
      </c>
      <c r="J20" s="415">
        <f>VLOOKUP(B20,Precificação!$B:$O,14,FALSE)</f>
        <v>6.1999999999999993</v>
      </c>
      <c r="K20" s="74">
        <f t="shared" si="33"/>
        <v>6.1999999999999993</v>
      </c>
      <c r="L20" s="14" cm="1">
        <f t="array" ref="L20">_xll.BDP($B20&amp;" Equity","mid")</f>
        <v>5.45</v>
      </c>
      <c r="M20" s="128">
        <f t="shared" si="0"/>
        <v>6.461939767607304E-2</v>
      </c>
      <c r="N20" s="426"/>
      <c r="O20" s="128">
        <f t="shared" si="1"/>
        <v>-0.12096774193548376</v>
      </c>
      <c r="P20" s="14" cm="1">
        <f t="array" ref="P20">_xll.BDP($B20&amp;" Equity","bid")</f>
        <v>5.4</v>
      </c>
      <c r="Q20" s="14" cm="1">
        <f t="array" ref="Q20">_xll.BDP($B20&amp;" Equity","ask")</f>
        <v>5.5</v>
      </c>
      <c r="R20" s="424">
        <f t="shared" si="2"/>
        <v>1.8518518518518379E-2</v>
      </c>
      <c r="S20" s="14" cm="1">
        <f t="array" ref="S20">_xll.BDP(G20&amp;" Curncy","PX_LAST")</f>
        <v>1</v>
      </c>
      <c r="T20" s="404" cm="1">
        <f t="array" ref="T20">_xll.BDP(B20&amp;" Equity","OPT_MULTIPLIER")</f>
        <v>100</v>
      </c>
      <c r="U20" s="404">
        <f t="shared" si="3"/>
        <v>81750</v>
      </c>
      <c r="V20" s="427">
        <f>U20/'Master P&amp;L'!$AD$7*10000</f>
        <v>0.3411702887765401</v>
      </c>
      <c r="W20" s="427">
        <f>(Y20*H20*T20/S20)/'Master P&amp;L'!$AD$7*10000</f>
        <v>0.3411702887765401</v>
      </c>
      <c r="X20" s="428">
        <f t="shared" si="4"/>
        <v>0</v>
      </c>
      <c r="Y20" s="429">
        <f t="shared" si="5"/>
        <v>5.45</v>
      </c>
      <c r="Z20" s="430">
        <f>_xll.BDP(D20&amp;" Equity","LAST_PRICE")</f>
        <v>84.34</v>
      </c>
      <c r="AA20" s="430" cm="1">
        <f t="array" ref="AA20">_xll.BDP(B20&amp;" Equity","OPT_STRIKE_PX")</f>
        <v>80</v>
      </c>
      <c r="AB20" s="424">
        <f t="shared" si="6"/>
        <v>-5.1458382736542574E-2</v>
      </c>
      <c r="AC20" s="431" cm="1">
        <f t="array" ref="AC20">_xll.BDP($D20&amp;" Equity","volatility_10d")</f>
        <v>25.382509201974667</v>
      </c>
      <c r="AD20" s="430" cm="1">
        <f t="array" ref="AD20">_xll.BDP(B20&amp;" Equity","ivol_mid")</f>
        <v>58.339080000000003</v>
      </c>
      <c r="AE20" s="430">
        <f t="shared" si="7"/>
        <v>2.2983968817181175</v>
      </c>
      <c r="AF20" s="432" cm="1">
        <f t="array" ref="AF20">_xll.BDP(B20&amp;" Equity","DELTA_MID_RT")</f>
        <v>-0.35786199569702148</v>
      </c>
      <c r="AG20" s="128">
        <f>AL20/'Master P&amp;L'!$AE$7</f>
        <v>-1.8893998521330905E-4</v>
      </c>
      <c r="AH20" s="128">
        <f>AM20/'Master P&amp;L'!$AE$7</f>
        <v>-5.279688468883191E-4</v>
      </c>
      <c r="AI20" s="441">
        <f>AO20/'Master P&amp;L'!$AD$7*10000</f>
        <v>-3.95324907088362E-3</v>
      </c>
      <c r="AJ20" s="426">
        <f t="shared" si="8"/>
        <v>7.1763047959565146E-2</v>
      </c>
      <c r="AK20" s="432">
        <f>AP20/'Master P&amp;L'!$AD$7*10000</f>
        <v>-4.6950039739890786E-2</v>
      </c>
      <c r="AL20" s="404">
        <f t="shared" si="9"/>
        <v>-452731.21075630188</v>
      </c>
      <c r="AM20" s="404">
        <f t="shared" si="10"/>
        <v>-1265100</v>
      </c>
      <c r="AN20" s="432" cm="1">
        <f t="array" ref="AN20">_xll.BDP($B20&amp;" Equity","theta_mid_rt")</f>
        <v>-6.3150890171527863E-2</v>
      </c>
      <c r="AO20" s="404">
        <f t="shared" si="11"/>
        <v>-947.26335257291794</v>
      </c>
      <c r="AP20" s="404">
        <f t="shared" si="12"/>
        <v>-11249.999999999987</v>
      </c>
      <c r="AQ20" s="14" t="str" cm="1">
        <f t="array" ref="AQ20">_xll.BDP($D20&amp;" Equity","EXPECTED_REPORT_DT")</f>
        <v>05/03/2026</v>
      </c>
      <c r="AR20" s="114" cm="1">
        <f t="array" ref="AR20">_xll.BDP($B20&amp;" Equity","GAMMA_LAST")</f>
        <v>1.6480999999999999E-2</v>
      </c>
      <c r="AS20" s="59">
        <f t="shared" si="13"/>
        <v>17584.985388540001</v>
      </c>
      <c r="AT20" s="59">
        <f t="shared" si="14"/>
        <v>87924.926942700011</v>
      </c>
      <c r="AU20" s="59" t="s">
        <v>151</v>
      </c>
      <c r="AV20" s="337" cm="1">
        <f t="array" ref="AV20">_xll.BDP($D20&amp;" Equity","EST_PE_NXT_YR")*(AA20/Z20)</f>
        <v>21.84768708289576</v>
      </c>
      <c r="AX20" s="404"/>
      <c r="AY20" s="404">
        <v>5.78</v>
      </c>
      <c r="AZ20" s="433"/>
      <c r="BA20" s="404">
        <f t="shared" si="15"/>
        <v>5.78</v>
      </c>
      <c r="BB20" s="434">
        <f t="shared" si="16"/>
        <v>6.1999999999999993</v>
      </c>
      <c r="BC20" s="434">
        <f t="shared" si="17"/>
        <v>6299.9999999999854</v>
      </c>
      <c r="BD20" s="434">
        <f>BC20/'Master P&amp;L'!$AD$7*10000</f>
        <v>2.6292022254338809E-2</v>
      </c>
    </row>
    <row r="21" spans="1:56" s="501" customFormat="1">
      <c r="A21" s="425" t="s">
        <v>1770</v>
      </c>
      <c r="B21" s="59" t="s">
        <v>2336</v>
      </c>
      <c r="C21" s="59" t="str" cm="1">
        <f t="array" ref="C21">_xll.BDP($B21&amp;" Equity","opt_put_call")</f>
        <v>Put</v>
      </c>
      <c r="D21" s="59" t="str" cm="1">
        <f t="array" ref="D21">_xll.BDP(B21&amp;" Equity","OPT_UNDL_TICKER")</f>
        <v>MRVL US</v>
      </c>
      <c r="E21" s="59" t="str" cm="1">
        <f t="array" ref="E21">_xll.BDP($B21&amp;" Equity","mifid_Maturity_date")</f>
        <v>20/03/2026</v>
      </c>
      <c r="F21" s="59" cm="1">
        <f t="array" ref="F21">_xll.BDP($B21&amp;" Equity","opt_days_expire")</f>
        <v>57</v>
      </c>
      <c r="G21" s="59" t="str" cm="1">
        <f t="array" ref="G21">_xll.BDP(B21&amp;" Equity","QUOTED_CURRENCY_REALTIME")</f>
        <v>USD</v>
      </c>
      <c r="H21" s="404">
        <v>-150</v>
      </c>
      <c r="I21" s="411">
        <v>2.52</v>
      </c>
      <c r="J21" s="415">
        <f>VLOOKUP(B21,Precificação!$B:$O,14,FALSE)</f>
        <v>2.5750000000000002</v>
      </c>
      <c r="K21" s="74">
        <f t="shared" si="33"/>
        <v>2.5750000000000002</v>
      </c>
      <c r="L21" s="14" cm="1">
        <f t="array" ref="L21">_xll.BDP($B21&amp;" Equity","mid")</f>
        <v>2.23</v>
      </c>
      <c r="M21" s="128">
        <f t="shared" si="0"/>
        <v>2.6440597581218875E-2</v>
      </c>
      <c r="N21" s="426"/>
      <c r="O21" s="128">
        <f t="shared" si="1"/>
        <v>-0.13398058252427192</v>
      </c>
      <c r="P21" s="14" cm="1">
        <f t="array" ref="P21">_xll.BDP($B21&amp;" Equity","bid")</f>
        <v>2.1800000000000002</v>
      </c>
      <c r="Q21" s="14" cm="1">
        <f t="array" ref="Q21">_xll.BDP($B21&amp;" Equity","ask")</f>
        <v>2.27</v>
      </c>
      <c r="R21" s="424">
        <f t="shared" si="2"/>
        <v>4.1284403669724634E-2</v>
      </c>
      <c r="S21" s="14" cm="1">
        <f t="array" ref="S21">_xll.BDP(G21&amp;" Curncy","PX_LAST")</f>
        <v>1</v>
      </c>
      <c r="T21" s="404" cm="1">
        <f t="array" ref="T21">_xll.BDP(B21&amp;" Equity","OPT_MULTIPLIER")</f>
        <v>100</v>
      </c>
      <c r="U21" s="404">
        <f t="shared" si="3"/>
        <v>-33450</v>
      </c>
      <c r="V21" s="427">
        <f>U21/'Master P&amp;L'!$AD$7*10000</f>
        <v>-0.13959811815994208</v>
      </c>
      <c r="W21" s="427">
        <f>(Y21*H21*T21/S21)/'Master P&amp;L'!$AD$7*10000</f>
        <v>-0.13959811815994208</v>
      </c>
      <c r="X21" s="428">
        <f t="shared" si="4"/>
        <v>0</v>
      </c>
      <c r="Y21" s="429">
        <f t="shared" si="5"/>
        <v>2.23</v>
      </c>
      <c r="Z21" s="430">
        <f>_xll.BDP(D21&amp;" Equity","LAST_PRICE")</f>
        <v>84.34</v>
      </c>
      <c r="AA21" s="430" cm="1">
        <f t="array" ref="AA21">_xll.BDP(B21&amp;" Equity","OPT_STRIKE_PX")</f>
        <v>70</v>
      </c>
      <c r="AB21" s="424">
        <f t="shared" si="6"/>
        <v>-0.17002608489447479</v>
      </c>
      <c r="AC21" s="431" cm="1">
        <f t="array" ref="AC21">_xll.BDP($D21&amp;" Equity","volatility_10d")</f>
        <v>25.382509201974667</v>
      </c>
      <c r="AD21" s="430" cm="1">
        <f t="array" ref="AD21">_xll.BDP(B21&amp;" Equity","ivol_mid")</f>
        <v>59.899760000000001</v>
      </c>
      <c r="AE21" s="430">
        <f t="shared" si="7"/>
        <v>2.3598833166320694</v>
      </c>
      <c r="AF21" s="432" cm="1">
        <f t="array" ref="AF21">_xll.BDP(B21&amp;" Equity","DELTA_MID_RT")</f>
        <v>-0.17956097424030304</v>
      </c>
      <c r="AG21" s="128">
        <f>AL21/'Master P&amp;L'!$AE$7</f>
        <v>9.4802600515795962E-5</v>
      </c>
      <c r="AH21" s="128">
        <f>AM21/'Master P&amp;L'!$AE$7</f>
        <v>5.279688468883191E-4</v>
      </c>
      <c r="AI21" s="441">
        <f>AO21/'Master P&amp;L'!$AD$7*10000</f>
        <v>2.8498144437038341E-3</v>
      </c>
      <c r="AJ21" s="426">
        <f t="shared" si="8"/>
        <v>-5.1732478002876718E-2</v>
      </c>
      <c r="AK21" s="432">
        <f>AP21/'Master P&amp;L'!$AD$7*10000</f>
        <v>2.1597018280349801E-2</v>
      </c>
      <c r="AL21" s="404">
        <f t="shared" si="9"/>
        <v>227162.58851140738</v>
      </c>
      <c r="AM21" s="404">
        <f t="shared" si="10"/>
        <v>1265100</v>
      </c>
      <c r="AN21" s="432" cm="1">
        <f t="array" ref="AN21">_xll.BDP($B21&amp;" Equity","theta_mid_rt")</f>
        <v>-4.5524153858423233E-2</v>
      </c>
      <c r="AO21" s="404">
        <f t="shared" si="11"/>
        <v>682.8623078763485</v>
      </c>
      <c r="AP21" s="404">
        <f t="shared" si="12"/>
        <v>5175.0000000000036</v>
      </c>
      <c r="AQ21" s="14" t="str" cm="1">
        <f t="array" ref="AQ21">_xll.BDP($D21&amp;" Equity","EXPECTED_REPORT_DT")</f>
        <v>05/03/2026</v>
      </c>
      <c r="AR21" s="114" cm="1">
        <f t="array" ref="AR21">_xll.BDP($B21&amp;" Equity","GAMMA_LAST")</f>
        <v>1.1684999999999999E-2</v>
      </c>
      <c r="AS21" s="59">
        <f t="shared" si="13"/>
        <v>-12467.723697900001</v>
      </c>
      <c r="AT21" s="59">
        <f t="shared" si="14"/>
        <v>-62338.618489500019</v>
      </c>
      <c r="AU21" s="59" t="s">
        <v>151</v>
      </c>
      <c r="AV21" s="337" cm="1">
        <f t="array" ref="AV21">_xll.BDP($D21&amp;" Equity","EST_PE_NXT_YR")*(AA21/Z21)</f>
        <v>19.116726197533787</v>
      </c>
      <c r="AW21" s="59"/>
      <c r="AX21" s="404"/>
      <c r="AY21" s="404">
        <v>2.37</v>
      </c>
      <c r="AZ21" s="433"/>
      <c r="BA21" s="404">
        <f t="shared" si="15"/>
        <v>2.37</v>
      </c>
      <c r="BB21" s="434">
        <f t="shared" si="16"/>
        <v>2.5750000000000002</v>
      </c>
      <c r="BC21" s="434">
        <f t="shared" si="17"/>
        <v>-3075.0000000000009</v>
      </c>
      <c r="BD21" s="434">
        <f>BC21/'Master P&amp;L'!$AD$7*10000</f>
        <v>-1.2833010862236831E-2</v>
      </c>
    </row>
    <row r="22" spans="1:56" s="59" customFormat="1">
      <c r="A22" s="335"/>
      <c r="B22" s="73" t="s">
        <v>2058</v>
      </c>
      <c r="C22" s="73" t="str" cm="1">
        <f t="array" ref="C22">_xll.BDP($B22&amp;" Equity","opt_put_call")</f>
        <v>Put</v>
      </c>
      <c r="D22" s="73" t="str" cm="1">
        <f t="array" ref="D22">_xll.BDP(B22&amp;" Equity","OPT_UNDL_TICKER")</f>
        <v>MSFT US</v>
      </c>
      <c r="E22" s="73" t="str" cm="1">
        <f t="array" ref="E22">_xll.BDP($B22&amp;" Equity","mifid_Maturity_date")</f>
        <v>20/03/2026</v>
      </c>
      <c r="F22" s="73" cm="1">
        <f t="array" ref="F22">_xll.BDP($B22&amp;" Equity","opt_days_expire")</f>
        <v>57</v>
      </c>
      <c r="G22" s="73" t="str" cm="1">
        <f t="array" ref="G22">_xll.BDP(B22&amp;" Equity","QUOTED_CURRENCY_REALTIME")</f>
        <v>USD</v>
      </c>
      <c r="H22" s="42">
        <v>-50</v>
      </c>
      <c r="I22" s="409">
        <v>17.829999999999998</v>
      </c>
      <c r="J22" s="415">
        <f>VLOOKUP(B22,Precificação!$B:$O,14,FALSE)</f>
        <v>31.524999999999999</v>
      </c>
      <c r="K22" s="74">
        <f t="shared" si="33"/>
        <v>31.524999999999999</v>
      </c>
      <c r="L22" s="74" cm="1">
        <f t="array" ref="L22">_xll.BDP($B22&amp;" Equity","mid")</f>
        <v>29.27</v>
      </c>
      <c r="M22" s="75">
        <f t="shared" si="0"/>
        <v>6.551469436175214E-2</v>
      </c>
      <c r="N22" s="352"/>
      <c r="O22" s="75">
        <f t="shared" si="1"/>
        <v>-7.1530531324345725E-2</v>
      </c>
      <c r="P22" s="74" cm="1">
        <f t="array" ref="P22">_xll.BDP($B22&amp;" Equity","bid")</f>
        <v>29.15</v>
      </c>
      <c r="Q22" s="74" cm="1">
        <f t="array" ref="Q22">_xll.BDP($B22&amp;" Equity","ask")</f>
        <v>29.4</v>
      </c>
      <c r="R22" s="76">
        <f t="shared" si="2"/>
        <v>8.5763293310463506E-3</v>
      </c>
      <c r="S22" s="36" cm="1">
        <f t="array" ref="S22">_xll.BDP(G22&amp;" Curncy","PX_LAST")</f>
        <v>1</v>
      </c>
      <c r="T22" s="42" cm="1">
        <f t="array" ref="T22">_xll.BDP(B22&amp;" Equity","OPT_MULTIPLIER")</f>
        <v>100</v>
      </c>
      <c r="U22" s="42">
        <f t="shared" si="3"/>
        <v>-146350</v>
      </c>
      <c r="V22" s="113">
        <f>U22/'Master P&amp;L'!$AD$7*10000</f>
        <v>-0.61076785030515768</v>
      </c>
      <c r="W22" s="113">
        <f>(Y22*H22*T22/S22)/'Master P&amp;L'!$AD$7*10000</f>
        <v>-0.23036819499039735</v>
      </c>
      <c r="X22" s="118">
        <f t="shared" si="4"/>
        <v>18.230000000000018</v>
      </c>
      <c r="Y22" s="272">
        <f t="shared" si="5"/>
        <v>11.039999999999981</v>
      </c>
      <c r="Z22" s="77">
        <f>_xll.BDP(D22&amp;" Equity","LAST_PRICE")</f>
        <v>446.77</v>
      </c>
      <c r="AA22" s="77" cm="1">
        <f t="array" ref="AA22">_xll.BDP(B22&amp;" Equity","OPT_STRIKE_PX")</f>
        <v>465</v>
      </c>
      <c r="AB22" s="76">
        <f t="shared" si="6"/>
        <v>4.0803993106072411E-2</v>
      </c>
      <c r="AC22" s="323" cm="1">
        <f t="array" ref="AC22">_xll.BDP($D22&amp;" Equity","volatility_10d")</f>
        <v>16.948071673773306</v>
      </c>
      <c r="AD22" s="77" cm="1">
        <f t="array" ref="AD22">_xll.BDP(B22&amp;" Equity","ivol_mid")</f>
        <v>28.238859999999999</v>
      </c>
      <c r="AE22" s="77">
        <f t="shared" si="7"/>
        <v>1.6661989955883234</v>
      </c>
      <c r="AF22" s="78" cm="1">
        <f t="array" ref="AF22">_xll.BDP(B22&amp;" Equity","DELTA_MID_RT")</f>
        <v>-0.61450636386871338</v>
      </c>
      <c r="AG22" s="75">
        <f>AL22/'Master P&amp;L'!$AE$7</f>
        <v>5.7288022864996767E-4</v>
      </c>
      <c r="AH22" s="75">
        <f>AM22/'Master P&amp;L'!$AE$7</f>
        <v>9.3226085575960128E-4</v>
      </c>
      <c r="AI22" s="436">
        <f>AO22/'Master P&amp;L'!$AD$7*10000</f>
        <v>3.4545948132531116E-3</v>
      </c>
      <c r="AJ22" s="350">
        <f t="shared" si="8"/>
        <v>-6.2711012845172276E-2</v>
      </c>
      <c r="AK22" s="78">
        <f>AP22/'Master P&amp;L'!$AD$7*10000</f>
        <v>4.7054373161535018E-2</v>
      </c>
      <c r="AL22" s="42">
        <f t="shared" si="9"/>
        <v>1372715.0409281254</v>
      </c>
      <c r="AM22" s="42">
        <f t="shared" si="10"/>
        <v>2233850</v>
      </c>
      <c r="AN22" s="78" cm="1">
        <f t="array" ref="AN22">_xll.BDP($B22&amp;" Equity","theta_mid_rt")</f>
        <v>-0.16555552184581757</v>
      </c>
      <c r="AO22" s="42">
        <f t="shared" si="11"/>
        <v>827.77760922908783</v>
      </c>
      <c r="AP22" s="42">
        <f t="shared" si="12"/>
        <v>11274.999999999995</v>
      </c>
      <c r="AQ22" s="74" t="str" cm="1">
        <f t="array" ref="AQ22">_xll.BDP($D22&amp;" Equity","EXPECTED_REPORT_DT")</f>
        <v>28/01/2026</v>
      </c>
      <c r="AR22" s="235" cm="1">
        <f t="array" ref="AR22">_xll.BDP($B22&amp;" Equity","GAMMA_LAST")</f>
        <v>3.3992000000000001E-2</v>
      </c>
      <c r="AS22" s="73">
        <f t="shared" si="13"/>
        <v>-339245.99455683999</v>
      </c>
      <c r="AT22" s="73">
        <f t="shared" si="14"/>
        <v>-1696229.9727842</v>
      </c>
      <c r="AU22" s="73" t="s">
        <v>151</v>
      </c>
      <c r="AV22" s="322" cm="1">
        <f t="array" ref="AV22">_xll.BDP($D22&amp;" Equity","EST_PE_NXT_YR")*(AA22/Z22)</f>
        <v>24.623453088554115</v>
      </c>
      <c r="AW22" s="73"/>
      <c r="AX22" s="42"/>
      <c r="AY22" s="42">
        <v>30.68</v>
      </c>
      <c r="AZ22" s="354"/>
      <c r="BA22" s="42">
        <f t="shared" si="15"/>
        <v>30.68</v>
      </c>
      <c r="BB22" s="346">
        <f t="shared" si="16"/>
        <v>31.524999999999999</v>
      </c>
      <c r="BC22" s="346">
        <f t="shared" si="17"/>
        <v>-4224.9999999999945</v>
      </c>
      <c r="BD22" s="346">
        <f>BC22/'Master P&amp;L'!$AD$7*10000</f>
        <v>-1.7632348257870092E-2</v>
      </c>
    </row>
    <row r="23" spans="1:56" s="384" customFormat="1">
      <c r="A23" s="544" t="s">
        <v>1770</v>
      </c>
      <c r="B23" s="384" t="s">
        <v>2333</v>
      </c>
      <c r="C23" s="384" t="str" cm="1">
        <f t="array" ref="C23">_xll.BDP($B23&amp;" Equity","opt_put_call")</f>
        <v>Call</v>
      </c>
      <c r="D23" s="384" t="str" cm="1">
        <f t="array" ref="D23">_xll.BDP(B23&amp;" Equity","OPT_UNDL_TICKER")</f>
        <v>SNDK US</v>
      </c>
      <c r="E23" s="384" t="str" cm="1">
        <f t="array" ref="E23">_xll.BDP($B23&amp;" Equity","mifid_Maturity_date")</f>
        <v>20/02/2026</v>
      </c>
      <c r="F23" s="384" cm="1">
        <f t="array" ref="F23">_xll.BDP($B23&amp;" Equity","opt_days_expire")</f>
        <v>29</v>
      </c>
      <c r="G23" s="384" t="str" cm="1">
        <f t="array" ref="G23">_xll.BDP(B23&amp;" Equity","QUOTED_CURRENCY_REALTIME")</f>
        <v>USD</v>
      </c>
      <c r="H23" s="543">
        <v>10</v>
      </c>
      <c r="I23" s="542">
        <v>45.26</v>
      </c>
      <c r="J23" s="123">
        <f>VLOOKUP(B23,Precificação!$B:$O,14,FALSE)</f>
        <v>65.75</v>
      </c>
      <c r="K23" s="123">
        <f t="shared" si="33"/>
        <v>65.75</v>
      </c>
      <c r="L23" s="123">
        <v>55.26</v>
      </c>
      <c r="M23" s="412">
        <f t="shared" si="0"/>
        <v>0.11292115544947769</v>
      </c>
      <c r="N23" s="541"/>
      <c r="O23" s="412">
        <f t="shared" si="1"/>
        <v>-0.15954372623574142</v>
      </c>
      <c r="P23" s="123" cm="1">
        <f t="array" ref="P23">_xll.BDP($B23&amp;" Equity","bid")</f>
        <v>54.1</v>
      </c>
      <c r="Q23" s="123" cm="1">
        <f t="array" ref="Q23">_xll.BDP($B23&amp;" Equity","ask")</f>
        <v>56.4</v>
      </c>
      <c r="R23" s="540">
        <f t="shared" si="2"/>
        <v>4.2513863216266046E-2</v>
      </c>
      <c r="S23" s="123" cm="1">
        <f t="array" ref="S23">_xll.BDP(G23&amp;" Curncy","PX_LAST")</f>
        <v>1</v>
      </c>
      <c r="T23" s="543" cm="1">
        <f t="array" ref="T23">_xll.BDP(B23&amp;" Equity","OPT_MULTIPLIER")</f>
        <v>100</v>
      </c>
      <c r="U23" s="543">
        <f t="shared" si="3"/>
        <v>55260</v>
      </c>
      <c r="V23" s="539">
        <f>U23/'Master P&amp;L'!$AD$7*10000</f>
        <v>0.23061859520234379</v>
      </c>
      <c r="W23" s="539">
        <f>(Y23*H23*T23/S23)/'Master P&amp;L'!$AD$7*10000</f>
        <v>0.23061859520234379</v>
      </c>
      <c r="X23" s="538">
        <f t="shared" si="4"/>
        <v>0</v>
      </c>
      <c r="Y23" s="537">
        <f t="shared" si="5"/>
        <v>55.26</v>
      </c>
      <c r="Z23" s="536">
        <f>_xll.BDP(D23&amp;" Equity","LAST_PRICE")</f>
        <v>489.36799999999999</v>
      </c>
      <c r="AA23" s="536" cm="1">
        <f t="array" ref="AA23">_xll.BDP(B23&amp;" Equity","OPT_STRIKE_PX")</f>
        <v>500</v>
      </c>
      <c r="AB23" s="540">
        <f t="shared" si="6"/>
        <v>2.1725981265632521E-2</v>
      </c>
      <c r="AC23" s="535" cm="1">
        <f t="array" ref="AC23">_xll.BDP($D23&amp;" Equity","volatility_10d")</f>
        <v>92.926661795553755</v>
      </c>
      <c r="AD23" s="536" cm="1">
        <f t="array" ref="AD23">_xll.BDP(B23&amp;" Equity","ivol_mid")</f>
        <v>112.5501</v>
      </c>
      <c r="AE23" s="536">
        <f t="shared" si="7"/>
        <v>1.2111712378910093</v>
      </c>
      <c r="AF23" s="534"/>
      <c r="AG23" s="412"/>
      <c r="AH23" s="412"/>
      <c r="AI23" s="533"/>
      <c r="AJ23" s="541">
        <f t="shared" si="8"/>
        <v>0</v>
      </c>
      <c r="AK23" s="534">
        <f>AP23/'Master P&amp;L'!$AD$7*10000</f>
        <v>-4.3778303721907108E-2</v>
      </c>
      <c r="AL23" s="543">
        <f t="shared" si="9"/>
        <v>0</v>
      </c>
      <c r="AM23" s="543">
        <f t="shared" si="10"/>
        <v>489368</v>
      </c>
      <c r="AN23" s="534" cm="1">
        <f t="array" ref="AN23">_xll.BDP($B23&amp;" Equity","theta_mid_rt")</f>
        <v>-0.99771171808242798</v>
      </c>
      <c r="AO23" s="543">
        <f t="shared" si="11"/>
        <v>-997.71171808242798</v>
      </c>
      <c r="AP23" s="543">
        <f t="shared" si="12"/>
        <v>-10490.000000000002</v>
      </c>
      <c r="AQ23" s="123" t="str" cm="1">
        <f t="array" ref="AQ23">_xll.BDP($D23&amp;" Equity","EXPECTED_REPORT_DT")</f>
        <v>29/01/2026</v>
      </c>
      <c r="AR23" s="532" cm="1">
        <f t="array" ref="AR23">_xll.BDP($B23&amp;" Equity","GAMMA_LAST")</f>
        <v>1.2026E-2</v>
      </c>
      <c r="AS23" s="384">
        <f t="shared" si="13"/>
        <v>28799.989801130243</v>
      </c>
      <c r="AT23" s="384">
        <f t="shared" si="14"/>
        <v>143999.9490056512</v>
      </c>
      <c r="AU23" s="384" t="s">
        <v>151</v>
      </c>
      <c r="AV23" s="368" cm="1">
        <f t="array" ref="AV23">_xll.BDP($D23&amp;" Equity","EST_PE_NXT_YR")*(AA23/Z23)</f>
        <v>18.425765987288159</v>
      </c>
      <c r="AX23" s="543"/>
      <c r="AY23" s="543">
        <v>55.26</v>
      </c>
      <c r="AZ23" s="531"/>
      <c r="BA23" s="543">
        <f t="shared" si="15"/>
        <v>55.26</v>
      </c>
      <c r="BB23" s="530">
        <f t="shared" si="16"/>
        <v>65.75</v>
      </c>
      <c r="BC23" s="530">
        <f t="shared" si="17"/>
        <v>10490.000000000002</v>
      </c>
      <c r="BD23" s="530">
        <f>BC23/'Master P&amp;L'!$AD$7*10000</f>
        <v>4.3778303721907108E-2</v>
      </c>
    </row>
    <row r="24" spans="1:56" s="384" customFormat="1">
      <c r="A24" s="544" t="s">
        <v>1770</v>
      </c>
      <c r="B24" s="384" t="s">
        <v>2351</v>
      </c>
      <c r="C24" s="384" t="str" cm="1">
        <f t="array" ref="C24">_xll.BDP($B24&amp;" Equity","opt_put_call")</f>
        <v>Call</v>
      </c>
      <c r="D24" s="384" t="str" cm="1">
        <f t="array" ref="D24">_xll.BDP(B24&amp;" Equity","OPT_UNDL_TICKER")</f>
        <v>SNDK US</v>
      </c>
      <c r="E24" s="384" t="str" cm="1">
        <f t="array" ref="E24">_xll.BDP($B24&amp;" Equity","mifid_Maturity_date")</f>
        <v>20/02/2026</v>
      </c>
      <c r="F24" s="384" cm="1">
        <f t="array" ref="F24">_xll.BDP($B24&amp;" Equity","opt_days_expire")</f>
        <v>29</v>
      </c>
      <c r="G24" s="384" t="str" cm="1">
        <f t="array" ref="G24">_xll.BDP(B24&amp;" Equity","QUOTED_CURRENCY_REALTIME")</f>
        <v>USD</v>
      </c>
      <c r="H24" s="543">
        <v>15</v>
      </c>
      <c r="I24" s="542">
        <v>37.840000000000003</v>
      </c>
      <c r="J24" s="123"/>
      <c r="K24" s="123">
        <v>37.840000000000003</v>
      </c>
      <c r="L24" s="123" cm="1">
        <f t="array" ref="L24">_xll.BDP($B24&amp;" Equity","mid")</f>
        <v>37.75</v>
      </c>
      <c r="M24" s="412">
        <f t="shared" ref="M24" si="49">L24/Z24</f>
        <v>7.7140311585555246E-2</v>
      </c>
      <c r="N24" s="541"/>
      <c r="O24" s="412">
        <f t="shared" ref="O24" si="50">L24/K24-1</f>
        <v>-2.3784355179704564E-3</v>
      </c>
      <c r="P24" s="123" cm="1">
        <f t="array" ref="P24">_xll.BDP($B24&amp;" Equity","bid")</f>
        <v>36.4</v>
      </c>
      <c r="Q24" s="123" cm="1">
        <f t="array" ref="Q24">_xll.BDP($B24&amp;" Equity","ask")</f>
        <v>39.1</v>
      </c>
      <c r="R24" s="540">
        <f t="shared" ref="R24" si="51">(Q24/P24-1)</f>
        <v>7.4175824175824356E-2</v>
      </c>
      <c r="S24" s="123" cm="1">
        <f t="array" ref="S24">_xll.BDP(G24&amp;" Curncy","PX_LAST")</f>
        <v>1</v>
      </c>
      <c r="T24" s="543" cm="1">
        <f t="array" ref="T24">_xll.BDP(B24&amp;" Equity","OPT_MULTIPLIER")</f>
        <v>100</v>
      </c>
      <c r="U24" s="543">
        <f t="shared" ref="U24" si="52">(L24/S24)*H24*T24</f>
        <v>56625</v>
      </c>
      <c r="V24" s="539">
        <f>U24/'Master P&amp;L'!$AD$7*10000</f>
        <v>0.23631520002411721</v>
      </c>
      <c r="W24" s="539">
        <f>(Y24*H24*T24/S24)/'Master P&amp;L'!$AD$7*10000</f>
        <v>0.23631520002411721</v>
      </c>
      <c r="X24" s="538">
        <f t="shared" ref="X24" si="53">IF(C24="Put",IF(Z24&lt;AA24,AA24-Z24,0),IF(Z24&gt;AA24,Z24-AA24,0))</f>
        <v>0</v>
      </c>
      <c r="Y24" s="537">
        <f t="shared" ref="Y24" si="54">L24-X24</f>
        <v>37.75</v>
      </c>
      <c r="Z24" s="536">
        <f>_xll.BDP(D24&amp;" Equity","LAST_PRICE")</f>
        <v>489.36799999999999</v>
      </c>
      <c r="AA24" s="536" cm="1">
        <f t="array" ref="AA24">_xll.BDP(B24&amp;" Equity","OPT_STRIKE_PX")</f>
        <v>550</v>
      </c>
      <c r="AB24" s="540">
        <f t="shared" ref="AB24" si="55">AA24/Z24-1</f>
        <v>0.12389857939219562</v>
      </c>
      <c r="AC24" s="535" cm="1">
        <f t="array" ref="AC24">_xll.BDP($D24&amp;" Equity","volatility_10d")</f>
        <v>92.926661795553755</v>
      </c>
      <c r="AD24" s="536" cm="1">
        <f t="array" ref="AD24">_xll.BDP(B24&amp;" Equity","ivol_mid")</f>
        <v>106.8613</v>
      </c>
      <c r="AE24" s="536">
        <f t="shared" ref="AE24" si="56">AD24/AC24</f>
        <v>1.1499530698208398</v>
      </c>
      <c r="AF24" s="534" cm="1">
        <f t="array" ref="AF24">_xll.BDP(B24&amp;" Equity","DELTA_MID_RT")</f>
        <v>0.41377896070480347</v>
      </c>
      <c r="AG24" s="412">
        <f>AL24/'Master P&amp;L'!$AE$7</f>
        <v>1.2675896150131312E-4</v>
      </c>
      <c r="AH24" s="412">
        <f>AM24/'Master P&amp;L'!$AE$7</f>
        <v>3.0634462729907868E-4</v>
      </c>
      <c r="AI24" s="533">
        <f>AO24/'Master P&amp;L'!$AD$7*10000</f>
        <v>-6.1862074392227927E-3</v>
      </c>
      <c r="AJ24" s="541">
        <f t="shared" si="8"/>
        <v>0.11229778169518051</v>
      </c>
      <c r="AK24" s="534">
        <f>AP24/'Master P&amp;L'!$AD$7*10000</f>
        <v>-5.6340047687871136E-4</v>
      </c>
      <c r="AL24" s="543">
        <f t="shared" ref="AL24" si="57">Z24*AF24*H24*T24/S24</f>
        <v>303735.27366328239</v>
      </c>
      <c r="AM24" s="543">
        <f t="shared" ref="AM24" si="58">IF(C24="Put",-Z24*H24*T24/S24,Z24*H24*T24/S24)</f>
        <v>734052</v>
      </c>
      <c r="AN24" s="534" cm="1">
        <f t="array" ref="AN24">_xll.BDP($B24&amp;" Equity","theta_mid_rt")</f>
        <v>-0.98821121454238892</v>
      </c>
      <c r="AO24" s="543">
        <f t="shared" ref="AO24" si="59">AN24*H24*T24/S24</f>
        <v>-1482.3168218135834</v>
      </c>
      <c r="AP24" s="543">
        <f t="shared" ref="AP24" si="60">(L24-K24)*T24/S24*H24</f>
        <v>-135.00000000000512</v>
      </c>
      <c r="AQ24" s="123" t="str" cm="1">
        <f t="array" ref="AQ24">_xll.BDP($D24&amp;" Equity","EXPECTED_REPORT_DT")</f>
        <v>29/01/2026</v>
      </c>
      <c r="AR24" s="532" cm="1">
        <f t="array" ref="AR24">_xll.BDP($B24&amp;" Equity","GAMMA_LAST")</f>
        <v>1.2529999999999999E-2</v>
      </c>
      <c r="AS24" s="384">
        <f t="shared" si="13"/>
        <v>45010.461359740802</v>
      </c>
      <c r="AT24" s="384">
        <f t="shared" si="14"/>
        <v>225052.30679870403</v>
      </c>
      <c r="AU24" s="384" t="s">
        <v>151</v>
      </c>
      <c r="AV24" s="368" cm="1">
        <f t="array" ref="AV24">_xll.BDP($D24&amp;" Equity","EST_PE_NXT_YR")*(AA24/Z24)</f>
        <v>20.268342586016974</v>
      </c>
      <c r="AX24" s="543"/>
      <c r="AY24" s="543">
        <v>36.9</v>
      </c>
      <c r="AZ24" s="531"/>
      <c r="BA24" s="543">
        <f t="shared" ref="BA24" si="61">+AY24</f>
        <v>36.9</v>
      </c>
      <c r="BB24" s="530">
        <f t="shared" ref="BB24" si="62">+J24</f>
        <v>0</v>
      </c>
      <c r="BC24" s="530">
        <f t="shared" ref="BC24" si="63">(BB24-BA24)*H24*100</f>
        <v>-55350</v>
      </c>
      <c r="BD24" s="530">
        <f>BC24/'Master P&amp;L'!$AD$7*10000</f>
        <v>-0.23099419552026293</v>
      </c>
    </row>
    <row r="25" spans="1:56">
      <c r="A25" s="335"/>
      <c r="B25" s="73" t="s">
        <v>2261</v>
      </c>
      <c r="C25" s="73" t="str" cm="1">
        <f t="array" ref="C25">_xll.BDP($B25&amp;" Equity","opt_put_call")</f>
        <v>Call</v>
      </c>
      <c r="D25" s="73" t="str" cm="1">
        <f t="array" ref="D25">_xll.BDP(B25&amp;" Equity","OPT_UNDL_TICKER")</f>
        <v>TSM US</v>
      </c>
      <c r="E25" s="73" t="str" cm="1">
        <f t="array" ref="E25">_xll.BDP($B25&amp;" Equity","mifid_Maturity_date")</f>
        <v>18/06/2026</v>
      </c>
      <c r="F25" s="73" cm="1">
        <f t="array" ref="F25">_xll.BDP($B25&amp;" Equity","opt_days_expire")</f>
        <v>147</v>
      </c>
      <c r="G25" s="73" t="str" cm="1">
        <f t="array" ref="G25">_xll.BDP(B25&amp;" Equity","QUOTED_CURRENCY_REALTIME")</f>
        <v>USD</v>
      </c>
      <c r="H25" s="42">
        <v>1250</v>
      </c>
      <c r="I25" s="409">
        <v>34.799999999999997</v>
      </c>
      <c r="J25" s="415">
        <f>VLOOKUP(B25,Precificação!$B:$O,14,FALSE)</f>
        <v>28.324999999999999</v>
      </c>
      <c r="K25" s="74">
        <f t="shared" si="33"/>
        <v>28.324999999999999</v>
      </c>
      <c r="L25" s="74" cm="1">
        <f t="array" ref="L25">_xll.BDP($B25&amp;" Equity","mid")</f>
        <v>31.1</v>
      </c>
      <c r="M25" s="75">
        <f t="shared" si="0"/>
        <v>9.3550715918662014E-2</v>
      </c>
      <c r="N25" s="352"/>
      <c r="O25" s="75">
        <f t="shared" si="1"/>
        <v>9.7969991173874726E-2</v>
      </c>
      <c r="P25" s="74" cm="1">
        <f t="array" ref="P25">_xll.BDP($B25&amp;" Equity","bid")</f>
        <v>30.8</v>
      </c>
      <c r="Q25" s="74" cm="1">
        <f t="array" ref="Q25">_xll.BDP($B25&amp;" Equity","ask")</f>
        <v>31.4</v>
      </c>
      <c r="R25" s="76">
        <f t="shared" si="2"/>
        <v>1.9480519480519431E-2</v>
      </c>
      <c r="S25" s="36" cm="1">
        <f t="array" ref="S25">_xll.BDP(G25&amp;" Curncy","PX_LAST")</f>
        <v>1</v>
      </c>
      <c r="T25" s="42" cm="1">
        <f t="array" ref="T25">_xll.BDP(B25&amp;" Equity","OPT_MULTIPLIER")</f>
        <v>100</v>
      </c>
      <c r="U25" s="42">
        <f t="shared" si="3"/>
        <v>3887500</v>
      </c>
      <c r="V25" s="113">
        <f>U25/'Master P&amp;L'!$AD$7*10000</f>
        <v>16.22384706567339</v>
      </c>
      <c r="W25" s="113">
        <f>(Y25*H25*T25/S25)/'Master P&amp;L'!$AD$7*10000</f>
        <v>16.22384706567339</v>
      </c>
      <c r="X25" s="118">
        <f t="shared" si="4"/>
        <v>0</v>
      </c>
      <c r="Y25" s="272">
        <f t="shared" si="5"/>
        <v>31.1</v>
      </c>
      <c r="Z25" s="77">
        <f>_xll.BDP(D25&amp;" Equity","LAST_PRICE")</f>
        <v>332.44</v>
      </c>
      <c r="AA25" s="77" cm="1">
        <f t="array" ref="AA25">_xll.BDP(B25&amp;" Equity","OPT_STRIKE_PX")</f>
        <v>340</v>
      </c>
      <c r="AB25" s="76">
        <f t="shared" si="6"/>
        <v>2.2740945734568641E-2</v>
      </c>
      <c r="AC25" s="323" cm="1">
        <f t="array" ref="AC25">_xll.BDP($D25&amp;" Equity","volatility_10d")</f>
        <v>40.328086282921802</v>
      </c>
      <c r="AD25" s="77" cm="1">
        <f t="array" ref="AD25">_xll.BDP(B25&amp;" Equity","ivol_mid")</f>
        <v>38.8003</v>
      </c>
      <c r="AE25" s="77">
        <f t="shared" si="7"/>
        <v>0.96211607284799949</v>
      </c>
      <c r="AF25" s="78" cm="1">
        <f t="array" ref="AF25">_xll.BDP(B25&amp;" Equity","DELTA_MID_RT")</f>
        <v>0.53360068798065186</v>
      </c>
      <c r="AG25" s="75">
        <f>AL25/'Master P&amp;L'!$AE$7</f>
        <v>9.2538639292328948E-3</v>
      </c>
      <c r="AH25" s="75">
        <f>AM25/'Master P&amp;L'!$AE$7</f>
        <v>1.7342301345699234E-2</v>
      </c>
      <c r="AI25" s="436">
        <f>AO25/'Master P&amp;L'!$AD$7*10000</f>
        <v>-5.5786972376641049E-2</v>
      </c>
      <c r="AJ25" s="350">
        <f t="shared" si="8"/>
        <v>1.0126969240744015</v>
      </c>
      <c r="AK25" s="78">
        <f>AP25/'Master P&amp;L'!$AD$7*10000</f>
        <v>1.4476262253133019</v>
      </c>
      <c r="AL25" s="42">
        <f t="shared" si="9"/>
        <v>22173776.589035988</v>
      </c>
      <c r="AM25" s="42">
        <f t="shared" si="10"/>
        <v>41555000</v>
      </c>
      <c r="AN25" s="78" cm="1">
        <f t="array" ref="AN25">_xll.BDP($B25&amp;" Equity","theta_mid_rt")</f>
        <v>-0.10693979263305664</v>
      </c>
      <c r="AO25" s="42">
        <f t="shared" si="11"/>
        <v>-13367.47407913208</v>
      </c>
      <c r="AP25" s="42">
        <f t="shared" si="12"/>
        <v>346875.00000000029</v>
      </c>
      <c r="AQ25" s="74" t="str" cm="1">
        <f t="array" ref="AQ25">_xll.BDP($D25&amp;" Equity","EXPECTED_REPORT_DT")</f>
        <v>17/04/2026</v>
      </c>
      <c r="AR25" s="235" cm="1">
        <f t="array" ref="AR25">_xll.BDP($B25&amp;" Equity","GAMMA_LAST")</f>
        <v>1.5966999999999999E-2</v>
      </c>
      <c r="AS25" s="73">
        <f t="shared" si="13"/>
        <v>2205768.2724139998</v>
      </c>
      <c r="AT25" s="73">
        <f t="shared" si="14"/>
        <v>11028841.362069998</v>
      </c>
      <c r="AU25" s="73" t="s">
        <v>151</v>
      </c>
      <c r="AV25" s="322" cm="1">
        <f t="array" ref="AV25">_xll.BDP($D25&amp;" Equity","EST_PE_NXT_YR")*(AA25/Z25)</f>
        <v>20.126076895385292</v>
      </c>
      <c r="AW25" s="73"/>
      <c r="AX25" s="42"/>
      <c r="AY25" s="42">
        <v>29.82</v>
      </c>
      <c r="AZ25" s="354"/>
      <c r="BA25" s="42">
        <f t="shared" si="15"/>
        <v>29.82</v>
      </c>
      <c r="BB25" s="346">
        <f t="shared" si="16"/>
        <v>28.324999999999999</v>
      </c>
      <c r="BC25" s="346">
        <f t="shared" si="17"/>
        <v>-186875.00000000012</v>
      </c>
      <c r="BD25" s="346">
        <f>BC25/'Master P&amp;L'!$AD$7*10000</f>
        <v>-0.77989232679040943</v>
      </c>
    </row>
    <row r="26" spans="1:56" s="59" customFormat="1">
      <c r="A26" s="356"/>
      <c r="B26" t="s">
        <v>2262</v>
      </c>
      <c r="C26" t="str" cm="1">
        <f t="array" ref="C26">_xll.BDP($B26&amp;" Equity","opt_put_call")</f>
        <v>Call</v>
      </c>
      <c r="D26" t="str" cm="1">
        <f t="array" ref="D26">_xll.BDP(B26&amp;" Equity","OPT_UNDL_TICKER")</f>
        <v>TSM US</v>
      </c>
      <c r="E26" t="str" cm="1">
        <f t="array" ref="E26">_xll.BDP($B26&amp;" Equity","mifid_Maturity_date")</f>
        <v>18/06/2026</v>
      </c>
      <c r="F26" cm="1">
        <f t="array" ref="F26">_xll.BDP($B26&amp;" Equity","opt_days_expire")</f>
        <v>147</v>
      </c>
      <c r="G26" t="str" cm="1">
        <f t="array" ref="G26">_xll.BDP(B26&amp;" Equity","QUOTED_CURRENCY_REALTIME")</f>
        <v>USD</v>
      </c>
      <c r="H26" s="15">
        <v>-1200</v>
      </c>
      <c r="I26" s="410">
        <v>20.07</v>
      </c>
      <c r="J26" s="415">
        <f>VLOOKUP(B26,Precificação!$B:$O,14,FALSE)</f>
        <v>15.825000000000001</v>
      </c>
      <c r="K26" s="74">
        <f t="shared" si="33"/>
        <v>15.825000000000001</v>
      </c>
      <c r="L26" s="74" cm="1">
        <f t="array" ref="L26">_xll.BDP($B26&amp;" Equity","mid")</f>
        <v>17.079999999999998</v>
      </c>
      <c r="M26" s="19">
        <f t="shared" si="0"/>
        <v>5.1377692215136564E-2</v>
      </c>
      <c r="N26" s="350"/>
      <c r="O26" s="19">
        <f t="shared" si="1"/>
        <v>7.9304897314375733E-2</v>
      </c>
      <c r="P26" s="36" cm="1">
        <f t="array" ref="P26">_xll.BDP($B26&amp;" Equity","bid")</f>
        <v>16.55</v>
      </c>
      <c r="Q26" s="36" cm="1">
        <f t="array" ref="Q26">_xll.BDP($B26&amp;" Equity","ask")</f>
        <v>17.600000000000001</v>
      </c>
      <c r="R26" s="40">
        <f t="shared" si="2"/>
        <v>6.3444108761329332E-2</v>
      </c>
      <c r="S26" s="36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 t="shared" si="3"/>
        <v>-2049599.9999999995</v>
      </c>
      <c r="V26" s="124">
        <f>U26/'Master P&amp;L'!$AD$7*10000</f>
        <v>-8.5536712400782431</v>
      </c>
      <c r="W26" s="124">
        <f>(Y26*H26*T26/S26)/'Master P&amp;L'!$AD$7*10000</f>
        <v>-8.5536712400782431</v>
      </c>
      <c r="X26" s="413">
        <f t="shared" si="4"/>
        <v>0</v>
      </c>
      <c r="Y26" s="273">
        <f t="shared" si="5"/>
        <v>17.079999999999998</v>
      </c>
      <c r="Z26" s="37">
        <f>_xll.BDP(D26&amp;" Equity","LAST_PRICE")</f>
        <v>332.44</v>
      </c>
      <c r="AA26" s="37" cm="1">
        <f t="array" ref="AA26">_xll.BDP(B26&amp;" Equity","OPT_STRIKE_PX")</f>
        <v>380</v>
      </c>
      <c r="AB26" s="40">
        <f t="shared" si="6"/>
        <v>0.14306340993863564</v>
      </c>
      <c r="AC26" s="324" cm="1">
        <f t="array" ref="AC26">_xll.BDP($D26&amp;" Equity","volatility_10d")</f>
        <v>40.328086282921802</v>
      </c>
      <c r="AD26" s="37" cm="1">
        <f t="array" ref="AD26">_xll.BDP(B26&amp;" Equity","ivol_mid")</f>
        <v>39.133879999999998</v>
      </c>
      <c r="AE26" s="37">
        <f t="shared" si="7"/>
        <v>0.97038772743779989</v>
      </c>
      <c r="AF26" s="38" cm="1">
        <f t="array" ref="AF26">_xll.BDP(B26&amp;" Equity","DELTA_MID_RT")</f>
        <v>0.35523086786270142</v>
      </c>
      <c r="AG26" s="19">
        <f>AL26/'Master P&amp;L'!$AE$7</f>
        <v>-5.9140999274584641E-3</v>
      </c>
      <c r="AH26" s="19">
        <f>AM26/'Master P&amp;L'!$AE$7</f>
        <v>-1.6648609291871265E-2</v>
      </c>
      <c r="AI26" s="435">
        <f>AO26/'Master P&amp;L'!$AD$7*10000</f>
        <v>5.0263773809800606E-2</v>
      </c>
      <c r="AJ26" s="350">
        <f t="shared" si="8"/>
        <v>-0.91243469507354114</v>
      </c>
      <c r="AK26" s="38">
        <f>AP26/'Master P&amp;L'!$AD$7*10000</f>
        <v>-0.6285045319846706</v>
      </c>
      <c r="AL26" s="15">
        <f t="shared" si="9"/>
        <v>-14171153.965473175</v>
      </c>
      <c r="AM26" s="15">
        <f t="shared" si="10"/>
        <v>-39892800</v>
      </c>
      <c r="AN26" s="38" cm="1">
        <f t="array" ref="AN26">_xll.BDP($B26&amp;" Equity","theta_mid_rt")</f>
        <v>-0.10036687552928925</v>
      </c>
      <c r="AO26" s="15">
        <f t="shared" si="11"/>
        <v>12044.025063514709</v>
      </c>
      <c r="AP26" s="15">
        <f t="shared" si="12"/>
        <v>-150599.99999999965</v>
      </c>
      <c r="AQ26" s="36" t="str" cm="1">
        <f t="array" ref="AQ26">_xll.BDP($D26&amp;" Equity","EXPECTED_REPORT_DT")</f>
        <v>17/04/2026</v>
      </c>
      <c r="AR26" s="66" cm="1">
        <f t="array" ref="AR26">_xll.BDP($B26&amp;" Equity","GAMMA_LAST")</f>
        <v>1.4892000000000001E-2</v>
      </c>
      <c r="AS26">
        <f t="shared" si="13"/>
        <v>-1974971.4453734404</v>
      </c>
      <c r="AT26">
        <f t="shared" si="14"/>
        <v>-9874857.2268672008</v>
      </c>
      <c r="AU26" t="s">
        <v>151</v>
      </c>
      <c r="AV26" s="277" cm="1">
        <f t="array" ref="AV26">_xll.BDP($D26&amp;" Equity","EST_PE_NXT_YR")*(AA26/Z26)</f>
        <v>22.493850647783564</v>
      </c>
      <c r="AW26"/>
      <c r="AX26" s="15"/>
      <c r="AY26" s="15">
        <v>16.149999999999999</v>
      </c>
      <c r="AZ26" s="355"/>
      <c r="BA26" s="15">
        <f t="shared" si="15"/>
        <v>16.149999999999999</v>
      </c>
      <c r="BB26" s="414">
        <f t="shared" si="16"/>
        <v>15.825000000000001</v>
      </c>
      <c r="BC26" s="414">
        <f t="shared" si="17"/>
        <v>38999.999999999702</v>
      </c>
      <c r="BD26" s="414">
        <f>BC26/'Master P&amp;L'!$AD$7*10000</f>
        <v>0.16276013776495363</v>
      </c>
    </row>
    <row r="27" spans="1:56" s="482" customFormat="1">
      <c r="A27" s="335"/>
      <c r="B27" s="73" t="s">
        <v>2108</v>
      </c>
      <c r="C27" s="73" t="str" cm="1">
        <f t="array" ref="C27">_xll.BDP($B27&amp;" Equity","opt_put_call")</f>
        <v>Call</v>
      </c>
      <c r="D27" s="73" t="str" cm="1">
        <f t="array" ref="D27">_xll.BDP(B27&amp;" Equity","OPT_UNDL_TICKER")</f>
        <v>TSM US</v>
      </c>
      <c r="E27" s="73" t="str" cm="1">
        <f t="array" ref="E27">_xll.BDP($B27&amp;" Equity","mifid_Maturity_date")</f>
        <v>20/03/2026</v>
      </c>
      <c r="F27" s="73" cm="1">
        <f t="array" ref="F27">_xll.BDP($B27&amp;" Equity","opt_days_expire")</f>
        <v>57</v>
      </c>
      <c r="G27" s="73" t="str" cm="1">
        <f t="array" ref="G27">_xll.BDP(B27&amp;" Equity","QUOTED_CURRENCY_REALTIME")</f>
        <v>USD</v>
      </c>
      <c r="H27" s="42">
        <v>50</v>
      </c>
      <c r="I27" s="409">
        <v>18</v>
      </c>
      <c r="J27" s="415">
        <f>VLOOKUP(B27,Precificação!$B:$O,14,FALSE)</f>
        <v>36.049999999999997</v>
      </c>
      <c r="K27" s="74">
        <f t="shared" si="33"/>
        <v>36.049999999999997</v>
      </c>
      <c r="L27" s="74" cm="1">
        <f t="array" ref="L27">_xll.BDP($B27&amp;" Equity","mid")</f>
        <v>41.1</v>
      </c>
      <c r="M27" s="75">
        <f t="shared" si="0"/>
        <v>0.12363133196967875</v>
      </c>
      <c r="N27" s="352"/>
      <c r="O27" s="75">
        <f t="shared" si="1"/>
        <v>0.14008321775312083</v>
      </c>
      <c r="P27" s="74" cm="1">
        <f t="array" ref="P27">_xll.BDP($B27&amp;" Equity","bid")</f>
        <v>39.9</v>
      </c>
      <c r="Q27" s="74" cm="1">
        <f t="array" ref="Q27">_xll.BDP($B27&amp;" Equity","ask")</f>
        <v>42.3</v>
      </c>
      <c r="R27" s="76">
        <f t="shared" si="2"/>
        <v>6.0150375939849621E-2</v>
      </c>
      <c r="S27" s="36" cm="1">
        <f t="array" ref="S27">_xll.BDP(G27&amp;" Curncy","PX_LAST")</f>
        <v>1</v>
      </c>
      <c r="T27" s="42" cm="1">
        <f t="array" ref="T27">_xll.BDP(B27&amp;" Equity","OPT_MULTIPLIER")</f>
        <v>100</v>
      </c>
      <c r="U27" s="42">
        <f t="shared" si="3"/>
        <v>205500</v>
      </c>
      <c r="V27" s="113">
        <f>U27/'Master P&amp;L'!$AD$7*10000</f>
        <v>0.85762072591533922</v>
      </c>
      <c r="W27" s="113">
        <f>(Y27*H27*T27/S27)/'Master P&amp;L'!$AD$7*10000</f>
        <v>0.18070548628775771</v>
      </c>
      <c r="X27" s="118">
        <f t="shared" si="4"/>
        <v>32.44</v>
      </c>
      <c r="Y27" s="272">
        <f t="shared" si="5"/>
        <v>8.6600000000000037</v>
      </c>
      <c r="Z27" s="77">
        <f>_xll.BDP(D27&amp;" Equity","LAST_PRICE")</f>
        <v>332.44</v>
      </c>
      <c r="AA27" s="77" cm="1">
        <f t="array" ref="AA27">_xll.BDP(B27&amp;" Equity","OPT_STRIKE_PX")</f>
        <v>300</v>
      </c>
      <c r="AB27" s="76">
        <f t="shared" si="6"/>
        <v>-9.7581518469498252E-2</v>
      </c>
      <c r="AC27" s="323" cm="1">
        <f t="array" ref="AC27">_xll.BDP($D27&amp;" Equity","volatility_10d")</f>
        <v>40.328086282921802</v>
      </c>
      <c r="AD27" s="77" cm="1">
        <f t="array" ref="AD27">_xll.BDP(B27&amp;" Equity","ivol_mid")</f>
        <v>37.776910000000001</v>
      </c>
      <c r="AE27" s="77">
        <f t="shared" si="7"/>
        <v>0.93673946576527289</v>
      </c>
      <c r="AF27" s="78" cm="1">
        <f t="array" ref="AF27">_xll.BDP(B27&amp;" Equity","DELTA_MID_RT")</f>
        <v>0.77912956476211548</v>
      </c>
      <c r="AG27" s="75">
        <f>AL27/'Master P&amp;L'!$AE$7</f>
        <v>5.4047598797792376E-4</v>
      </c>
      <c r="AH27" s="75">
        <f>AM27/'Master P&amp;L'!$AE$7</f>
        <v>6.936920538279693E-4</v>
      </c>
      <c r="AI27" s="436">
        <f>AO27/'Master P&amp;L'!$AD$7*10000</f>
        <v>-2.998597649669778E-3</v>
      </c>
      <c r="AJ27" s="350">
        <f t="shared" si="8"/>
        <v>5.4433328911551025E-2</v>
      </c>
      <c r="AK27" s="78">
        <f>AP27/'Master P&amp;L'!$AD$7*10000</f>
        <v>0.10537675586064398</v>
      </c>
      <c r="AL27" s="42">
        <f t="shared" si="9"/>
        <v>1295069.1625475883</v>
      </c>
      <c r="AM27" s="42">
        <f t="shared" si="10"/>
        <v>1662200</v>
      </c>
      <c r="AN27" s="78" cm="1">
        <f t="array" ref="AN27">_xll.BDP($B27&amp;" Equity","theta_mid_rt")</f>
        <v>-0.14370264112949371</v>
      </c>
      <c r="AO27" s="42">
        <f t="shared" si="11"/>
        <v>-718.51320564746857</v>
      </c>
      <c r="AP27" s="42">
        <f t="shared" si="12"/>
        <v>25250.000000000022</v>
      </c>
      <c r="AQ27" s="74" t="str" cm="1">
        <f t="array" ref="AQ27">_xll.BDP($D27&amp;" Equity","EXPECTED_REPORT_DT")</f>
        <v>17/04/2026</v>
      </c>
      <c r="AR27" s="235" cm="1">
        <f t="array" ref="AR27">_xll.BDP($B27&amp;" Equity","GAMMA_LAST")</f>
        <v>2.0684000000000001E-2</v>
      </c>
      <c r="AS27" s="73">
        <f t="shared" si="13"/>
        <v>114296.01289312</v>
      </c>
      <c r="AT27" s="73">
        <f t="shared" si="14"/>
        <v>571480.06446560007</v>
      </c>
      <c r="AU27" s="73" t="s">
        <v>151</v>
      </c>
      <c r="AV27" s="322" cm="1">
        <f t="array" ref="AV27">_xll.BDP($D27&amp;" Equity","EST_PE_NXT_YR")*(AA27/Z27)</f>
        <v>17.758303142987021</v>
      </c>
      <c r="AW27" s="73"/>
      <c r="AX27" s="42"/>
      <c r="AY27" s="42">
        <v>38.9</v>
      </c>
      <c r="AZ27" s="354"/>
      <c r="BA27" s="42">
        <f t="shared" si="15"/>
        <v>38.9</v>
      </c>
      <c r="BB27" s="346">
        <f t="shared" si="16"/>
        <v>36.049999999999997</v>
      </c>
      <c r="BC27" s="346">
        <f t="shared" si="17"/>
        <v>-14250.000000000005</v>
      </c>
      <c r="BD27" s="346">
        <f>BC27/'Master P&amp;L'!$AD$7*10000</f>
        <v>-5.9470050337195088E-2</v>
      </c>
    </row>
    <row r="28" spans="1:56">
      <c r="H28" s="336"/>
      <c r="I28" s="218"/>
      <c r="J28" s="218"/>
      <c r="K28" s="218"/>
      <c r="L28" s="218"/>
      <c r="AZ28">
        <v>-59.569999999999993</v>
      </c>
    </row>
    <row r="29" spans="1:56">
      <c r="I29" s="64"/>
      <c r="J29" s="64"/>
      <c r="K29" s="64"/>
      <c r="L29" s="64"/>
      <c r="AZ29">
        <v>18.100000000000001</v>
      </c>
    </row>
    <row r="30" spans="1:56">
      <c r="I30" s="64"/>
      <c r="J30" s="64"/>
      <c r="K30" s="64"/>
      <c r="L30" s="64"/>
      <c r="AY30" t="e">
        <v>#REF!</v>
      </c>
      <c r="AZ30">
        <v>-62.749999999999993</v>
      </c>
    </row>
    <row r="31" spans="1:56">
      <c r="I31" s="218"/>
      <c r="J31" s="218"/>
      <c r="K31" s="218"/>
      <c r="L31" s="218"/>
      <c r="AZ31">
        <v>-0.52999999999999936</v>
      </c>
    </row>
    <row r="32" spans="1:56">
      <c r="I32" s="218"/>
      <c r="J32" s="218"/>
      <c r="K32" s="218"/>
      <c r="L32" s="218"/>
      <c r="AZ32" t="e">
        <v>#REF!</v>
      </c>
    </row>
    <row r="34" spans="8:10">
      <c r="H34" s="404">
        <v>300</v>
      </c>
      <c r="I34" s="411">
        <v>30.39</v>
      </c>
      <c r="J34" s="407">
        <f>H34*I34</f>
        <v>9117</v>
      </c>
    </row>
    <row r="35" spans="8:10">
      <c r="H35" s="404">
        <v>-300</v>
      </c>
      <c r="I35" s="411">
        <v>16.899999999999999</v>
      </c>
      <c r="J35" s="407">
        <f t="shared" ref="J35:J41" si="64">H35*I35</f>
        <v>-5070</v>
      </c>
    </row>
    <row r="36" spans="8:10">
      <c r="H36" s="42"/>
      <c r="I36" s="409"/>
      <c r="J36" s="407">
        <f t="shared" si="64"/>
        <v>0</v>
      </c>
    </row>
    <row r="37" spans="8:10">
      <c r="H37" s="404"/>
      <c r="I37" s="405"/>
      <c r="J37" s="407">
        <f t="shared" si="64"/>
        <v>0</v>
      </c>
    </row>
    <row r="38" spans="8:10">
      <c r="H38" s="42">
        <v>950</v>
      </c>
      <c r="I38" s="409">
        <v>36.18</v>
      </c>
      <c r="J38" s="407">
        <f t="shared" si="64"/>
        <v>34371</v>
      </c>
    </row>
    <row r="39" spans="8:10">
      <c r="H39" s="15">
        <v>-900</v>
      </c>
      <c r="I39" s="410">
        <v>21.12</v>
      </c>
      <c r="J39" s="407">
        <f t="shared" si="64"/>
        <v>-19008</v>
      </c>
    </row>
    <row r="40" spans="8:10">
      <c r="H40" s="404"/>
      <c r="I40" s="411"/>
      <c r="J40" s="407">
        <f t="shared" si="64"/>
        <v>0</v>
      </c>
    </row>
    <row r="41" spans="8:10">
      <c r="H41" s="348"/>
      <c r="I41" s="406"/>
      <c r="J41" s="407">
        <f t="shared" si="64"/>
        <v>0</v>
      </c>
    </row>
    <row r="43" spans="8:10">
      <c r="H43" s="348">
        <f>H34+H38</f>
        <v>1250</v>
      </c>
      <c r="I43" s="406">
        <f>J43/H43</f>
        <v>34.790399999999998</v>
      </c>
      <c r="J43" s="408">
        <f>J34+J38</f>
        <v>43488</v>
      </c>
    </row>
    <row r="44" spans="8:10">
      <c r="H44" s="348">
        <f>H35+H39</f>
        <v>-1200</v>
      </c>
      <c r="I44" s="406">
        <f>J44/H44</f>
        <v>20.065000000000001</v>
      </c>
      <c r="J44" s="408">
        <f>J35+J39</f>
        <v>-24078</v>
      </c>
    </row>
    <row r="45" spans="8:10">
      <c r="H45" s="348">
        <f>H36+H40</f>
        <v>0</v>
      </c>
      <c r="I45" s="406" t="e">
        <f>J45/H45</f>
        <v>#DIV/0!</v>
      </c>
      <c r="J45" s="408">
        <f>J36+J40</f>
        <v>0</v>
      </c>
    </row>
    <row r="46" spans="8:10">
      <c r="H46" s="348">
        <f>H37+H41</f>
        <v>0</v>
      </c>
      <c r="I46" s="406" t="e">
        <f>J46/H46</f>
        <v>#DIV/0!</v>
      </c>
      <c r="J46" s="408">
        <f>J37+J41</f>
        <v>0</v>
      </c>
    </row>
  </sheetData>
  <autoFilter ref="A3:BD30" xr:uid="{0428720F-9028-4D6D-9843-ED7DFFC9E1CA}">
    <sortState xmlns:xlrd2="http://schemas.microsoft.com/office/spreadsheetml/2017/richdata2" ref="A4:BD30">
      <sortCondition ref="D3:D30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0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7" sqref="C27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-22.575000000000003</v>
      </c>
      <c r="P5" s="267"/>
      <c r="Q5">
        <f>Q9/Q15-1</f>
        <v>-0.85589225589225593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558" t="s">
        <v>2083</v>
      </c>
      <c r="C7" s="59" t="str" cm="1">
        <f t="array" ref="C7">_xll.BDP(B7&amp;" Equity","OPT_UNDL_TICKER")</f>
        <v>LITE US</v>
      </c>
      <c r="D7" s="59" t="str">
        <f>_xll.BDP($B7&amp;" Index","mifid_Maturity_date")</f>
        <v>20/02/2026</v>
      </c>
      <c r="E7" s="59">
        <f>_xll.BDP($B7&amp;" Index","opt_days_expire")</f>
        <v>29</v>
      </c>
      <c r="F7" s="59" t="str" cm="1">
        <f t="array" ref="F7">_xll.BDP(B7&amp;" Equity","QUOTED_CURRENCY_REALTIME")</f>
        <v>USD</v>
      </c>
      <c r="G7" s="105" t="s">
        <v>248</v>
      </c>
      <c r="H7" s="96">
        <v>60</v>
      </c>
      <c r="I7" s="97">
        <f>IF(G7="Buy",L7,K7)</f>
        <v>31.7</v>
      </c>
      <c r="J7" s="19">
        <f>I7/S7</f>
        <v>8.7868834282704811E-2</v>
      </c>
      <c r="K7" s="36" cm="1">
        <f t="array" ref="K7">_xll.BDP($B7&amp;" Equity","bid")</f>
        <v>31.7</v>
      </c>
      <c r="L7" s="36" cm="1">
        <f t="array" ref="L7">_xll.BDP($B7&amp;" Equity","ask")</f>
        <v>33.1</v>
      </c>
      <c r="M7" s="40">
        <f>(L7/K7-1)</f>
        <v>4.4164037854889759E-2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-190200</v>
      </c>
      <c r="Q7" s="58">
        <f>P7/'Master P&amp;L'!$AD$5*10000</f>
        <v>-0.84682560263569318</v>
      </c>
      <c r="R7" s="37" cm="1">
        <f t="array" ref="R7">_xll.BDP($C7&amp;" Equity","EST_PE_NXT_YR")*(T7/S7)</f>
        <v>44.640875876056327</v>
      </c>
      <c r="S7" s="36" cm="1">
        <f t="array" ref="S7">_xll.BDP(C7&amp;" Equity","LAST_PRICE")</f>
        <v>360.76499999999999</v>
      </c>
      <c r="T7" s="53" cm="1">
        <f t="array" ref="T7">_xll.BDP(B7&amp;" Equity","OPT_STRIKE_PX")</f>
        <v>400</v>
      </c>
      <c r="U7" s="40">
        <f>T7/S7-1</f>
        <v>0.10875500672182725</v>
      </c>
      <c r="V7" s="37" cm="1">
        <f t="array" ref="V7">_xll.BDP($B7&amp;" Equity","ivol_mid")</f>
        <v>113.798</v>
      </c>
      <c r="W7" s="38" cm="1">
        <f t="array" ref="W7">_xll.BDP(B7&amp;" Equity","DELTA_MID_RT")</f>
        <v>0.44355407357215881</v>
      </c>
      <c r="X7" s="48">
        <f>Y7/'Master P&amp;L'!$AE$5</f>
        <v>-4.2747004523330945E-4</v>
      </c>
      <c r="Y7" s="15">
        <f>IF(G7="Sell", S7*W7*-H7*O7/N7, S7*W7*H7*O7/N7)</f>
        <v>-960112.71211355925</v>
      </c>
      <c r="Z7" s="15">
        <f>_xll.BDP($B7&amp;" Equity","opt_theta")*H7*O7/N7</f>
        <v>-4980.09</v>
      </c>
      <c r="AA7" s="19">
        <f>_xll.BDP($B7&amp;" Equity","opt_theta")/I7</f>
        <v>-2.6183438485804414E-2</v>
      </c>
      <c r="AB7" s="36" t="str" cm="1">
        <f t="array" ref="AB7">_xll.BDP($C7&amp;" Equity","EXPECTED_REPORT_DT")</f>
        <v>03/02/2026</v>
      </c>
      <c r="AC7" s="15">
        <f>S7*H7*O7/N7</f>
        <v>2164590</v>
      </c>
      <c r="AD7" s="19">
        <f>AC7/'Master P&amp;L'!$AE$5</f>
        <v>9.6373829190809406E-4</v>
      </c>
      <c r="AE7" t="str">
        <f>B7  &amp; " - Buy to open " &amp;  "-" &amp; H7 &amp;"x"</f>
        <v>LITE US 02/20/26 C400 - Buy to open -60x</v>
      </c>
      <c r="AF7">
        <f>H7*$AF$3</f>
        <v>15</v>
      </c>
      <c r="AK7" t="s">
        <v>1841</v>
      </c>
      <c r="AO7" t="s">
        <v>151</v>
      </c>
    </row>
    <row r="8" spans="1:41">
      <c r="A8" s="98" t="s">
        <v>246</v>
      </c>
      <c r="B8" s="558" t="s">
        <v>2355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57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60</v>
      </c>
      <c r="I8" s="97">
        <f>IF(G8="Buy",L8,K8)</f>
        <v>42.4</v>
      </c>
      <c r="J8" s="19">
        <f>I8/S8</f>
        <v>0.11752803071251369</v>
      </c>
      <c r="K8" s="36" cm="1">
        <f t="array" ref="K8">_xll.BDP($B8&amp;" Equity","bid")</f>
        <v>39.5</v>
      </c>
      <c r="L8" s="36" cm="1">
        <f t="array" ref="L8">_xll.BDP($B8&amp;" Equity","ask")</f>
        <v>42.4</v>
      </c>
      <c r="M8" s="40">
        <f>(L8/K8-1)</f>
        <v>7.3417721518987289E-2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254400</v>
      </c>
      <c r="Q8" s="58">
        <f>P8/'Master P&amp;L'!$AD$5*10000</f>
        <v>1.1326626357019995</v>
      </c>
      <c r="R8" s="37" cm="1">
        <f t="array" ref="R8">_xll.BDP($C8&amp;" Equity","EST_PE_NXT_YR")*(T8/S8)</f>
        <v>46.872919669859144</v>
      </c>
      <c r="S8" s="36" cm="1">
        <f t="array" ref="S8">_xll.BDP(C8&amp;" Equity","LAST_PRICE")</f>
        <v>360.76499999999999</v>
      </c>
      <c r="T8" s="53" cm="1">
        <f t="array" ref="T8">_xll.BDP(B8&amp;" Equity","OPT_STRIKE_PX")</f>
        <v>420</v>
      </c>
      <c r="U8" s="40">
        <f>T8/S8-1</f>
        <v>0.16419275705791869</v>
      </c>
      <c r="V8" s="37" cm="1">
        <f t="array" ref="V8">_xll.BDP($B8&amp;" Equity","ivol_mid")</f>
        <v>106.7792</v>
      </c>
      <c r="W8" s="38" cm="1">
        <f t="array" ref="W8">_xll.BDP(B8&amp;" Equity","DELTA_MID_RT")</f>
        <v>0.44864070415496826</v>
      </c>
      <c r="X8" s="48">
        <f>Y8/'Master P&amp;L'!$AE$5</f>
        <v>4.3237222590275374E-4</v>
      </c>
      <c r="Y8" s="15">
        <f>IF(G8="Sell", S8*W8*-H8*O8/N8, S8*W8*H8*O8/N8)</f>
        <v>971123.18180680287</v>
      </c>
      <c r="Z8" s="15" cm="1">
        <f t="array" ref="Z8">_xll.BDP($B8&amp;" Equity","opt_theta")*H8*O8/N8</f>
        <v>-3236.3219999999997</v>
      </c>
      <c r="AA8" s="19" cm="1">
        <f t="array" ref="AA8">_xll.BDP($B8&amp;" Equity","opt_theta")/I8</f>
        <v>-1.2721391509433962E-2</v>
      </c>
      <c r="AB8" s="36" t="str" cm="1">
        <f t="array" ref="AB8">_xll.BDP($C8&amp;" Equity","EXPECTED_REPORT_DT")</f>
        <v>03/02/2026</v>
      </c>
      <c r="AC8" s="15">
        <f>S8*H8*O8/N8</f>
        <v>2164590</v>
      </c>
      <c r="AD8" s="19">
        <f>AC8/'Master P&amp;L'!$AE$5</f>
        <v>9.6373829190809406E-4</v>
      </c>
      <c r="AE8" t="str">
        <f>B8  &amp; " - Buy to open " &amp;  "-" &amp; H8 &amp;"x"</f>
        <v>LITE US 03/20/26 C420 - Buy to open -60x</v>
      </c>
      <c r="AF8">
        <f>H8*$AF$3</f>
        <v>15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-10.7</v>
      </c>
      <c r="J9" s="100" t="s">
        <v>249</v>
      </c>
      <c r="K9" s="101">
        <f>K8/L7</f>
        <v>1.1933534743202416</v>
      </c>
      <c r="P9" s="100" t="s">
        <v>250</v>
      </c>
      <c r="Q9" s="108">
        <f>Q7+Q8</f>
        <v>0.28583703306630637</v>
      </c>
      <c r="S9" s="100" t="s">
        <v>251</v>
      </c>
      <c r="T9" s="102">
        <f>T8-T7</f>
        <v>20</v>
      </c>
      <c r="W9" s="100" t="s">
        <v>252</v>
      </c>
      <c r="X9" s="122">
        <f>X7+X8</f>
        <v>4.9021806694442911E-6</v>
      </c>
      <c r="Y9" s="13">
        <f>Y7+Y8</f>
        <v>11010.46969324362</v>
      </c>
      <c r="AC9" s="100" t="s">
        <v>229</v>
      </c>
      <c r="AD9" s="122">
        <f>AD7</f>
        <v>9.6373829190809406E-4</v>
      </c>
      <c r="AO9" t="s">
        <v>151</v>
      </c>
    </row>
    <row r="10" spans="1:41">
      <c r="H10" s="100" t="s">
        <v>253</v>
      </c>
      <c r="I10" s="102">
        <f>(T9-I9)/I9</f>
        <v>-2.8691588785046731</v>
      </c>
      <c r="J10" s="100" t="s">
        <v>145</v>
      </c>
      <c r="K10" s="223">
        <f>AVERAGE(K7:L7)-AVERAGE(K8:L8)</f>
        <v>-8.5500000000000043</v>
      </c>
      <c r="L10" s="18"/>
      <c r="P10" s="130">
        <f>P7+P8</f>
        <v>64200</v>
      </c>
      <c r="Q10" s="108"/>
      <c r="S10" s="100"/>
      <c r="T10" s="102"/>
      <c r="W10" s="100"/>
      <c r="X10" s="122"/>
      <c r="Y10" s="13">
        <f>Y9/S7</f>
        <v>30.519783496857013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-2.9659196429808882E-2</v>
      </c>
      <c r="K11" s="167">
        <f>K7-K8</f>
        <v>-7.8000000000000007</v>
      </c>
      <c r="L11" s="167">
        <f>L7-L8</f>
        <v>-9.2999999999999972</v>
      </c>
      <c r="P11" s="40">
        <f>P10/Y9</f>
        <v>5.8308139242593073</v>
      </c>
      <c r="Q11" s="64">
        <f>Q9*I10</f>
        <v>-0.82011186122762669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5.0773636089560448E-4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2261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147</v>
      </c>
      <c r="F13" s="59" t="str" cm="1">
        <f t="array" ref="F13">_xll.BDP(B13&amp;" Equity","QUOTED_CURRENCY_REALTIME")</f>
        <v>USD</v>
      </c>
      <c r="G13" s="105" t="s">
        <v>247</v>
      </c>
      <c r="H13" s="96">
        <v>300</v>
      </c>
      <c r="I13" s="97">
        <f>IF(G13="Buy",L13,K13)</f>
        <v>31.4</v>
      </c>
      <c r="J13" s="19">
        <f>I13/S13</f>
        <v>9.4453134400192512E-2</v>
      </c>
      <c r="K13" s="36" cm="1">
        <f t="array" ref="K13">_xll.BDP($B13&amp;" Equity","bid")</f>
        <v>30.8</v>
      </c>
      <c r="L13" s="36" cm="1">
        <f t="array" ref="L13">_xll.BDP($B13&amp;" Equity","ask")</f>
        <v>31.4</v>
      </c>
      <c r="M13" s="40">
        <f>(L13/K13-1)</f>
        <v>1.9480519480519431E-2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942000</v>
      </c>
      <c r="Q13" s="58">
        <f>P13/'Master P&amp;L'!$AD$5*10000</f>
        <v>4.1940574010663667</v>
      </c>
      <c r="R13" s="37" cm="1">
        <f t="array" ref="R13">_xll.BDP($C13&amp;" Equity","EST_PE_NXT_YR")*(T13/S13)</f>
        <v>20.126076895385292</v>
      </c>
      <c r="S13" s="36" cm="1">
        <f t="array" ref="S13">_xll.BDP(C13&amp;" Equity","LAST_PRICE")</f>
        <v>332.44</v>
      </c>
      <c r="T13" s="53" cm="1">
        <f t="array" ref="T13">_xll.BDP(B13&amp;" Equity","OPT_STRIKE_PX")</f>
        <v>340</v>
      </c>
      <c r="U13" s="40">
        <f>T13/S13-1</f>
        <v>2.2740945734568641E-2</v>
      </c>
      <c r="V13" s="37" cm="1">
        <f t="array" ref="V13">_xll.BDP($B13&amp;" Equity","ivol_mid")</f>
        <v>38.8003</v>
      </c>
      <c r="W13" s="38" cm="1">
        <f t="array" ref="W13">_xll.BDP(B13&amp;" Equity","DELTA_MID_RT")</f>
        <v>0.53360068798065186</v>
      </c>
      <c r="X13" s="48">
        <f>Y13/'Master P&amp;L'!$AE$5</f>
        <v>2.3693781353589433E-3</v>
      </c>
      <c r="Y13" s="15">
        <f>IF(G13="Sell", S13*W13*-H13*O13/N13, S13*W13*H13*O13/N13)</f>
        <v>5321706.3813686371</v>
      </c>
      <c r="Z13" s="15" cm="1">
        <f t="array" ref="Z13">_xll.BDP($B13&amp;" Equity","opt_theta")*H13*O13/N13</f>
        <v>-3205.05</v>
      </c>
      <c r="AA13" s="19" cm="1">
        <f t="array" ref="AA13">_xll.BDP($B13&amp;" Equity","opt_theta")/I13</f>
        <v>-3.4023885350318471E-3</v>
      </c>
      <c r="AB13" s="36" t="str" cm="1">
        <f t="array" ref="AB13">_xll.BDP($C13&amp;" Equity","EXPECTED_REPORT_DT")</f>
        <v>17/04/2026</v>
      </c>
      <c r="AC13" s="15">
        <f>S13*H13*O13/N13</f>
        <v>9973200</v>
      </c>
      <c r="AD13" s="19">
        <f>AC13/'Master P&amp;L'!$AE$5</f>
        <v>4.4403580968487358E-3</v>
      </c>
      <c r="AE13" t="str">
        <f>B13  &amp; " - Buy to open " &amp;  "-" &amp; H13 &amp;"x"</f>
        <v>TSM US 06/18/26 C340 - Buy to open -300x</v>
      </c>
      <c r="AF13">
        <f>H13*$AF$3</f>
        <v>75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2262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147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300</v>
      </c>
      <c r="I14" s="97">
        <f>IF(G14="Buy",L14,K14)</f>
        <v>16.55</v>
      </c>
      <c r="J14" s="19">
        <f>I14/S14</f>
        <v>4.9783419564432684E-2</v>
      </c>
      <c r="K14" s="36" cm="1">
        <f t="array" ref="K14">_xll.BDP($B14&amp;" Equity","bid")</f>
        <v>16.55</v>
      </c>
      <c r="L14" s="36" cm="1">
        <f t="array" ref="L14">_xll.BDP($B14&amp;" Equity","ask")</f>
        <v>17.600000000000001</v>
      </c>
      <c r="M14" s="40">
        <f>(L14/K14-1)</f>
        <v>6.3444108761329332E-2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-496500</v>
      </c>
      <c r="Q14" s="58">
        <f>P14/'Master P&amp;L'!$AD$5*10000</f>
        <v>-2.2105621015174641</v>
      </c>
      <c r="R14" s="37" cm="1">
        <f t="array" ref="R14">_xll.BDP($C14&amp;" Equity","EST_PE_NXT_YR")*(T14/S14)</f>
        <v>22.493850647783564</v>
      </c>
      <c r="S14" s="36" cm="1">
        <f t="array" ref="S14">_xll.BDP(C14&amp;" Equity","LAST_PRICE")</f>
        <v>332.44</v>
      </c>
      <c r="T14" s="53" cm="1">
        <f t="array" ref="T14">_xll.BDP(B14&amp;" Equity","OPT_STRIKE_PX")</f>
        <v>380</v>
      </c>
      <c r="U14" s="40">
        <f>T14/S14-1</f>
        <v>0.14306340993863564</v>
      </c>
      <c r="V14" s="37" cm="1">
        <f t="array" ref="V14">_xll.BDP($B14&amp;" Equity","ivol_mid")</f>
        <v>39.133879999999998</v>
      </c>
      <c r="W14" s="38" cm="1">
        <f t="array" ref="W14">_xll.BDP(B14&amp;" Equity","DELTA_MID_RT")</f>
        <v>0.35523086786270142</v>
      </c>
      <c r="X14" s="48">
        <f>Y14/'Master P&amp;L'!$AE$5</f>
        <v>-1.5773522603647495E-3</v>
      </c>
      <c r="Y14" s="15">
        <f>IF(G14="Sell", S14*W14*-H14*O14/N14, S14*W14*H14*O14/N14)</f>
        <v>-3542788.4913682938</v>
      </c>
      <c r="Z14" s="15" cm="1">
        <f t="array" ref="Z14">_xll.BDP($B14&amp;" Equity","opt_theta")*H14*O14/N14</f>
        <v>-3012.84</v>
      </c>
      <c r="AA14" s="19" cm="1">
        <f t="array" ref="AA14">_xll.BDP($B14&amp;" Equity","opt_theta")/I14</f>
        <v>-6.0681570996978847E-3</v>
      </c>
      <c r="AB14" s="36" t="str" cm="1">
        <f t="array" ref="AB14">_xll.BDP($C14&amp;" Equity","EXPECTED_REPORT_DT")</f>
        <v>17/04/2026</v>
      </c>
      <c r="AC14" s="15">
        <f>S14*H14*O14/N14</f>
        <v>9973200</v>
      </c>
      <c r="AD14" s="19">
        <f>AC14/'Master P&amp;L'!$AE$5</f>
        <v>4.4403580968487358E-3</v>
      </c>
      <c r="AE14" t="str">
        <f>B14  &amp; " - Buy to open " &amp;  "-" &amp; H14 &amp;"x"</f>
        <v>TSM US 06/18/26 C380 - Buy to open -300x</v>
      </c>
      <c r="AF14">
        <f>H14*$AF$3</f>
        <v>75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14.849999999999998</v>
      </c>
      <c r="J15" s="100" t="s">
        <v>249</v>
      </c>
      <c r="K15" s="101">
        <f>K14/L13</f>
        <v>0.52707006369426757</v>
      </c>
      <c r="P15" s="100" t="s">
        <v>250</v>
      </c>
      <c r="Q15" s="108">
        <f>Q13+Q14</f>
        <v>1.9834952995489026</v>
      </c>
      <c r="S15" s="100" t="s">
        <v>251</v>
      </c>
      <c r="T15" s="102">
        <f>T14-T13</f>
        <v>40</v>
      </c>
      <c r="W15" s="100" t="s">
        <v>252</v>
      </c>
      <c r="X15" s="122">
        <f>X13+X14</f>
        <v>7.9202587499419387E-4</v>
      </c>
      <c r="Y15" s="13">
        <f>Y13+Y14</f>
        <v>1778917.8900003433</v>
      </c>
      <c r="AC15" s="100" t="s">
        <v>229</v>
      </c>
      <c r="AD15" s="104">
        <f>AD13</f>
        <v>4.4403580968487358E-3</v>
      </c>
    </row>
    <row r="16" spans="1:41">
      <c r="H16" s="100" t="s">
        <v>253</v>
      </c>
      <c r="I16" s="102">
        <f>(T15-I15)/I15</f>
        <v>1.693602693602694</v>
      </c>
      <c r="J16" s="100" t="s">
        <v>145</v>
      </c>
      <c r="K16" s="223">
        <f>AVERAGE(K13:L13)-AVERAGE(K14:L14)</f>
        <v>14.024999999999999</v>
      </c>
      <c r="P16" s="130">
        <f>P13+P14</f>
        <v>445500</v>
      </c>
      <c r="Q16" s="108"/>
      <c r="S16" s="100"/>
      <c r="T16" s="102"/>
      <c r="W16" s="108">
        <f>1/(W13-W14)</f>
        <v>5.6063295872515369</v>
      </c>
      <c r="X16" s="122"/>
      <c r="Y16" s="13">
        <f>Y15/S13</f>
        <v>5351.0946035385132</v>
      </c>
      <c r="AC16" s="100"/>
      <c r="AD16" s="104"/>
    </row>
    <row r="17" spans="1:38">
      <c r="I17" s="21"/>
      <c r="J17" s="43">
        <f>J13-J14</f>
        <v>4.4669714835759829E-2</v>
      </c>
      <c r="K17" s="167">
        <f>K13-K14</f>
        <v>14.25</v>
      </c>
      <c r="L17" s="167">
        <f>L13-L14</f>
        <v>13.799999999999997</v>
      </c>
      <c r="P17" s="40">
        <f>P16/Y15</f>
        <v>0.2504331439378093</v>
      </c>
      <c r="Q17" s="64">
        <f>Q15*I16</f>
        <v>3.3592529820643038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-22.575000000000003</v>
      </c>
      <c r="AK18">
        <v>13</v>
      </c>
      <c r="AL18" s="1">
        <v>16</v>
      </c>
    </row>
    <row r="19" spans="1:38">
      <c r="A19" s="98" t="s">
        <v>246</v>
      </c>
      <c r="B19" s="73" t="s">
        <v>2263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176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35.450000000000003</v>
      </c>
      <c r="J19" s="19">
        <f>I19/S19</f>
        <v>0.10663578390085431</v>
      </c>
      <c r="K19" s="36">
        <f>_xll.BDP($B19&amp;" Equity","bid")</f>
        <v>34.200000000000003</v>
      </c>
      <c r="L19" s="36">
        <f>_xll.BDP($B19&amp;" Equity","ask")</f>
        <v>35.450000000000003</v>
      </c>
      <c r="M19" s="40">
        <f>(L19/K19-1)</f>
        <v>3.654970760233911E-2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1772500</v>
      </c>
      <c r="Q19" s="58">
        <f>P19/'Master P&amp;L'!$AD$5*10000</f>
        <v>7.8916844409661726</v>
      </c>
      <c r="R19" s="37" cm="1">
        <f t="array" ref="R19">_xll.BDP($C19&amp;" Equity","EST_PE_NXT_YR")*(T19/S19)</f>
        <v>20.126076895385292</v>
      </c>
      <c r="S19" s="36" cm="1">
        <f t="array" ref="S19">_xll.BDP(C19&amp;" Equity","LAST_PRICE")</f>
        <v>332.44</v>
      </c>
      <c r="T19" s="53">
        <f>_xll.BDP(B19&amp;" Equity","OPT_STRIKE_PX")</f>
        <v>340</v>
      </c>
      <c r="U19" s="40">
        <f>T19/S19-1</f>
        <v>2.2740945734568641E-2</v>
      </c>
      <c r="V19" s="37">
        <f>_xll.BDP($B19&amp;" Equity","ivol_mid")</f>
        <v>39.670470000000002</v>
      </c>
      <c r="W19" s="38">
        <f>_xll.BDP(B19&amp;" Equity","DELTA_MID_RT")</f>
        <v>0.54396730661392212</v>
      </c>
      <c r="X19" s="48">
        <f>Y19/'Master P&amp;L'!$AE$5</f>
        <v>4.0256827239068798E-3</v>
      </c>
      <c r="Y19" s="15">
        <f>IF(G19="Sell", S19*W19*-H19*O19/N19, S19*W19*H19*O19/N19)</f>
        <v>9041824.5705366135</v>
      </c>
      <c r="Z19" s="15" cm="1">
        <f t="array" ref="Z19">_xll.BDP($B19&amp;" Equity","opt_theta")*H19*O19/N19</f>
        <v>-5074.7</v>
      </c>
      <c r="AA19" s="19" cm="1">
        <f t="array" ref="AA19">_xll.BDP($B19&amp;" Equity","opt_theta")/I19</f>
        <v>-2.8630183356840619E-3</v>
      </c>
      <c r="AB19" s="36" t="str" cm="1">
        <f t="array" ref="AB19">_xll.BDP($C19&amp;" Equity","EXPECTED_REPORT_DT")</f>
        <v>17/04/2026</v>
      </c>
      <c r="AC19" s="15">
        <f>S19*H19*O19/N19</f>
        <v>16622000</v>
      </c>
      <c r="AD19" s="19">
        <f>AC19/'Master P&amp;L'!$AE$5</f>
        <v>7.4005968280812257E-3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2264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176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20.149999999999999</v>
      </c>
      <c r="J20" s="19">
        <f>I20/S20</f>
        <v>6.0612441342798695E-2</v>
      </c>
      <c r="K20" s="36" cm="1">
        <f t="array" ref="K20">_xll.BDP($B20&amp;" Equity","bid")</f>
        <v>20.149999999999999</v>
      </c>
      <c r="L20" s="36" cm="1">
        <f t="array" ref="L20">_xll.BDP($B20&amp;" Equity","ask")</f>
        <v>21.25</v>
      </c>
      <c r="M20" s="40">
        <f>(L20/K20-1)</f>
        <v>5.4590570719603049E-2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-1007500</v>
      </c>
      <c r="Q20" s="58">
        <f>P20/'Master P&amp;L'!$AD$5*10000</f>
        <v>-4.4856824114377538</v>
      </c>
      <c r="R20" s="37" cm="1">
        <f t="array" ref="R20">_xll.BDP($C20&amp;" Equity","EST_PE_NXT_YR")*(T20/S20)</f>
        <v>22.493850647783564</v>
      </c>
      <c r="S20" s="36" cm="1">
        <f t="array" ref="S20">_xll.BDP(C20&amp;" Equity","LAST_PRICE")</f>
        <v>332.44</v>
      </c>
      <c r="T20" s="53" cm="1">
        <f t="array" ref="T20">_xll.BDP(B20&amp;" Equity","OPT_STRIKE_PX")</f>
        <v>380</v>
      </c>
      <c r="U20" s="40">
        <f>T20/S20-1</f>
        <v>0.14306340993863564</v>
      </c>
      <c r="V20" s="37" cm="1">
        <f t="array" ref="V20">_xll.BDP($B20&amp;" Equity","ivol_mid")</f>
        <v>40.191699999999997</v>
      </c>
      <c r="W20" s="38" cm="1">
        <f t="array" ref="W20">_xll.BDP(B20&amp;" Equity","DELTA_MID_RT")</f>
        <v>0.38112169504165649</v>
      </c>
      <c r="X20" s="48">
        <f>Y20/'Master P&amp;L'!$AE$5</f>
        <v>-2.8205280074382233E-3</v>
      </c>
      <c r="Y20" s="15">
        <f>IF(G20="Sell", S20*W20*-H20*O20/N20, S20*W20*H20*O20/N20)</f>
        <v>-6335004.8149824142</v>
      </c>
      <c r="Z20" s="15" cm="1">
        <f t="array" ref="Z20">_xll.BDP($B20&amp;" Equity","opt_theta")*H20*O20/N20</f>
        <v>-4869.75</v>
      </c>
      <c r="AA20" s="19" cm="1">
        <f t="array" ref="AA20">_xll.BDP($B20&amp;" Equity","opt_theta")/I20</f>
        <v>-4.833498759305211E-3</v>
      </c>
      <c r="AB20" s="36" t="str" cm="1">
        <f t="array" ref="AB20">_xll.BDP($C20&amp;" Equity","EXPECTED_REPORT_DT")</f>
        <v>17/04/2026</v>
      </c>
      <c r="AC20" s="15">
        <f>S20*H20*O20/N20</f>
        <v>16622000</v>
      </c>
      <c r="AD20" s="19">
        <f>AC20/'Master P&amp;L'!$AE$5</f>
        <v>7.4005968280812257E-3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15.300000000000004</v>
      </c>
      <c r="J21" s="100" t="s">
        <v>249</v>
      </c>
      <c r="K21" s="101">
        <f>K20/L19</f>
        <v>0.56840620592383628</v>
      </c>
      <c r="P21" s="100" t="s">
        <v>250</v>
      </c>
      <c r="Q21" s="108">
        <f>Q19+Q20</f>
        <v>3.4060020295284188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1.2051547164686565E-3</v>
      </c>
      <c r="Y21" s="13">
        <f>Y19+Y20</f>
        <v>2706819.7555541992</v>
      </c>
      <c r="AC21" s="100" t="s">
        <v>229</v>
      </c>
      <c r="AD21" s="104">
        <f>AD19</f>
        <v>7.4005968280812257E-3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1.6143790849673196</v>
      </c>
      <c r="J22" s="100" t="s">
        <v>145</v>
      </c>
      <c r="K22" s="223">
        <f>AVERAGE(K19:L19)-AVERAGE(K20:L20)</f>
        <v>14.125000000000004</v>
      </c>
      <c r="P22" s="130">
        <f>P19+P20</f>
        <v>765000</v>
      </c>
      <c r="Q22" s="108"/>
      <c r="S22" s="100"/>
      <c r="T22" s="102"/>
      <c r="W22" s="100"/>
      <c r="X22" s="122"/>
      <c r="Y22" s="3">
        <f>Y21/S19</f>
        <v>8142.2805786132813</v>
      </c>
      <c r="AC22" s="100"/>
      <c r="AD22" s="104"/>
    </row>
    <row r="23" spans="1:38">
      <c r="I23" s="64">
        <f>I20*2</f>
        <v>40.299999999999997</v>
      </c>
      <c r="K23" s="167">
        <f>K19-K20</f>
        <v>14.050000000000004</v>
      </c>
      <c r="L23" s="167">
        <f>L19-L20</f>
        <v>14.200000000000003</v>
      </c>
      <c r="P23" s="40">
        <f>P22/Y21</f>
        <v>0.28261948304103923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1.6</v>
      </c>
      <c r="K25" s="238"/>
      <c r="L25" s="238"/>
      <c r="W25" s="50"/>
    </row>
    <row r="26" spans="1:38">
      <c r="A26" s="437">
        <f>A24-H26</f>
        <v>135</v>
      </c>
      <c r="B26" s="73" t="s">
        <v>2365</v>
      </c>
      <c r="C26" t="str" cm="1">
        <f t="array" ref="C26">_xll.BDP(B26&amp;" Equity","OPT_UNDL_TICKER")</f>
        <v>COPX US</v>
      </c>
      <c r="D26" t="str" cm="1">
        <f t="array" ref="D26">_xll.BDP($B26&amp;" Index","mifid_Maturity_date")</f>
        <v>#N/A Field Not Applicable</v>
      </c>
      <c r="E26" t="str" cm="1">
        <f t="array" ref="E26">_xll.BDP($B26&amp;" Index","opt_days_expire")</f>
        <v>#N/A Field Not Applicable</v>
      </c>
      <c r="F26" t="str" cm="1">
        <f t="array" ref="F26">_xll.BDP(B26&amp;" Equity","QUOTED_CURRENCY_REALTIME")</f>
        <v>USD</v>
      </c>
      <c r="G26" s="105" t="s">
        <v>247</v>
      </c>
      <c r="H26" s="96">
        <v>150</v>
      </c>
      <c r="I26" s="97">
        <f>IF(G26="Buy",L26,K26)</f>
        <v>10.4</v>
      </c>
      <c r="J26" s="19">
        <f>I26/S26</f>
        <v>0.12613705275924803</v>
      </c>
      <c r="K26" s="36" cm="1">
        <f t="array" ref="K26">_xll.BDP($B26&amp;" Equity","bid")</f>
        <v>9.9</v>
      </c>
      <c r="L26" s="36" cm="1">
        <f t="array" ref="L26">_xll.BDP($B26&amp;" Equity","ask")</f>
        <v>10.4</v>
      </c>
      <c r="M26" s="40">
        <f>(L26/K26-1)</f>
        <v>5.0505050505050608E-2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156000</v>
      </c>
      <c r="Q26" s="58">
        <f>P26/'Master P&amp;L'!$AD$5*10000</f>
        <v>0.69455727660971667</v>
      </c>
      <c r="R26" s="37" t="e" cm="1">
        <f t="array" ref="R26">_xll.BDP($C26&amp;" Equity","EST_PE_NXT_YR")*(T26/S26)</f>
        <v>#VALUE!</v>
      </c>
      <c r="S26" s="36" cm="1">
        <f t="array" ref="S26">_xll.BDP(C26&amp;" Equity","LAST_PRICE")</f>
        <v>82.45</v>
      </c>
      <c r="T26" s="53" cm="1">
        <f t="array" ref="T26">_xll.BDP(B26&amp;" Equity","OPT_STRIKE_PX")</f>
        <v>85</v>
      </c>
      <c r="U26" s="40">
        <f>T26/S26-1</f>
        <v>3.0927835051546282E-2</v>
      </c>
      <c r="V26" s="37" cm="1">
        <f t="array" ref="V26">_xll.BDP($B26&amp;" Equity","ivol_mid")</f>
        <v>46.816209999999998</v>
      </c>
      <c r="W26" s="38" cm="1">
        <f t="array" ref="W26">_xll.BDP(B26&amp;" Equity","DELTA_MID_RT")</f>
        <v>0.54681974649429321</v>
      </c>
      <c r="X26" s="48">
        <f>Y26/'Master P&amp;L'!$AE$5</f>
        <v>3.0109918189256745E-4</v>
      </c>
      <c r="Y26" s="15">
        <f>IF(G26="Sell", S26*W26*-H26*O26/N26, S26*W26*H26*O26/N26)</f>
        <v>676279.32147681713</v>
      </c>
      <c r="Z26" s="15" cm="1">
        <f t="array" ref="Z26">_xll.BDP($B26&amp;" Equity","opt_theta")*H26*O26/N26</f>
        <v>-454.16999999999996</v>
      </c>
      <c r="AA26" s="19" cm="1">
        <f t="array" ref="AA26">_xll.BDP($B26&amp;" Equity","opt_theta")/I26</f>
        <v>-2.9113461538461537E-3</v>
      </c>
      <c r="AB26" s="36" t="str" cm="1">
        <f t="array" ref="AB26">_xll.BDP($C26&amp;" Equity","EXPECTED_REPORT_DT")</f>
        <v>#N/A N/A</v>
      </c>
      <c r="AC26" s="15">
        <f>S26*H26*O26/N26</f>
        <v>1236750</v>
      </c>
      <c r="AD26" s="19">
        <f>AC26/'Master P&amp;L'!$AE$5</f>
        <v>5.5063699477376105E-4</v>
      </c>
      <c r="AE26" t="str">
        <f>B26  &amp; " - Buy to open " &amp;  "-" &amp; H26 &amp;"x"</f>
        <v>COPX US 07/17/26 C85 - Buy to open -150x</v>
      </c>
    </row>
    <row r="27" spans="1:38">
      <c r="A27" s="437">
        <f>A25-H27</f>
        <v>135</v>
      </c>
      <c r="B27" s="73" t="s">
        <v>2366</v>
      </c>
      <c r="C27" t="str" cm="1">
        <f t="array" ref="C27">_xll.BDP(B27&amp;" Equity","OPT_UNDL_TICKER")</f>
        <v>COPX US</v>
      </c>
      <c r="D27" t="str" cm="1">
        <f t="array" ref="D27">_xll.BDP($B27&amp;" Index","mifid_Maturity_date")</f>
        <v>#N/A Field Not Applicable</v>
      </c>
      <c r="E27" t="str" cm="1">
        <f t="array" ref="E27">_xll.BDP($B27&amp;" Index","opt_days_expire")</f>
        <v>#N/A Field Not Applicable</v>
      </c>
      <c r="F27" t="str" cm="1">
        <f t="array" ref="F27">_xll.BDP(B27&amp;" Equity","QUOTED_CURRENCY_REALTIME")</f>
        <v>USD</v>
      </c>
      <c r="G27" s="105" t="s">
        <v>248</v>
      </c>
      <c r="H27" s="96">
        <f>H26</f>
        <v>150</v>
      </c>
      <c r="I27" s="97">
        <f>IF(G27="Buy",L27,K27)</f>
        <v>6.5</v>
      </c>
      <c r="J27" s="19">
        <f>I27/S27</f>
        <v>7.8835657974530016E-2</v>
      </c>
      <c r="K27" s="36" cm="1">
        <f t="array" ref="K27">_xll.BDP($B27&amp;" Equity","bid")</f>
        <v>6.5</v>
      </c>
      <c r="L27" s="36" cm="1">
        <f t="array" ref="L27">_xll.BDP($B27&amp;" Equity","ask")</f>
        <v>7.8</v>
      </c>
      <c r="M27" s="40">
        <f>(L27/K27-1)</f>
        <v>0.19999999999999996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-97500</v>
      </c>
      <c r="Q27" s="58">
        <f>P27/'Master P&amp;L'!$AD$5*10000</f>
        <v>-0.43409829788107296</v>
      </c>
      <c r="R27" s="37" t="e" cm="1">
        <f t="array" ref="R27">_xll.BDP($C27&amp;" Equity","EST_PE_NXT_YR")*(T27/S27)</f>
        <v>#VALUE!</v>
      </c>
      <c r="S27" s="36" cm="1">
        <f t="array" ref="S27">_xll.BDP(C27&amp;" Equity","LAST_PRICE")</f>
        <v>82.45</v>
      </c>
      <c r="T27" s="53" cm="1">
        <f t="array" ref="T27">_xll.BDP(B27&amp;" Equity","OPT_STRIKE_PX")</f>
        <v>95</v>
      </c>
      <c r="U27" s="40">
        <f>T27/S27-1</f>
        <v>0.1522134627046694</v>
      </c>
      <c r="V27" s="37" cm="1">
        <f t="array" ref="V27">_xll.BDP($B27&amp;" Equity","ivol_mid")</f>
        <v>48.968580000000003</v>
      </c>
      <c r="W27" s="38" cm="1">
        <f t="array" ref="W27">_xll.BDP(B27&amp;" Equity","DELTA_MID_RT")</f>
        <v>0.42173320055007935</v>
      </c>
      <c r="X27" s="48">
        <f>Y27/'Master P&amp;L'!$AE$5</f>
        <v>-2.3222190214721561E-4</v>
      </c>
      <c r="Y27" s="15">
        <f>IF(G27="Sell", S27*W27*-H27*O27/N27, S27*W27*H27*O27/N27)</f>
        <v>-521578.53578031075</v>
      </c>
      <c r="Z27" s="15" cm="1">
        <f t="array" ref="Z27">_xll.BDP($B27&amp;" Equity","opt_theta")*H27*O27/N27</f>
        <v>-442.54500000000007</v>
      </c>
      <c r="AA27" s="19" cm="1">
        <f t="array" ref="AA27">_xll.BDP($B27&amp;" Equity","opt_theta")/I27</f>
        <v>-4.5389230769230775E-3</v>
      </c>
      <c r="AB27" s="36" t="str" cm="1">
        <f t="array" ref="AB27">_xll.BDP($C27&amp;" Equity","EXPECTED_REPORT_DT")</f>
        <v>#N/A N/A</v>
      </c>
      <c r="AC27" s="15">
        <f>S27*H27*O27/N27</f>
        <v>1236750</v>
      </c>
      <c r="AD27" s="19">
        <f>AC27/'Master P&amp;L'!$AE$5</f>
        <v>5.5063699477376105E-4</v>
      </c>
      <c r="AE27" t="str">
        <f>B27  &amp; " - Buy to open " &amp;  "-" &amp; H27 &amp;"x"</f>
        <v>COPX US 07/17/26 C95 - Buy to open -150x</v>
      </c>
    </row>
    <row r="28" spans="1:38">
      <c r="H28" s="100" t="s">
        <v>116</v>
      </c>
      <c r="I28" s="102">
        <f>I26-I27</f>
        <v>3.9000000000000004</v>
      </c>
      <c r="J28" s="100" t="s">
        <v>249</v>
      </c>
      <c r="K28" s="101">
        <f>K27/L26</f>
        <v>0.625</v>
      </c>
      <c r="P28" s="100" t="s">
        <v>250</v>
      </c>
      <c r="Q28" s="103">
        <f>Q26+Q27</f>
        <v>0.26045897872864371</v>
      </c>
      <c r="S28" s="100" t="s">
        <v>251</v>
      </c>
      <c r="T28" s="102">
        <f>T27-T26</f>
        <v>10</v>
      </c>
      <c r="W28" s="100" t="s">
        <v>252</v>
      </c>
      <c r="X28" s="122">
        <f>X26+X27</f>
        <v>6.8877279745351841E-5</v>
      </c>
      <c r="Y28" s="13">
        <f>Y26+Y27</f>
        <v>154700.78569650638</v>
      </c>
      <c r="AC28" s="100" t="s">
        <v>229</v>
      </c>
      <c r="AD28" s="104">
        <f>AD26</f>
        <v>5.5063699477376105E-4</v>
      </c>
    </row>
    <row r="29" spans="1:38">
      <c r="A29" s="13">
        <f>A27-A26</f>
        <v>0</v>
      </c>
      <c r="H29" s="100" t="s">
        <v>253</v>
      </c>
      <c r="I29" s="102">
        <f>(T28-I28)/I28</f>
        <v>1.5641025641025639</v>
      </c>
      <c r="J29" s="100" t="s">
        <v>145</v>
      </c>
      <c r="K29" s="109">
        <f>AVERAGE(K26:L26)-AVERAGE(K27:L27)</f>
        <v>3</v>
      </c>
      <c r="P29" s="130">
        <f>P26+P27</f>
        <v>58500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4.7301394784718016E-2</v>
      </c>
      <c r="K30" s="167">
        <f>K26-K27</f>
        <v>3.4000000000000004</v>
      </c>
      <c r="L30" s="167">
        <f>L26-L27</f>
        <v>2.6000000000000005</v>
      </c>
      <c r="P30" s="40">
        <f>P29/Y28</f>
        <v>0.37814933994430971</v>
      </c>
      <c r="X30" s="3">
        <f>Y30/I28</f>
        <v>481.10209978543753</v>
      </c>
      <c r="Y30" s="8">
        <f>Y28/S26</f>
        <v>1876.2981891632066</v>
      </c>
      <c r="AG30" s="167"/>
      <c r="AH30" s="167"/>
    </row>
    <row r="31" spans="1:38">
      <c r="K31" s="64">
        <f>I27*2-I26</f>
        <v>2.5999999999999996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2363</v>
      </c>
      <c r="C33" t="str" cm="1">
        <f t="array" ref="C33">_xll.BDP(B33&amp;" Equity","OPT_UNDL_TICKER")</f>
        <v>COPX US</v>
      </c>
      <c r="D33" t="str" cm="1">
        <f t="array" ref="D33">_xll.BDP($B33&amp;" Index","mifid_Maturity_date")</f>
        <v>#N/A Field Not Applicable</v>
      </c>
      <c r="E33" t="str" cm="1">
        <f t="array" ref="E33">_xll.BDP($B33&amp;" Index","opt_days_expire")</f>
        <v>#N/A Field Not Applicable</v>
      </c>
      <c r="F33" t="str" cm="1">
        <f t="array" ref="F33">_xll.BDP(B33&amp;" Equity","QUOTED_CURRENCY_REALTIME")</f>
        <v>USD</v>
      </c>
      <c r="G33" s="105" t="s">
        <v>247</v>
      </c>
      <c r="H33" s="96">
        <v>150</v>
      </c>
      <c r="I33" s="97">
        <f>IF(G33="Buy",L33,K33)</f>
        <v>7</v>
      </c>
      <c r="J33" s="19">
        <f>I33/S33</f>
        <v>8.4899939357186177E-2</v>
      </c>
      <c r="K33" s="36" cm="1">
        <f t="array" ref="K33">_xll.BDP($B33&amp;" Equity","bid")</f>
        <v>6.6</v>
      </c>
      <c r="L33" s="36" cm="1">
        <f t="array" ref="L33">_xll.BDP($B33&amp;" Equity","ask")</f>
        <v>7</v>
      </c>
      <c r="M33" s="40">
        <f>(L33/K33-1)</f>
        <v>6.0606060606060552E-2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105000</v>
      </c>
      <c r="Q33" s="58">
        <f>P33/'Master P&amp;L'!$AD$5*10000</f>
        <v>0.46749047464115551</v>
      </c>
      <c r="R33" s="37" t="e" cm="1">
        <f t="array" ref="R33">_xll.BDP($C33&amp;" Equity","EST_PE_NXT_YR")*(T33/S33)</f>
        <v>#VALUE!</v>
      </c>
      <c r="S33" s="36">
        <f>_xll.BDP(C33&amp;" Equity","LAST_PRICE")</f>
        <v>82.45</v>
      </c>
      <c r="T33" s="53" cm="1">
        <f t="array" ref="T33">_xll.BDP(B33&amp;" Equity","OPT_STRIKE_PX")</f>
        <v>85</v>
      </c>
      <c r="U33" s="40">
        <f>T33/S33-1</f>
        <v>3.0927835051546282E-2</v>
      </c>
      <c r="V33" s="37" cm="1">
        <f t="array" ref="V33">_xll.BDP($B33&amp;" Equity","ivol_mid")</f>
        <v>47.398650000000004</v>
      </c>
      <c r="W33" s="38" cm="1">
        <f t="array" ref="W33">_xll.BDP(B33&amp;" Equity","DELTA_MID_RT")</f>
        <v>0.50853288173675537</v>
      </c>
      <c r="X33" s="48">
        <f>Y33/'Master P&amp;L'!$AE$5</f>
        <v>2.8001701774316742E-4</v>
      </c>
      <c r="Y33" s="15">
        <f>IF(G33="Sell", S33*W33*-H33*O33/N33, S33*W33*H33*O33/N33)</f>
        <v>628928.04148793221</v>
      </c>
      <c r="Z33" s="15" cm="1">
        <f t="array" ref="Z33">_xll.BDP($B33&amp;" Equity","opt_theta")*H33*O33/N33</f>
        <v>-654.72</v>
      </c>
      <c r="AA33" s="19" cm="1">
        <f t="array" ref="AA33">_xll.BDP($B33&amp;" Equity","opt_theta")/I33</f>
        <v>-6.2354285714285715E-3</v>
      </c>
      <c r="AB33" s="36" t="str" cm="1">
        <f t="array" ref="AB33">_xll.BDP($C33&amp;" Equity","EXPECTED_REPORT_DT")</f>
        <v>#N/A N/A</v>
      </c>
      <c r="AC33" s="15">
        <f>S33*H33*O33/N33</f>
        <v>1236750</v>
      </c>
      <c r="AD33" s="19">
        <f>AC33/'Master P&amp;L'!$AE$5</f>
        <v>5.5063699477376105E-4</v>
      </c>
      <c r="AE33" t="str">
        <f>B33  &amp; " - Buy to open " &amp;  "-" &amp; H33 &amp;"x"</f>
        <v>COPX US 04/17/26 C85 - Buy to open -150x</v>
      </c>
    </row>
    <row r="34" spans="1:38" s="558" customFormat="1">
      <c r="A34" s="98" t="s">
        <v>246</v>
      </c>
      <c r="B34" s="73" t="s">
        <v>2364</v>
      </c>
      <c r="C34" s="558" t="str" cm="1">
        <f t="array" ref="C34">_xll.BDP(B34&amp;" Equity","OPT_UNDL_TICKER")</f>
        <v>COPX US</v>
      </c>
      <c r="D34" s="558" t="str" cm="1">
        <f t="array" ref="D34">_xll.BDP($B34&amp;" Index","mifid_Maturity_date")</f>
        <v>#N/A Field Not Applicable</v>
      </c>
      <c r="E34" s="558" t="str" cm="1">
        <f t="array" ref="E34">_xll.BDP($B34&amp;" Index","opt_days_expire")</f>
        <v>#N/A Field Not Applicable</v>
      </c>
      <c r="F34" s="558" t="str" cm="1">
        <f t="array" ref="F34">_xll.BDP(B34&amp;" Equity","QUOTED_CURRENCY_REALTIME")</f>
        <v>USD</v>
      </c>
      <c r="G34" s="105" t="s">
        <v>248</v>
      </c>
      <c r="H34" s="96">
        <f>H33</f>
        <v>150</v>
      </c>
      <c r="I34" s="97">
        <f>IF(G34="Buy",L34,K34)</f>
        <v>3.4</v>
      </c>
      <c r="J34" s="19">
        <f>I34/S34</f>
        <v>4.1237113402061855E-2</v>
      </c>
      <c r="K34" s="36" cm="1">
        <f t="array" ref="K34">_xll.BDP($B34&amp;" Equity","bid")</f>
        <v>3.4</v>
      </c>
      <c r="L34" s="36" cm="1">
        <f t="array" ref="L34">_xll.BDP($B34&amp;" Equity","ask")</f>
        <v>3.8</v>
      </c>
      <c r="M34" s="40">
        <f>(L34/K34-1)</f>
        <v>0.11764705882352944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-51000</v>
      </c>
      <c r="Q34" s="58">
        <f>P34/'Master P&amp;L'!$AD$5*10000</f>
        <v>-0.22706680196856124</v>
      </c>
      <c r="R34" s="37" t="e" cm="1">
        <f t="array" ref="R34">_xll.BDP($C34&amp;" Equity","EST_PE_NXT_YR")*(T34/S34)</f>
        <v>#VALUE!</v>
      </c>
      <c r="S34" s="36">
        <f>_xll.BDP(C34&amp;" Equity","LAST_PRICE")</f>
        <v>82.45</v>
      </c>
      <c r="T34" s="53" cm="1">
        <f t="array" ref="T34">_xll.BDP(B34&amp;" Equity","OPT_STRIKE_PX")</f>
        <v>95</v>
      </c>
      <c r="U34" s="40">
        <f>T34/S34-1</f>
        <v>0.1522134627046694</v>
      </c>
      <c r="V34" s="37" cm="1">
        <f t="array" ref="V34">_xll.BDP($B34&amp;" Equity","ivol_mid")</f>
        <v>47.794789999999999</v>
      </c>
      <c r="W34" s="38" cm="1">
        <f t="array" ref="W34">_xll.BDP(B34&amp;" Equity","DELTA_MID_RT")</f>
        <v>0.3240872323513031</v>
      </c>
      <c r="X34" s="48">
        <f>Y34/'Master P&amp;L'!$AE$5</f>
        <v>-1.7845441966646717E-4</v>
      </c>
      <c r="Y34" s="15">
        <f>IF(G34="Sell", S34*W34*-H34*O34/N34, S34*W34*H34*O34/N34)</f>
        <v>-400814.88461047411</v>
      </c>
      <c r="Z34" s="15" cm="1">
        <f t="array" ref="Z34">_xll.BDP($B34&amp;" Equity","opt_theta")*H34*O34/N34</f>
        <v>-596.65499999999997</v>
      </c>
      <c r="AA34" s="19" cm="1">
        <f t="array" ref="AA34">_xll.BDP($B34&amp;" Equity","opt_theta")/I34</f>
        <v>-1.1699117647058823E-2</v>
      </c>
      <c r="AB34" s="36" t="str" cm="1">
        <f t="array" ref="AB34">_xll.BDP($C34&amp;" Equity","EXPECTED_REPORT_DT")</f>
        <v>#N/A N/A</v>
      </c>
      <c r="AC34" s="15">
        <f>S34*H34*O34/N34</f>
        <v>1236750</v>
      </c>
      <c r="AD34" s="19">
        <f>AC34/'Master P&amp;L'!$AE$5</f>
        <v>5.5063699477376105E-4</v>
      </c>
      <c r="AE34" s="558" t="str">
        <f>B34  &amp; " - Buy to open " &amp;  "-" &amp; H34 &amp;"x"</f>
        <v>COPX US 04/17/26 C95 - Buy to open -150x</v>
      </c>
      <c r="AL34" s="1"/>
    </row>
    <row r="35" spans="1:38">
      <c r="H35" s="100" t="s">
        <v>116</v>
      </c>
      <c r="I35" s="222">
        <f>I33-I34</f>
        <v>3.6</v>
      </c>
      <c r="J35" s="100" t="s">
        <v>249</v>
      </c>
      <c r="K35" s="101">
        <f>K34/L33</f>
        <v>0.48571428571428571</v>
      </c>
      <c r="P35" s="100" t="s">
        <v>250</v>
      </c>
      <c r="Q35" s="103">
        <f>Q33+Q34</f>
        <v>0.24042367267259426</v>
      </c>
      <c r="S35" s="100" t="s">
        <v>251</v>
      </c>
      <c r="T35" s="102">
        <f>T34-T33</f>
        <v>10</v>
      </c>
      <c r="W35" s="100" t="s">
        <v>252</v>
      </c>
      <c r="X35" s="122">
        <f>X33+X34</f>
        <v>1.0156259807670025E-4</v>
      </c>
      <c r="Y35" s="13">
        <f>Y33+Y34</f>
        <v>228113.1568774581</v>
      </c>
      <c r="AC35" s="100" t="s">
        <v>229</v>
      </c>
      <c r="AD35" s="104">
        <f>AD33</f>
        <v>5.5063699477376105E-4</v>
      </c>
    </row>
    <row r="36" spans="1:38">
      <c r="H36" s="100" t="s">
        <v>253</v>
      </c>
      <c r="I36" s="102">
        <f>(T35-I35)/I35</f>
        <v>1.7777777777777779</v>
      </c>
      <c r="J36" s="100" t="s">
        <v>145</v>
      </c>
      <c r="K36" s="109">
        <f>AVERAGE(K33:L33)-AVERAGE(K34:L34)</f>
        <v>3.2</v>
      </c>
      <c r="P36" s="130">
        <f>P33+P34</f>
        <v>54000</v>
      </c>
      <c r="Q36" s="108"/>
      <c r="S36" s="100"/>
      <c r="T36" s="102"/>
      <c r="W36" s="100"/>
      <c r="X36" s="122"/>
      <c r="Y36" s="13">
        <f>Y35/S33</f>
        <v>2766.6847407817841</v>
      </c>
      <c r="AC36" s="100"/>
      <c r="AD36" s="104"/>
    </row>
    <row r="37" spans="1:38">
      <c r="I37" s="21">
        <f>I35/S33</f>
        <v>4.3662825955124315E-2</v>
      </c>
      <c r="K37" s="64">
        <f>(2*I33)-(I34*3)</f>
        <v>3.8000000000000007</v>
      </c>
      <c r="P37" s="267">
        <f>P36/I35/100</f>
        <v>150</v>
      </c>
      <c r="W37" s="50">
        <f>W33-W34</f>
        <v>0.18444564938545227</v>
      </c>
    </row>
    <row r="38" spans="1:38">
      <c r="H38">
        <v>1</v>
      </c>
      <c r="J38" s="43">
        <f>J39-J40</f>
        <v>-3.9718575249209825E-2</v>
      </c>
      <c r="P38" s="13"/>
    </row>
    <row r="39" spans="1:38">
      <c r="A39" s="281">
        <f>S39-T39</f>
        <v>-3.3999999999999986</v>
      </c>
      <c r="B39" s="73" t="s">
        <v>2266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113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1.77</v>
      </c>
      <c r="J39" s="19">
        <f>I39/S39</f>
        <v>8.1944444444444445E-2</v>
      </c>
      <c r="K39" s="36" cm="1">
        <f t="array" ref="K39">_xll.BDP($B39&amp;" Equity","bid")</f>
        <v>1.72</v>
      </c>
      <c r="L39" s="36" cm="1">
        <f t="array" ref="L39">_xll.BDP($B39&amp;" Equity","ask")</f>
        <v>1.77</v>
      </c>
      <c r="M39" s="40">
        <f>(L39/K39-1)</f>
        <v>2.9069767441860517E-2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79650</v>
      </c>
      <c r="Q39" s="58">
        <f>P39/'Master P&amp;L'!$AD$5*10000</f>
        <v>0.35462491719207656</v>
      </c>
      <c r="R39" s="37" cm="1">
        <f t="array" ref="R39">_xll.BDP($C39&amp;" Equity","EST_PE_NXT_YR")*(T39/S39)</f>
        <v>30.17221767221767</v>
      </c>
      <c r="S39" s="36" cm="1">
        <f t="array" ref="S39">_xll.BDP(C39&amp;" Equity","LAST_PRICE")</f>
        <v>21.6</v>
      </c>
      <c r="T39" s="53" cm="1">
        <f t="array" ref="T39">_xll.BDP(B39&amp;" Equity","OPT_STRIKE_PX")</f>
        <v>25</v>
      </c>
      <c r="U39" s="40">
        <f>T39/S39-1</f>
        <v>0.15740740740740744</v>
      </c>
      <c r="V39" s="37" cm="1">
        <f t="array" ref="V39">_xll.BDP($B39&amp;" Equity","ivol_mid")</f>
        <v>59.420670000000001</v>
      </c>
      <c r="W39" s="38" cm="1">
        <f t="array" ref="W39">_xll.BDP(B39&amp;" Equity","DELTA_MID_RT")</f>
        <v>0.40012642741203308</v>
      </c>
      <c r="X39" s="48">
        <f>Y39/'Master P&amp;L'!$AE$5</f>
        <v>1.7315975738117735E-4</v>
      </c>
      <c r="Y39" s="15">
        <f>IF(G39="Sell", S39*W39*-H39*O39/N39, S39*W39*H39*O39/N39)</f>
        <v>388922.88744449615</v>
      </c>
      <c r="Z39" s="15" cm="1">
        <f t="array" ref="Z39">_xll.BDP($B39&amp;" Equity","opt_theta")*H39*O39/N39</f>
        <v>-522</v>
      </c>
      <c r="AA39" s="19" cm="1">
        <f t="array" ref="AA39">_xll.BDP($B39&amp;" Equity","opt_theta")/I39</f>
        <v>-6.5536723163841801E-3</v>
      </c>
      <c r="AB39" s="36" t="str" cm="1">
        <f t="array" ref="AB39">_xll.BDP($C39&amp;" Equity","EXPECTED_REPORT_DT")</f>
        <v>11/02/2026</v>
      </c>
      <c r="AC39" s="15">
        <f>S39*H39*O39/N39</f>
        <v>972000</v>
      </c>
      <c r="AD39" s="19">
        <f>AC39/'Master P&amp;L'!$AE$5</f>
        <v>4.3276261081066968E-4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-10.75</v>
      </c>
      <c r="B40" s="73" t="s">
        <v>2265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113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13.9</v>
      </c>
      <c r="J40" s="19">
        <f>I40/S40</f>
        <v>0.12166301969365427</v>
      </c>
      <c r="K40" s="36" cm="1">
        <f t="array" ref="K40">_xll.BDP($B40&amp;" Equity","bid")</f>
        <v>13.2</v>
      </c>
      <c r="L40" s="36" cm="1">
        <f t="array" ref="L40">_xll.BDP($B40&amp;" Equity","ask")</f>
        <v>13.9</v>
      </c>
      <c r="M40" s="40">
        <f>(L40/K40-1)</f>
        <v>5.3030303030303205E-2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139000</v>
      </c>
      <c r="Q40" s="58">
        <f>P40/'Master P&amp;L'!$AD$5*10000</f>
        <v>0.61886834262019641</v>
      </c>
      <c r="R40" s="37" cm="1">
        <f t="array" ref="R40">_xll.BDP($C40&amp;" Equity","EST_PE_NXT_YR")*(T40/S40)</f>
        <v>42.082510540641508</v>
      </c>
      <c r="S40" s="36" cm="1">
        <f t="array" ref="S40">_xll.BDP(C40&amp;" Equity","LAST_PRICE")</f>
        <v>114.25</v>
      </c>
      <c r="T40" s="53" cm="1">
        <f t="array" ref="T40">_xll.BDP(B40&amp;" Equity","OPT_STRIKE_PX")</f>
        <v>125</v>
      </c>
      <c r="U40" s="40">
        <f>T40/S40-1</f>
        <v>9.4091903719912384E-2</v>
      </c>
      <c r="V40" s="37" cm="1">
        <f t="array" ref="V40">_xll.BDP($B40&amp;" Equity","ivol_mid")</f>
        <v>65.210340000000002</v>
      </c>
      <c r="W40" s="38" cm="1">
        <f t="array" ref="W40">_xll.BDP(B40&amp;" Equity","DELTA_MID_RT")</f>
        <v>0.48789972066879272</v>
      </c>
      <c r="X40" s="48">
        <f>Y40/'Master P&amp;L'!$AE$5</f>
        <v>2.4818198023972065E-4</v>
      </c>
      <c r="Y40" s="15">
        <f>IF(G40="Sell", S40*W40*-H40*O40/N40, S40*W40*H40*O40/N40)</f>
        <v>557425.43086409569</v>
      </c>
      <c r="Z40" s="15" cm="1">
        <f t="array" ref="Z40">_xll.BDP($B40&amp;" Equity","opt_theta")*H40*O40/N40</f>
        <v>-679.0100000000001</v>
      </c>
      <c r="AA40" s="19" cm="1">
        <f t="array" ref="AA40">_xll.BDP($B40&amp;" Equity","opt_theta")/I40</f>
        <v>-4.8849640287769785E-3</v>
      </c>
      <c r="AB40" s="36" t="str" cm="1">
        <f t="array" ref="AB40">_xll.BDP($C40&amp;" Equity","EXPECTED_REPORT_DT")</f>
        <v>19/02/2026</v>
      </c>
      <c r="AC40" s="15">
        <f>S40*H40*O40/N40</f>
        <v>1142500</v>
      </c>
      <c r="AD40" s="19">
        <f>AC40/'Master P&amp;L'!$AE$5</f>
        <v>5.0867415931192398E-4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-12.13</v>
      </c>
      <c r="J41" s="100" t="s">
        <v>249</v>
      </c>
      <c r="K41" s="101">
        <f>K40/L39</f>
        <v>7.4576271186440675</v>
      </c>
      <c r="P41" s="100" t="s">
        <v>250</v>
      </c>
      <c r="Q41" s="108">
        <f>Q39+Q40</f>
        <v>0.97349325981227297</v>
      </c>
      <c r="S41" s="100" t="s">
        <v>251</v>
      </c>
      <c r="T41" s="102">
        <f>T40-T39</f>
        <v>100</v>
      </c>
      <c r="W41" s="100" t="s">
        <v>252</v>
      </c>
      <c r="X41" s="122">
        <f>X39+X40</f>
        <v>4.21341737620898E-4</v>
      </c>
      <c r="Y41" s="13">
        <f>Y39+Y40</f>
        <v>946348.31830859184</v>
      </c>
      <c r="AC41" s="100" t="s">
        <v>229</v>
      </c>
      <c r="AD41" s="122">
        <f>AD39</f>
        <v>4.3276261081066968E-4</v>
      </c>
    </row>
    <row r="42" spans="1:38">
      <c r="B42" s="73"/>
      <c r="H42" s="100" t="s">
        <v>253</v>
      </c>
      <c r="I42" s="102">
        <f>(T41-K42)/I41</f>
        <v>-9.2172300082440231</v>
      </c>
      <c r="J42" s="100" t="s">
        <v>145</v>
      </c>
      <c r="K42" s="223">
        <f>AVERAGE(K39:L39)-AVERAGE(K40:L40)</f>
        <v>-11.805</v>
      </c>
      <c r="P42" s="130">
        <f>P39+P40</f>
        <v>218650</v>
      </c>
      <c r="Q42" s="108"/>
      <c r="S42" s="100"/>
      <c r="T42" s="102"/>
      <c r="W42" s="100"/>
      <c r="X42" s="122"/>
      <c r="Y42" s="13">
        <f>Y41/S39</f>
        <v>43812.422143916287</v>
      </c>
      <c r="AC42" s="100"/>
      <c r="AD42" s="104"/>
    </row>
    <row r="43" spans="1:38">
      <c r="I43" s="278"/>
      <c r="K43" s="278">
        <f>K36-K42</f>
        <v>15.004999999999999</v>
      </c>
      <c r="L43" s="278"/>
      <c r="P43" s="5">
        <f>P42/Y41</f>
        <v>0.23104600681363613</v>
      </c>
      <c r="W43" s="50">
        <f>W39-W40</f>
        <v>-8.7773293256759644E-2</v>
      </c>
      <c r="Y43" s="13">
        <f>Y42+Y36</f>
        <v>46579.106884698071</v>
      </c>
    </row>
    <row r="44" spans="1:38">
      <c r="K44" s="338">
        <f>K36/K42</f>
        <v>-0.27107157983905128</v>
      </c>
      <c r="L44" s="278">
        <f>K36-(K42*2)</f>
        <v>26.81</v>
      </c>
      <c r="P44" s="13">
        <f>P36+P42</f>
        <v>272650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3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2285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0.1</v>
      </c>
      <c r="J49" s="19">
        <f>I49/S49</f>
        <v>7.2497915684924065E-5</v>
      </c>
      <c r="K49" s="36" cm="1">
        <f t="array" ref="K49">_xll.BDP($B49&amp;" Equity","bid")</f>
        <v>0.05</v>
      </c>
      <c r="L49" s="36" cm="1">
        <f t="array" ref="L49">_xll.BDP($B49&amp;" Equity","ask")</f>
        <v>0.1</v>
      </c>
      <c r="M49" s="40">
        <f>(L49/K49-1)</f>
        <v>1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450</v>
      </c>
      <c r="Q49" s="58">
        <f>P49/'Master P&amp;L'!$AD$5*10000</f>
        <v>2.0035306056049524E-3</v>
      </c>
      <c r="R49" s="37" cm="1">
        <f t="array" ref="R49">_xll.BDP($C49&amp;" Equity","EST_PE_NXT_YR")*(T49/S49)</f>
        <v>37.113123628619952</v>
      </c>
      <c r="S49" s="36" cm="1">
        <f t="array" ref="S49">_xll.BDP(C49&amp;" Equity","LAST_PRICE")</f>
        <v>1379.35</v>
      </c>
      <c r="T49" s="53" cm="1">
        <f t="array" ref="T49">_xll.BDP(B49&amp;" Equity","OPT_STRIKE_PX")</f>
        <v>1200</v>
      </c>
      <c r="U49" s="40">
        <f>T49/S49-1</f>
        <v>-0.13002501178091119</v>
      </c>
      <c r="V49" s="37" cm="1">
        <f t="array" ref="V49">_xll.BDP($B49&amp;" Equity","ivol_mid")</f>
        <v>80.40352</v>
      </c>
      <c r="W49" s="38" cm="1">
        <f t="array" ref="W49">_xll.BDP(B49&amp;" Equity","DELTA_MID_RT")</f>
        <v>-3.3503754530102015E-3</v>
      </c>
      <c r="X49" s="357">
        <f>Y49/'Master P&amp;L'!$AE$5</f>
        <v>-9.2589968924711807E-6</v>
      </c>
      <c r="Y49" s="15">
        <f>IF(G49="Sell", S49*W49*-H49*O49/N49, S49*W49*H49*O49/N49)</f>
        <v>-20796.031714993296</v>
      </c>
      <c r="Z49" s="15" cm="1">
        <f t="array" ref="Z49">_xll.BDP($B49&amp;" Equity","opt_theta")*H49*O49/N49</f>
        <v>-950.65650000000005</v>
      </c>
      <c r="AA49" s="19" cm="1">
        <f t="array" ref="AA49">_xll.BDP($B49&amp;" Equity","opt_theta")/I49</f>
        <v>-2.1125699999999998</v>
      </c>
      <c r="AB49" s="36" t="str" cm="1">
        <f t="array" ref="AB49">_xll.BDP($C49&amp;" Equity","EXPECTED_REPORT_DT")</f>
        <v>28/01/2026</v>
      </c>
      <c r="AC49" s="15">
        <f>S49*H49*O49/N49</f>
        <v>6207074.9999999991</v>
      </c>
      <c r="AD49" s="48">
        <f>AC49/'Master P&amp;L'!$AE$5</f>
        <v>2.7635699408411906E-3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2286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2.8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34.020363326234957</v>
      </c>
      <c r="S50" s="36" cm="1">
        <f t="array" ref="S50">_xll.BDP(C50&amp;" Equity","LAST_PRICE")</f>
        <v>1379.35</v>
      </c>
      <c r="T50" s="53" cm="1">
        <f t="array" ref="T50">_xll.BDP(B50&amp;" Equity","OPT_STRIKE_PX")</f>
        <v>1100</v>
      </c>
      <c r="U50" s="40">
        <f>T50/S50-1</f>
        <v>-0.20252292746583533</v>
      </c>
      <c r="V50" s="37" cm="1">
        <f t="array" ref="V50">_xll.BDP(B50&amp;" Equity","ivol_mid")</f>
        <v>131.8023</v>
      </c>
      <c r="W50" s="38" cm="1">
        <f t="array" ref="W50">_xll.BDP(B50&amp;" Equity","DELTA_MID_RT")</f>
        <v>-3.6850471049547195E-2</v>
      </c>
      <c r="X50" s="357">
        <f>Y50/'Master P&amp;L'!$AE$5</f>
        <v>1.0183885409836716E-4</v>
      </c>
      <c r="Y50" s="15">
        <f>IF(G50="Sell", S50*W50*-H50*O50/N50, S50*W50*H50*O50/N50)</f>
        <v>228733.63758986816</v>
      </c>
      <c r="Z50" s="15" cm="1">
        <f t="array" ref="Z50">_xll.BDP($B50&amp;" Equity","opt_theta")*H50*O50/N50</f>
        <v>-6701.6790000000001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6207074.9999999991</v>
      </c>
      <c r="AD50" s="19">
        <f>AC50/'Master P&amp;L'!$AE$5</f>
        <v>2.7635699408411906E-3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7">
        <f>X49+X50</f>
        <v>9.2579857205895969E-5</v>
      </c>
      <c r="Y51" s="13">
        <f>Y49+Y50</f>
        <v>207937.60587487486</v>
      </c>
      <c r="AC51" s="100" t="s">
        <v>229</v>
      </c>
      <c r="AD51" s="122">
        <f>AD49</f>
        <v>2.7635699408411906E-3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-2.7249999999999996</v>
      </c>
      <c r="L52" s="64"/>
      <c r="P52" s="100"/>
      <c r="Q52" s="108"/>
      <c r="S52" s="100"/>
      <c r="T52" s="102"/>
      <c r="W52" s="100"/>
      <c r="X52" s="122"/>
      <c r="Z52" s="3">
        <f>Y51/S49</f>
        <v>150.75043018441647</v>
      </c>
      <c r="AC52" s="100"/>
      <c r="AD52" s="104"/>
    </row>
    <row r="54" spans="1:36">
      <c r="H54">
        <v>1</v>
      </c>
      <c r="I54" s="64"/>
      <c r="J54" s="43">
        <f>J55-J56</f>
        <v>4.3560782849497495E-4</v>
      </c>
      <c r="L54" s="64"/>
      <c r="P54" s="13">
        <f>P55+P56</f>
        <v>1400</v>
      </c>
    </row>
    <row r="55" spans="1:36">
      <c r="A55" s="98" t="s">
        <v>256</v>
      </c>
      <c r="B55" s="59" t="s">
        <v>2288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1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0.15</v>
      </c>
      <c r="J55" s="19">
        <f>I55/S55</f>
        <v>4.6672267338747315E-4</v>
      </c>
      <c r="K55" s="36" cm="1">
        <f t="array" ref="K55">_xll.BDP($B55&amp;" Equity","bid")</f>
        <v>0.08</v>
      </c>
      <c r="L55" s="36" cm="1">
        <f t="array" ref="L55">_xll.BDP($B55&amp;" Equity","ask")</f>
        <v>0.15</v>
      </c>
      <c r="M55" s="40">
        <f>(L55/K55-1)</f>
        <v>0.875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1500</v>
      </c>
      <c r="Q55" s="58">
        <f>P55/'Master P&amp;L'!$AD$5*10000</f>
        <v>6.678435352016507E-3</v>
      </c>
      <c r="R55" s="37" cm="1">
        <f t="array" ref="R55">_xll.BDP($C55&amp;" Equity","EST_PE_NXT_YR")*(T55/S55)</f>
        <v>25.227711891364862</v>
      </c>
      <c r="S55" s="36" cm="1">
        <f t="array" ref="S55">_xll.BDP(C55&amp;" Equity","LAST_PRICE")</f>
        <v>321.39</v>
      </c>
      <c r="T55" s="53" cm="1">
        <f t="array" ref="T55">_xll.BDP(B55&amp;" Equity","OPT_STRIKE_PX")</f>
        <v>290</v>
      </c>
      <c r="U55" s="40">
        <f>T55/S55-1</f>
        <v>-9.7669498117551878E-2</v>
      </c>
      <c r="V55" s="37" cm="1">
        <f t="array" ref="V55">_xll.BDP($B55&amp;" Equity","ivol_mid")</f>
        <v>66.599890000000002</v>
      </c>
      <c r="W55" s="38" cm="1">
        <f t="array" ref="W55">_xll.BDP(B55&amp;" Equity","DELTA_MID_RT")</f>
        <v>-1.9095465540885925E-2</v>
      </c>
      <c r="X55" s="48">
        <f>Y55/'Master P&amp;L'!$AE$5</f>
        <v>-2.7324113312487815E-5</v>
      </c>
      <c r="Y55" s="15">
        <f>IF(G55="Sell", S55*W55*-H55*O55/N55, S55*W55*H55*O55/N55)</f>
        <v>-61370.916701853275</v>
      </c>
      <c r="Z55" s="15" cm="1">
        <f t="array" ref="Z55">_xll.BDP($B55&amp;" Equity","opt_theta")*H55*O55/N55</f>
        <v>-1383.3899999999999</v>
      </c>
      <c r="AA55" s="19" cm="1">
        <f t="array" ref="AA55">_xll.BDP($B55&amp;" Equity","opt_theta")/I55</f>
        <v>-0.92225999999999997</v>
      </c>
      <c r="AB55" s="36" t="str" cm="1">
        <f t="array" ref="AB55">_xll.BDP($C55&amp;" Equity","EXPECTED_REPORT_DT")</f>
        <v>12/02/2026</v>
      </c>
      <c r="AC55" s="15">
        <f>S55*H55*O55/N55</f>
        <v>3213900</v>
      </c>
      <c r="AD55" s="48">
        <f>AC55/'Master P&amp;L'!$AE$5</f>
        <v>1.4309215585230569E-3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2287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1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>
        <f>IF(G56="Buy",L56,K56)</f>
        <v>0.01</v>
      </c>
      <c r="J56" s="19">
        <f>I56/S56</f>
        <v>3.1114844892498216E-5</v>
      </c>
      <c r="K56" s="36" cm="1">
        <f t="array" ref="K56">_xll.BDP($B56&amp;" Equity","bid")</f>
        <v>0.01</v>
      </c>
      <c r="L56" s="36" cm="1">
        <f t="array" ref="L56">_xll.BDP($B56&amp;" Equity","ask")</f>
        <v>0.28000000000000003</v>
      </c>
      <c r="M56" s="40">
        <f>(L56/K56-1)</f>
        <v>27.000000000000004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-100</v>
      </c>
      <c r="Q56" s="58">
        <f>P56/'Master P&amp;L'!$AD$5*10000</f>
        <v>-4.4522902346776712E-4</v>
      </c>
      <c r="R56" s="37" cm="1">
        <f t="array" ref="R56">_xll.BDP($C56&amp;" Equity","EST_PE_NXT_YR")*(T56/S56)</f>
        <v>24.357790791662627</v>
      </c>
      <c r="S56" s="36" cm="1">
        <f t="array" ref="S56">_xll.BDP(C56&amp;" Equity","LAST_PRICE")</f>
        <v>321.39</v>
      </c>
      <c r="T56" s="53" cm="1">
        <f t="array" ref="T56">_xll.BDP(B56&amp;" Equity","OPT_STRIKE_PX")</f>
        <v>280</v>
      </c>
      <c r="U56" s="40">
        <f>T56/S56-1</f>
        <v>-0.12878434301005004</v>
      </c>
      <c r="V56" s="37" cm="1">
        <f t="array" ref="V56">_xll.BDP(B56&amp;" Equity","ivol_mid")</f>
        <v>75.047430000000006</v>
      </c>
      <c r="W56" s="38" cm="1">
        <f t="array" ref="W56">_xll.BDP(B56&amp;" Equity","DELTA_MID_RT")</f>
        <v>-1.7869360744953156E-2</v>
      </c>
      <c r="X56" s="48">
        <f>Y56/'Master P&amp;L'!$AE$5</f>
        <v>2.55696535269791E-5</v>
      </c>
      <c r="Y56" s="15">
        <f>IF(G56="Sell", S56*W56*-H56*O56/N56, S56*W56*H56*O56/N56)</f>
        <v>57430.338498204947</v>
      </c>
      <c r="Z56" s="15" cm="1">
        <f t="array" ref="Z56">_xll.BDP($B56&amp;" Equity","opt_theta")*H56*O56/N56</f>
        <v>-749.55</v>
      </c>
      <c r="AA56" s="19" cm="1">
        <f t="array" ref="AA56">_xll.BDP($B56&amp;" Equity","opt_theta")/I56</f>
        <v>-7.4954999999999989</v>
      </c>
      <c r="AB56" s="36" t="str" cm="1">
        <f t="array" ref="AB56">_xll.BDP($C56&amp;" Equity","EXPECTED_REPORT_DT")</f>
        <v>12/02/2026</v>
      </c>
      <c r="AC56" s="15">
        <f>S56*H56*O56/N56</f>
        <v>3213900</v>
      </c>
      <c r="AD56" s="19">
        <f>AC56/'Master P&amp;L'!$AE$5</f>
        <v>1.4309215585230569E-3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>
        <f>I57/K58</f>
        <v>-4.6666666666666616</v>
      </c>
      <c r="H57" s="100" t="s">
        <v>116</v>
      </c>
      <c r="I57" s="102">
        <f>I55-I56</f>
        <v>0.13999999999999999</v>
      </c>
      <c r="J57" s="100" t="s">
        <v>249</v>
      </c>
      <c r="K57" s="101">
        <f>K56/L55</f>
        <v>6.6666666666666666E-2</v>
      </c>
      <c r="L57" s="64"/>
      <c r="P57" s="100" t="s">
        <v>250</v>
      </c>
      <c r="Q57" s="108">
        <f>Q55+Q56</f>
        <v>6.2332063285487401E-3</v>
      </c>
      <c r="S57" s="100" t="s">
        <v>251</v>
      </c>
      <c r="T57" s="102">
        <f>T55-T56</f>
        <v>10</v>
      </c>
      <c r="W57" s="100" t="s">
        <v>252</v>
      </c>
      <c r="X57" s="122">
        <f>X55+X56</f>
        <v>-1.7544597855087153E-6</v>
      </c>
      <c r="Y57" s="13"/>
      <c r="AC57" s="100" t="s">
        <v>229</v>
      </c>
      <c r="AD57" s="122">
        <f>AD55</f>
        <v>1.4309215585230569E-3</v>
      </c>
    </row>
    <row r="58" spans="1:36">
      <c r="H58" s="100" t="s">
        <v>253</v>
      </c>
      <c r="I58" s="102">
        <f>(T57-I57)/I57</f>
        <v>70.428571428571431</v>
      </c>
      <c r="J58" s="100" t="s">
        <v>145</v>
      </c>
      <c r="K58" s="109">
        <f>AVERAGE(K55:L55)-AVERAGE(K56:L56)</f>
        <v>-3.0000000000000027E-2</v>
      </c>
      <c r="L58" s="64"/>
      <c r="P58" s="100"/>
      <c r="Q58" s="108"/>
      <c r="S58" s="100"/>
      <c r="T58" s="102"/>
      <c r="W58" s="100"/>
      <c r="X58" s="122"/>
      <c r="Y58" s="13">
        <f>Y55+Y56</f>
        <v>-3940.5782036483288</v>
      </c>
      <c r="Z58" s="3"/>
      <c r="AC58" s="100"/>
      <c r="AD58" s="104"/>
    </row>
    <row r="59" spans="1:36">
      <c r="K59" s="64">
        <f>K58-K52</f>
        <v>2.6949999999999994</v>
      </c>
      <c r="Y59" s="64">
        <f>Y58/S55</f>
        <v>-12.261047959327698</v>
      </c>
    </row>
    <row r="60" spans="1:36">
      <c r="I60" s="64">
        <f>I51-I57</f>
        <v>1.6600000000000001</v>
      </c>
      <c r="K60" s="64">
        <f>K52-K58</f>
        <v>-2.6949999999999994</v>
      </c>
      <c r="Y60" s="64"/>
    </row>
    <row r="61" spans="1:36">
      <c r="H61">
        <v>1</v>
      </c>
      <c r="I61" s="64"/>
      <c r="L61" s="64">
        <f>AVERAGE(K62:L62)</f>
        <v>5.45</v>
      </c>
      <c r="T61" s="64">
        <f>T62-S62</f>
        <v>-4.3400000000000034</v>
      </c>
    </row>
    <row r="62" spans="1:36">
      <c r="A62" s="98" t="s">
        <v>256</v>
      </c>
      <c r="B62" t="s">
        <v>2067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57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5.5</v>
      </c>
      <c r="J62" s="19">
        <f>I62/S62</f>
        <v>6.5212236186862699E-2</v>
      </c>
      <c r="K62" s="36" cm="1">
        <f t="array" ref="K62">_xll.BDP($B62&amp;" Equity","bid")</f>
        <v>5.4</v>
      </c>
      <c r="L62" s="36" cm="1">
        <f t="array" ref="L62">_xll.BDP($B62&amp;" Equity","ask")</f>
        <v>5.5</v>
      </c>
      <c r="M62" s="40">
        <f>(L62/K62-1)</f>
        <v>1.8518518518518379E-2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82500</v>
      </c>
      <c r="Q62" s="58">
        <f>P62/'Master P&amp;L'!$AD$5*10000</f>
        <v>0.36731394436090786</v>
      </c>
      <c r="R62" s="37" cm="1">
        <f t="array" ref="R62">_xll.BDP($C62&amp;" Equity","EST_PE_NXT_YR")*(T62/S62)</f>
        <v>21.84768708289576</v>
      </c>
      <c r="S62" s="36" cm="1">
        <f t="array" ref="S62">_xll.BDP(C62&amp;" Equity","LAST_PRICE")</f>
        <v>84.34</v>
      </c>
      <c r="T62" s="53" cm="1">
        <f t="array" ref="T62">_xll.BDP(B62&amp;" Equity","OPT_STRIKE_PX")</f>
        <v>80</v>
      </c>
      <c r="U62" s="40">
        <f>T62/S62-1</f>
        <v>-5.1458382736542574E-2</v>
      </c>
      <c r="V62" s="37" cm="1">
        <f t="array" ref="V62">_xll.BDP($B62&amp;" Equity","ivol_mid")</f>
        <v>58.339080000000003</v>
      </c>
      <c r="W62" s="38" cm="1">
        <f t="array" ref="W62">_xll.BDP(B62&amp;" Equity","DELTA_MID_RT")</f>
        <v>-0.35786199569702148</v>
      </c>
      <c r="X62" s="48">
        <f>Y62/'Master P&amp;L'!$AE$5</f>
        <v>-2.0156907485840818E-4</v>
      </c>
      <c r="Y62" s="15">
        <f>IF(G62="Sell", S62*W62*-H62*O62/N62, S62*W62*H62*O62/N62)</f>
        <v>-452731.21075630188</v>
      </c>
      <c r="Z62" s="15" cm="1">
        <f t="array" ref="Z62">_xll.BDP($B62&amp;" Equity","opt_theta")*H62*O62/N62</f>
        <v>-941.50500000000011</v>
      </c>
      <c r="AA62" s="19" cm="1">
        <f t="array" ref="AA62">_xll.BDP($B62&amp;" Equity","opt_theta")/I62</f>
        <v>-1.141218181818182E-2</v>
      </c>
      <c r="AB62" s="36" t="str" cm="1">
        <f t="array" ref="AB62">_xll.BDP($C62&amp;" Equity","EXPECTED_REPORT_DT")</f>
        <v>05/03/2026</v>
      </c>
      <c r="AC62" s="15">
        <f>S62*H62*O62/N62</f>
        <v>1265100</v>
      </c>
      <c r="AD62" s="48">
        <f>AC62/'Master P&amp;L'!$AE$5</f>
        <v>5.632592375890722E-4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2336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57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2.1800000000000002</v>
      </c>
      <c r="J63" s="19">
        <f>I63/S63</f>
        <v>2.5847759070429216E-2</v>
      </c>
      <c r="K63" s="36" cm="1">
        <f t="array" ref="K63">_xll.BDP($B63&amp;" Equity","bid")</f>
        <v>2.1800000000000002</v>
      </c>
      <c r="L63" s="36" cm="1">
        <f t="array" ref="L63">_xll.BDP($B63&amp;" Equity","ask")</f>
        <v>2.27</v>
      </c>
      <c r="M63" s="40">
        <f>(L63/K63-1)</f>
        <v>4.1284403669724634E-2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-32700</v>
      </c>
      <c r="Q63" s="58">
        <f>P63/'Master P&amp;L'!$AD$5*10000</f>
        <v>-0.14558989067395986</v>
      </c>
      <c r="R63" s="37" cm="1">
        <f t="array" ref="R63">_xll.BDP($C63&amp;" Equity","EST_PE_NXT_YR")*(T63/S63)</f>
        <v>19.116726197533787</v>
      </c>
      <c r="S63" s="36" cm="1">
        <f t="array" ref="S63">_xll.BDP(C63&amp;" Equity","LAST_PRICE")</f>
        <v>84.34</v>
      </c>
      <c r="T63" s="53" cm="1">
        <f t="array" ref="T63">_xll.BDP(B63&amp;" Equity","OPT_STRIKE_PX")</f>
        <v>70</v>
      </c>
      <c r="U63" s="40">
        <f>T63/S63-1</f>
        <v>-0.17002608489447479</v>
      </c>
      <c r="V63" s="37" cm="1">
        <f t="array" ref="V63">_xll.BDP($B63&amp;" Equity","ivol_mid")</f>
        <v>59.899760000000001</v>
      </c>
      <c r="W63" s="38" cm="1">
        <f t="array" ref="W63">_xll.BDP(B63&amp;" Equity","DELTA_MID_RT")</f>
        <v>-0.17956097424030304</v>
      </c>
      <c r="X63" s="48">
        <f>Y63/'Master P&amp;L'!$AE$5</f>
        <v>1.0113937745134413E-4</v>
      </c>
      <c r="Y63" s="15">
        <f>IF(G63="Sell", S63*W63*-H63*O63/N63, S63*W63*H63*O63/N63)</f>
        <v>227162.58851140738</v>
      </c>
      <c r="Z63" s="15" cm="1">
        <f t="array" ref="Z63">_xll.BDP($B63&amp;" Equity","opt_theta")*H63*O63/N63</f>
        <v>-712.84500000000003</v>
      </c>
      <c r="AA63" s="19" cm="1">
        <f t="array" ref="AA63">_xll.BDP($B63&amp;" Equity","opt_theta")/I63</f>
        <v>-2.1799541284403669E-2</v>
      </c>
      <c r="AB63" s="36" t="str" cm="1">
        <f t="array" ref="AB63">_xll.BDP($C63&amp;" Equity","EXPECTED_REPORT_DT")</f>
        <v>05/03/2026</v>
      </c>
      <c r="AC63" s="15">
        <f>S63*H63*O63/N63</f>
        <v>1265100</v>
      </c>
      <c r="AD63" s="48">
        <f>AC63/'Master P&amp;L'!$AE$5</f>
        <v>5.632592375890722E-4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3.32</v>
      </c>
      <c r="J64" s="100" t="s">
        <v>249</v>
      </c>
      <c r="K64" s="101">
        <f>K63/L62</f>
        <v>0.39636363636363642</v>
      </c>
      <c r="L64" s="64"/>
      <c r="P64" s="100" t="s">
        <v>250</v>
      </c>
      <c r="Q64" s="108">
        <f>Q62+Q63</f>
        <v>0.221724053686948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-1.0042969740706405E-4</v>
      </c>
      <c r="Y64" s="13">
        <f>Y62+Y63</f>
        <v>-225568.6222448945</v>
      </c>
      <c r="AC64" s="100" t="s">
        <v>229</v>
      </c>
      <c r="AD64" s="122">
        <f>AD62</f>
        <v>5.632592375890722E-4</v>
      </c>
    </row>
    <row r="65" spans="1:31">
      <c r="H65" s="100" t="s">
        <v>253</v>
      </c>
      <c r="I65" s="102">
        <f>(T64-I64)/I64</f>
        <v>2.0120481927710845</v>
      </c>
      <c r="J65" s="100" t="s">
        <v>145</v>
      </c>
      <c r="K65" s="109">
        <f>AVERAGE(K62:L62)-AVERAGE(K63:L63)</f>
        <v>3.2250000000000001</v>
      </c>
      <c r="P65" s="100"/>
      <c r="Q65" s="108"/>
      <c r="S65" s="100"/>
      <c r="T65" s="102"/>
      <c r="W65" s="100"/>
      <c r="X65" s="122"/>
      <c r="Z65" s="3">
        <f>Y64/S62</f>
        <v>-2674.5153218507767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2300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1.8</v>
      </c>
      <c r="J68" s="19">
        <f>I68/S68</f>
        <v>2.9035536270224059E-3</v>
      </c>
      <c r="K68" s="36" cm="1">
        <f t="array" ref="K68">_xll.BDP($B68&amp;" Equity","bid")</f>
        <v>1.66</v>
      </c>
      <c r="L68" s="36" cm="1">
        <f t="array" ref="L68">_xll.BDP($B68&amp;" Equity","ask")</f>
        <v>1.8</v>
      </c>
      <c r="M68" s="40">
        <f>(L68/K68-1)</f>
        <v>8.4337349397590522E-2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90000</v>
      </c>
      <c r="Q68" s="58">
        <f>P68/'Master P&amp;L'!$AD$5*10000</f>
        <v>0.40070612112099047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619.92999999999995</v>
      </c>
      <c r="T68" s="53" cm="1">
        <f t="array" ref="T68">_xll.BDP(B68&amp;" Equity","OPT_STRIKE_PX")</f>
        <v>623</v>
      </c>
      <c r="U68" s="40">
        <f>T68/S68-1</f>
        <v>4.9521720194216634E-3</v>
      </c>
      <c r="V68" s="37" cm="1">
        <f t="array" ref="V68">_xll.BDP($B68&amp;" Equity","ivol_mid")</f>
        <v>243.6644</v>
      </c>
      <c r="W68" s="38" cm="1">
        <f t="array" ref="W68">_xll.BDP(B68&amp;" Equity","DELTA_MID_RT")</f>
        <v>-0.68529897928237915</v>
      </c>
      <c r="X68" s="48">
        <f>Y68/'Master P&amp;L'!$AE$5</f>
        <v>-9.4574969527262357E-3</v>
      </c>
      <c r="Y68" s="15">
        <f>IF(G68="Sell", S68*W68*-H68*O68/N68, S68*W68*H68*O68/N68)</f>
        <v>-21241869.811326265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30996500</v>
      </c>
      <c r="AD68" s="48">
        <f>AC68/'Master P&amp;L'!$AE$5</f>
        <v>1.3800541425918645E-2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2301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>
        <f>IF(G69="Buy",L69,K69)</f>
        <v>0.7</v>
      </c>
      <c r="J69" s="19">
        <f>I69/S69</f>
        <v>1.1291597438420468E-3</v>
      </c>
      <c r="K69" s="36" cm="1">
        <f t="array" ref="K69">_xll.BDP($B69&amp;" Equity","bid")</f>
        <v>0.7</v>
      </c>
      <c r="L69" s="36" cm="1">
        <f t="array" ref="L69">_xll.BDP($B69&amp;" Equity","ask")</f>
        <v>0.81</v>
      </c>
      <c r="M69" s="40">
        <f>(L69/K69-1)</f>
        <v>0.15714285714285725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>
        <f>IF(G69="Buy",((I69/N69)*H69*O69),((I69/N69)*-H69*O69))</f>
        <v>-35000</v>
      </c>
      <c r="Q69" s="58">
        <f>P69/'Master P&amp;L'!$AD$5*10000</f>
        <v>-0.15583015821371851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619.92999999999995</v>
      </c>
      <c r="T69" s="53" cm="1">
        <f t="array" ref="T69">_xll.BDP(B69&amp;" Equity","OPT_STRIKE_PX")</f>
        <v>622</v>
      </c>
      <c r="U69" s="40">
        <f>T69/S69-1</f>
        <v>3.3390866710758527E-3</v>
      </c>
      <c r="V69" s="37" cm="1">
        <f t="array" ref="V69">_xll.BDP($B69&amp;" Equity","ivol_mid")</f>
        <v>156.3775</v>
      </c>
      <c r="W69" s="38" cm="1">
        <f t="array" ref="W69">_xll.BDP(B69&amp;" Equity","DELTA_MID_RT")</f>
        <v>-0.55367797613143921</v>
      </c>
      <c r="X69" s="48">
        <f>Y69/'Master P&amp;L'!$AE$5</f>
        <v>7.641055846220721E-3</v>
      </c>
      <c r="Y69" s="15">
        <f>IF(G69="Sell", S69*W69*-H69*O69/N69, S69*W69*H69*O69/N69)</f>
        <v>17162079.387158155</v>
      </c>
      <c r="Z69" s="15" cm="1">
        <f t="array" ref="Z69">_xll.BDP($B69&amp;" Equity","opt_theta")*H69*O69/N69</f>
        <v>0</v>
      </c>
      <c r="AA69" s="19" cm="1">
        <f t="array" ref="AA69">_xll.BDP($B69&amp;" Equity","opt_theta")/I69</f>
        <v>0</v>
      </c>
      <c r="AB69" s="36" t="str" cm="1">
        <f t="array" ref="AB69">_xll.BDP($C69&amp;" Equity","EXPECTED_REPORT_DT")</f>
        <v>#N/A N/A</v>
      </c>
      <c r="AC69" s="15">
        <f>S69*H69*O69/N69</f>
        <v>30996500</v>
      </c>
      <c r="AD69" s="48">
        <f>AC69/'Master P&amp;L'!$AE$5</f>
        <v>1.3800541425918645E-2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>
        <f>I68-I69</f>
        <v>1.1000000000000001</v>
      </c>
      <c r="J70" s="100" t="s">
        <v>249</v>
      </c>
      <c r="K70" s="101">
        <f>K69/L68</f>
        <v>0.38888888888888884</v>
      </c>
      <c r="P70" s="100" t="s">
        <v>250</v>
      </c>
      <c r="Q70" s="108">
        <f>Q68+Q69</f>
        <v>0.24487596290727195</v>
      </c>
      <c r="S70" s="100" t="s">
        <v>251</v>
      </c>
      <c r="T70" s="102">
        <f>T68-T69</f>
        <v>1</v>
      </c>
      <c r="W70" s="100" t="s">
        <v>252</v>
      </c>
      <c r="X70" s="122">
        <f>X68+X69</f>
        <v>-1.8164411065055147E-3</v>
      </c>
      <c r="AC70" s="100" t="s">
        <v>229</v>
      </c>
      <c r="AD70" s="122">
        <f>AD68</f>
        <v>1.3800541425918645E-2</v>
      </c>
    </row>
    <row r="71" spans="1:31">
      <c r="H71" s="100" t="s">
        <v>253</v>
      </c>
      <c r="I71" s="102">
        <f>(T70-I70)/I70</f>
        <v>-9.0909090909090981E-2</v>
      </c>
      <c r="J71" s="100" t="s">
        <v>145</v>
      </c>
      <c r="K71" s="109">
        <f>AVERAGE(K68:L68)-AVERAGE(K69:L69)</f>
        <v>0.97499999999999998</v>
      </c>
      <c r="P71" s="100"/>
      <c r="Q71" s="108"/>
      <c r="S71" s="100"/>
      <c r="T71" s="102"/>
      <c r="W71" s="100"/>
      <c r="X71" s="122"/>
      <c r="Y71" s="13">
        <f>Y68+Y69</f>
        <v>-4079790.4241681099</v>
      </c>
      <c r="AC71" s="100"/>
      <c r="AD71" s="104"/>
    </row>
    <row r="72" spans="1:31">
      <c r="K72" s="64">
        <f>K62-K71</f>
        <v>4.4250000000000007</v>
      </c>
      <c r="L72" s="64">
        <f>L68-L69</f>
        <v>0.99</v>
      </c>
      <c r="P72" s="13">
        <f>-P62-P67</f>
        <v>-82500</v>
      </c>
      <c r="Y72" s="64">
        <f>Y71/S68</f>
        <v>-6581.050157546998</v>
      </c>
    </row>
    <row r="73" spans="1:31">
      <c r="I73" s="3"/>
      <c r="K73" s="64">
        <f>K71-K65</f>
        <v>-2.25</v>
      </c>
    </row>
    <row r="74" spans="1:31">
      <c r="H74">
        <v>1</v>
      </c>
      <c r="I74" s="64"/>
      <c r="L74">
        <f>K75/L76</f>
        <v>98</v>
      </c>
      <c r="P74" s="13"/>
    </row>
    <row r="75" spans="1:31">
      <c r="A75" s="98" t="s">
        <v>256</v>
      </c>
      <c r="B75" s="59" t="s">
        <v>2339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cm="1">
        <f t="array" ref="E75">_xll.BDP($B75&amp;" Index","opt_days_expire")</f>
        <v>1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0.99</v>
      </c>
      <c r="J75" s="19">
        <f>I75/S75</f>
        <v>1.5969544948623232E-3</v>
      </c>
      <c r="K75" s="36" cm="1">
        <f t="array" ref="K75">_xll.BDP($B75&amp;" Equity","bid")</f>
        <v>0.98</v>
      </c>
      <c r="L75" s="36" cm="1">
        <f t="array" ref="L75">_xll.BDP($B75&amp;" Equity","ask")</f>
        <v>0.99</v>
      </c>
      <c r="M75" s="40">
        <f>(L75/K75-1)</f>
        <v>1.0204081632652962E-2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7425</v>
      </c>
      <c r="Q75" s="58">
        <f>P75/'Master P&amp;L'!$AD$5*10000</f>
        <v>3.305825499248171E-2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619.92999999999995</v>
      </c>
      <c r="T75" s="53" cm="1">
        <f t="array" ref="T75">_xll.BDP(B75&amp;" Equity","OPT_STRIKE_PX")</f>
        <v>615</v>
      </c>
      <c r="U75" s="19">
        <f>T75/S75-1</f>
        <v>-7.9525107673446005E-3</v>
      </c>
      <c r="V75" s="37" cm="1">
        <f t="array" ref="V75">_xll.BDP($B75&amp;" Equity","ivol_mid")</f>
        <v>14.106859999999999</v>
      </c>
      <c r="W75" s="38" cm="1">
        <f t="array" ref="W75">_xll.BDP(B75&amp;" Equity","DELTA_MID_RT")</f>
        <v>-0.23833346366882324</v>
      </c>
      <c r="X75" s="48">
        <f>Y75/'Master P&amp;L'!$AE$5</f>
        <v>-4.9336962578164071E-4</v>
      </c>
      <c r="Y75" s="15">
        <f>IF(G75="Sell", S75*W75*-H75*O75/N75, S75*W75*H75*O75/N75)</f>
        <v>-1108125.4809916019</v>
      </c>
      <c r="Z75" s="15" cm="1">
        <f t="array" ref="Z75">_xll.BDP($B75&amp;" Equity","opt_theta")*H75*O75/N75</f>
        <v>-4349.3624999999993</v>
      </c>
      <c r="AA75" s="19" cm="1">
        <f t="array" ref="AA75">_xll.BDP($B75&amp;" Equity","opt_theta")/I75</f>
        <v>-0.58577272727272722</v>
      </c>
      <c r="AB75" s="36" t="str" cm="1">
        <f t="array" ref="AB75">_xll.BDP($C75&amp;" Equity","EXPECTED_REPORT_DT")</f>
        <v>#N/A N/A</v>
      </c>
      <c r="AC75" s="15">
        <f>S75*H75*O75/N75</f>
        <v>4649474.9999999991</v>
      </c>
      <c r="AD75" s="48">
        <f>AC75/'Master P&amp;L'!$AE$5</f>
        <v>2.0700812138877965E-3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2338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cm="1">
        <f t="array" ref="L76">_xll.BDP($B76&amp;" Equity","ask")</f>
        <v>0.01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619.92999999999995</v>
      </c>
      <c r="T76" s="53" cm="1">
        <f t="array" ref="T76">_xll.BDP(B76&amp;" Equity","OPT_STRIKE_PX")</f>
        <v>616</v>
      </c>
      <c r="U76" s="19">
        <f>T76/S76-1</f>
        <v>-6.3394254189987898E-3</v>
      </c>
      <c r="V76" s="37" cm="1">
        <f t="array" ref="V76">_xll.BDP($B76&amp;" Equity","ivol_mid")</f>
        <v>21.169789999999999</v>
      </c>
      <c r="W76" s="38" cm="1">
        <f t="array" ref="W76">_xll.BDP(B76&amp;" Equity","DELTA_MID_RT")</f>
        <v>-9.7928561270236969E-2</v>
      </c>
      <c r="X76" s="48">
        <f>Y76/'Master P&amp;L'!$AE$5</f>
        <v>2.0272007498857761E-4</v>
      </c>
      <c r="Y76" s="15">
        <f>IF(G76="Sell", S76*W76*-H76*O76/N76, S76*W76*H76*O76/N76)</f>
        <v>455316.39741193503</v>
      </c>
      <c r="Z76" s="15" cm="1">
        <f t="array" ref="Z76">_xll.BDP($B76&amp;" Equity","opt_theta")*H76*O76/N76</f>
        <v>0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4649474.9999999991</v>
      </c>
      <c r="AD76" s="48">
        <f>AC76/'Master P&amp;L'!$AE$5</f>
        <v>2.0700812138877965E-3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-2.906495507930631E-4</v>
      </c>
      <c r="AC77" s="100" t="s">
        <v>229</v>
      </c>
      <c r="AD77" s="122">
        <f>AD75</f>
        <v>2.0700812138877965E-3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>
        <f>AVERAGE(K75:L75)-AVERAGE(K76:L76)</f>
        <v>0.97499999999999998</v>
      </c>
      <c r="P78" s="100"/>
      <c r="Q78" s="108"/>
      <c r="S78" s="100"/>
      <c r="T78" s="102"/>
      <c r="W78" s="100"/>
      <c r="X78" s="122"/>
      <c r="Y78" s="15">
        <f>Y75+Y76</f>
        <v>-652809.08357966691</v>
      </c>
      <c r="AC78" s="100"/>
      <c r="AD78" s="104"/>
    </row>
    <row r="79" spans="1:31">
      <c r="I79" s="64"/>
      <c r="K79" s="64">
        <f>K78-K71</f>
        <v>0</v>
      </c>
      <c r="L79" s="64"/>
      <c r="N79" s="238">
        <f>K71-(K78*3)</f>
        <v>-1.9499999999999997</v>
      </c>
      <c r="W79" s="50">
        <f>W75-W76</f>
        <v>-0.14040490239858627</v>
      </c>
      <c r="Y79" s="64">
        <f>Y78/S75</f>
        <v>-1053.036767989397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2338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21/01/2026</v>
      </c>
      <c r="E81" t="str" cm="1">
        <f t="array" ref="E81">_xll.BDP($B81&amp;" Index","opt_days_expire")</f>
        <v>#N/A N/A</v>
      </c>
      <c r="F81" t="str">
        <f>_xll.BDP(B81&amp;" Equity","QUOTED_CURRENCY_REALTIME")</f>
        <v>USD</v>
      </c>
      <c r="G81" s="105" t="s">
        <v>247</v>
      </c>
      <c r="H81" s="96">
        <v>550</v>
      </c>
      <c r="I81" s="97">
        <f>IF(G81="Buy",L81,K81)</f>
        <v>0.01</v>
      </c>
      <c r="J81" s="19">
        <f>I81/S81</f>
        <v>1.613085348345781E-5</v>
      </c>
      <c r="K81" s="36" t="str">
        <f>_xll.BDP($B81&amp;" Equity","bid")</f>
        <v>#N/A N/A</v>
      </c>
      <c r="L81" s="36">
        <f>_xll.BDP($B81&amp;" Equity","ask")</f>
        <v>0.01</v>
      </c>
      <c r="M81" s="40" t="e">
        <f>(L81/K81-1)</f>
        <v>#VALUE!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550</v>
      </c>
      <c r="Q81" s="58">
        <f>P81/'Master P&amp;L'!$AD$5*10000</f>
        <v>2.4487596290727193E-3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619.92999999999995</v>
      </c>
      <c r="T81" s="53" cm="1">
        <f t="array" ref="T81">_xll.BDP(B81&amp;" Equity","OPT_STRIKE_PX")</f>
        <v>616</v>
      </c>
      <c r="U81" s="19">
        <f>T81/S81-1</f>
        <v>-6.3394254189987898E-3</v>
      </c>
      <c r="V81" s="37" cm="1">
        <f t="array" ref="V81">_xll.BDP($B81&amp;" Equity","ivol_mid")</f>
        <v>21.169789999999999</v>
      </c>
      <c r="W81" s="38">
        <f>_xll.BDP(B81&amp;" Equity","DELTA_MID_RT")</f>
        <v>-9.7928561270236969E-2</v>
      </c>
      <c r="X81" s="48">
        <f>Y81/'Master P&amp;L'!$AE$5</f>
        <v>-1.4866138832495691E-3</v>
      </c>
      <c r="Y81" s="15">
        <f>IF(G81="Sell", S81*W81*-H81*O81/N81, S81*W81*H81*O81/N81)</f>
        <v>-3338986.9143541902</v>
      </c>
      <c r="Z81" s="15" cm="1">
        <f t="array" ref="Z81">_xll.BDP($B81&amp;" Equity","opt_theta")*H81*O81/N81</f>
        <v>0</v>
      </c>
      <c r="AA81" s="19" cm="1">
        <f t="array" ref="AA81">_xll.BDP($B81&amp;" Equity","opt_theta")/I81</f>
        <v>0</v>
      </c>
      <c r="AB81" s="36" t="str" cm="1">
        <f t="array" ref="AB81">_xll.BDP($C81&amp;" Equity","EXPECTED_REPORT_DT")</f>
        <v>#N/A N/A</v>
      </c>
      <c r="AC81" s="15">
        <f>S81*H81*O81/N81</f>
        <v>34096150</v>
      </c>
      <c r="AD81" s="48">
        <f>AC81/'Master P&amp;L'!$AE$5</f>
        <v>1.5180595568510509E-2</v>
      </c>
      <c r="AE81" t="str">
        <f>B81&amp;" -&gt; Buy to open "&amp;H81&amp;"x"</f>
        <v>QQQ US 01/21/26 P616 -&gt; Buy to open 550x</v>
      </c>
    </row>
    <row r="82" spans="1:38">
      <c r="A82" s="98" t="s">
        <v>256</v>
      </c>
      <c r="B82" s="59" t="s">
        <v>2340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21/01/2026</v>
      </c>
      <c r="E82" t="str" cm="1">
        <f t="array" ref="E82">_xll.BDP($B82&amp;" Equity","opt_days_expire")</f>
        <v>#N/A N/A</v>
      </c>
      <c r="F82" t="s">
        <v>194</v>
      </c>
      <c r="G82" s="105" t="s">
        <v>248</v>
      </c>
      <c r="H82" s="96">
        <f>H81</f>
        <v>550</v>
      </c>
      <c r="I82" s="97" t="str">
        <f>IF(G82="Buy",L82,K82)</f>
        <v>#N/A N/A</v>
      </c>
      <c r="J82" s="19" t="e">
        <f>I82/S82</f>
        <v>#VALUE!</v>
      </c>
      <c r="K82" s="36" t="str" cm="1">
        <f t="array" ref="K82">_xll.BDP($B82&amp;" Equity","bid")</f>
        <v>#N/A N/A</v>
      </c>
      <c r="L82" s="36" cm="1">
        <f t="array" ref="L82">_xll.BDP($B82&amp;" Equity","ask")</f>
        <v>0.01</v>
      </c>
      <c r="M82" s="40" t="e">
        <f>(L82/K82-1)</f>
        <v>#VALUE!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619.92999999999995</v>
      </c>
      <c r="T82" s="53" cm="1">
        <f t="array" ref="T82">_xll.BDP(B82&amp;" Equity","OPT_STRIKE_PX")</f>
        <v>614</v>
      </c>
      <c r="U82" s="19">
        <f>T82/S82-1</f>
        <v>-9.5655961156904112E-3</v>
      </c>
      <c r="V82" s="37" cm="1">
        <f t="array" ref="V82">_xll.BDP($B82&amp;" Equity","ivol_mid")</f>
        <v>84.461179999999999</v>
      </c>
      <c r="W82" s="38" cm="1">
        <f t="array" ref="W82">_xll.BDP(B82&amp;" Equity","DELTA_MID_RT")</f>
        <v>-1.6759784892201424E-2</v>
      </c>
      <c r="X82" s="48">
        <f>Y82/'Master P&amp;L'!$AE$5</f>
        <v>2.5442351626374225E-4</v>
      </c>
      <c r="Y82" s="15">
        <f>IF(G82="Sell", S82*W82*-H82*O82/N82, S82*W82*H82*O82/N82)</f>
        <v>571444.13965223345</v>
      </c>
      <c r="Z82" s="15" cm="1">
        <f t="array" ref="Z82">_xll.BDP($B82&amp;" Equity","opt_theta")*H82*O82/N82</f>
        <v>0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N/A</v>
      </c>
      <c r="AC82" s="15">
        <f>S82*H82*O82/N82</f>
        <v>34096150</v>
      </c>
      <c r="AD82" s="48">
        <f>AC82/'Master P&amp;L'!$AE$5</f>
        <v>1.5180595568510509E-2</v>
      </c>
      <c r="AE82" t="str">
        <f>B82&amp;" -&gt; Buy to open "&amp;H82&amp;"x"</f>
        <v>QQQ US 01/21/26 P614 -&gt; Buy to open 550x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>
        <f>T81-T82</f>
        <v>2</v>
      </c>
      <c r="W83" s="100" t="s">
        <v>252</v>
      </c>
      <c r="X83" s="122">
        <f>X81+X82</f>
        <v>-1.2321903669858269E-3</v>
      </c>
      <c r="AC83" s="100" t="s">
        <v>229</v>
      </c>
      <c r="AD83" s="122">
        <f>AD81</f>
        <v>1.5180595568510509E-2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>
        <f>AVERAGE(K81:L81)-AVERAGE(K82:L82)</f>
        <v>0</v>
      </c>
      <c r="P84" s="100"/>
      <c r="Q84" s="108"/>
      <c r="S84" s="100"/>
      <c r="T84" s="102"/>
      <c r="W84" s="100"/>
      <c r="X84" s="122"/>
      <c r="Y84" s="15">
        <f>Y81+Y82</f>
        <v>-2767542.7747019567</v>
      </c>
      <c r="AC84" s="100"/>
      <c r="AD84" s="104"/>
    </row>
    <row r="85" spans="1:38">
      <c r="K85" s="64">
        <f>K84-K78</f>
        <v>-0.97499999999999998</v>
      </c>
      <c r="Y85" s="64">
        <f>Y84/S81</f>
        <v>-4464.282700791955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-297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-297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-297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-297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-426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-244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-244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-395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1900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-125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1901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-125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-0.10100541219963033</v>
      </c>
    </row>
    <row r="153" spans="1:33">
      <c r="A153" s="98"/>
      <c r="B153" s="321" t="s">
        <v>2320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15</v>
      </c>
      <c r="F153" t="str" cm="1">
        <f t="array" ref="F153">_xll.BDP(B153&amp;" Index","QUOTED_CURRENCY_REALTIME")</f>
        <v>USD</v>
      </c>
      <c r="G153" s="105" t="s">
        <v>247</v>
      </c>
      <c r="H153" s="96">
        <v>40</v>
      </c>
      <c r="I153" s="97">
        <f>IF(G153="Buy",L153,K153)</f>
        <v>135.25</v>
      </c>
      <c r="J153" s="19">
        <f>I153/S153</f>
        <v>5.2775853827468806E-3</v>
      </c>
      <c r="K153" s="36" cm="1">
        <f t="array" ref="K153">_xll.BDP($B153&amp;" Index","bid")</f>
        <v>133.75</v>
      </c>
      <c r="L153" s="36" cm="1">
        <f t="array" ref="L153">_xll.BDP($B153&amp;" Index","ask")</f>
        <v>135.25</v>
      </c>
      <c r="M153" s="40">
        <f>(L153/K153-1)</f>
        <v>1.121495327102795E-2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108200</v>
      </c>
      <c r="Q153" s="58">
        <f>P153/'Master P&amp;L'!$AD$5*10000</f>
        <v>0.48173780339212402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25627.25</v>
      </c>
      <c r="T153" s="53" cm="1">
        <f t="array" ref="T153">_xll.BDP(B153&amp;" Index","OPT_STRIKE_PX")</f>
        <v>24700</v>
      </c>
      <c r="U153" s="40">
        <f>T153/S153-1</f>
        <v>-3.6182188880976351E-2</v>
      </c>
      <c r="V153" s="37" cm="1">
        <f t="array" ref="V153">_xll.BDP($B153&amp;" Index","ivol_mid")</f>
        <v>23.190536000000002</v>
      </c>
      <c r="W153" s="38" cm="1">
        <f t="array" ref="W153">_xll.BDP(B153&amp;" Index","DELTA_MID_RT")</f>
        <v>-0.20213870704174042</v>
      </c>
      <c r="X153" s="48">
        <f>Y153/'Master P&amp;L'!$AE$5</f>
        <v>-1.845121388829693E-3</v>
      </c>
      <c r="Y153" s="15">
        <f>IF(G153="Sell", S153*W153*-H153*O153/N153, S153*W153*H153*O153/N153)</f>
        <v>-4144207.3440283537</v>
      </c>
      <c r="Z153" s="15" cm="1">
        <f t="array" ref="Z153">_xll.BDP($B153&amp;" Index","opt_theta")*H153*O153/N153</f>
        <v>-10928.785600000001</v>
      </c>
      <c r="AA153" s="126" cm="1">
        <f t="array" ref="AA153">_xll.BDP($B153&amp;" Index","opt_theta")/I153</f>
        <v>-0.10100541219963032</v>
      </c>
      <c r="AB153" s="36" t="str" cm="1">
        <f t="array" ref="AB153">_xll.BDP($C153&amp;" Index","EXPECTED_REPORT_DT")</f>
        <v>#N/A Field Not Applicable</v>
      </c>
      <c r="AC153" s="15">
        <f>S153*H153*O153/N153</f>
        <v>20501800</v>
      </c>
      <c r="AD153" s="48">
        <f>AC153/'Master P&amp;L'!$AE$5</f>
        <v>9.1279963933314692E-3</v>
      </c>
      <c r="AG153" t="str">
        <f>B153&amp;" -&gt; Buy to open "&amp;H153&amp;"x"</f>
        <v>1OG6P 24700 -&gt; Buy to open 40x</v>
      </c>
    </row>
    <row r="154" spans="1:33">
      <c r="A154" s="98"/>
      <c r="B154" s="321" t="s">
        <v>2314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15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189.75</v>
      </c>
      <c r="J154" s="19">
        <f>I154/S154</f>
        <v>7.4042279214507995E-3</v>
      </c>
      <c r="K154" s="36" cm="1">
        <f t="array" ref="K154">_xll.BDP($B154&amp;" Index","bid")</f>
        <v>189.75</v>
      </c>
      <c r="L154" s="36" cm="1">
        <f t="array" ref="L154">_xll.BDP($B154&amp;" Index","ask")</f>
        <v>191.25</v>
      </c>
      <c r="M154" s="40">
        <f>(L154/K154-1)</f>
        <v>7.905138339920903E-3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-151800</v>
      </c>
      <c r="Q154" s="58">
        <f>P154/'Master P&amp;L'!$AD$5*10000</f>
        <v>-0.67585765762407057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25627.25</v>
      </c>
      <c r="T154" s="53" cm="1">
        <f t="array" ref="T154">_xll.BDP(B154&amp;" Index","OPT_STRIKE_PX")</f>
        <v>25000</v>
      </c>
      <c r="U154" s="40">
        <f>T154/S154-1</f>
        <v>-2.4475899677101509E-2</v>
      </c>
      <c r="V154" s="37" cm="1">
        <f t="array" ref="V154">_xll.BDP($B154&amp;" Index","ivol_mid")</f>
        <v>21.970077</v>
      </c>
      <c r="W154" s="38" cm="1">
        <f t="array" ref="W154">_xll.BDP(B154&amp;" Index","DELTA_MID_RT")</f>
        <v>-0.27521651983261108</v>
      </c>
      <c r="X154" s="48">
        <f>Y154/'Master P&amp;L'!$AE$5</f>
        <v>2.5121754004173128E-3</v>
      </c>
      <c r="Y154" s="15">
        <f>IF(G154="Sell", S154*W154*-H154*O154/N154, S154*W154*H154*O154/N154)</f>
        <v>5642434.0463042259</v>
      </c>
      <c r="Z154" s="15" cm="1">
        <f t="array" ref="Z154">_xll.BDP($B154&amp;" Index","opt_theta")*H154*O154/N154</f>
        <v>-10695.304799999998</v>
      </c>
      <c r="AA154" s="126" cm="1">
        <f t="array" ref="AA154">_xll.BDP($B154&amp;" Index","opt_theta")/I154</f>
        <v>-7.0456553359683788E-2</v>
      </c>
      <c r="AB154" s="36" t="str" cm="1">
        <f t="array" ref="AB154">_xll.BDP($C154&amp;" Index","EXPECTED_REPORT_DT")</f>
        <v>#N/A Field Not Applicable</v>
      </c>
      <c r="AC154" s="15">
        <f>S154*H154*O154/N154</f>
        <v>20501800</v>
      </c>
      <c r="AD154" s="48">
        <f>AC154/'Master P&amp;L'!$AE$5</f>
        <v>9.1279963933314692E-3</v>
      </c>
      <c r="AG154" t="str">
        <f>B154&amp;" -&gt; Buy to open "&amp;H154&amp;"x"</f>
        <v>1OG6P 25000 -&gt; Buy to open 40x</v>
      </c>
    </row>
    <row r="155" spans="1:33">
      <c r="H155" s="100" t="s">
        <v>116</v>
      </c>
      <c r="I155" s="102">
        <f>I153-I154</f>
        <v>-54.5</v>
      </c>
      <c r="J155" s="100" t="s">
        <v>249</v>
      </c>
      <c r="K155" s="101">
        <f>K154/L153</f>
        <v>1.4029574861367837</v>
      </c>
      <c r="O155" s="164"/>
      <c r="P155" s="100" t="s">
        <v>250</v>
      </c>
      <c r="Q155" s="108">
        <f>Q153+Q154</f>
        <v>-0.19411985423194655</v>
      </c>
      <c r="S155" s="100" t="s">
        <v>251</v>
      </c>
      <c r="T155" s="102">
        <f>T154-T153</f>
        <v>300</v>
      </c>
      <c r="W155" s="100" t="s">
        <v>252</v>
      </c>
      <c r="X155" s="122">
        <f>X153+X154</f>
        <v>6.6705401158761979E-4</v>
      </c>
      <c r="Y155" s="13">
        <f>Y153+Y154</f>
        <v>1498226.7022758722</v>
      </c>
      <c r="AC155" s="100" t="s">
        <v>229</v>
      </c>
      <c r="AD155" s="122">
        <f>AD153</f>
        <v>9.1279963933314692E-3</v>
      </c>
    </row>
    <row r="156" spans="1:33">
      <c r="H156" s="100" t="s">
        <v>253</v>
      </c>
      <c r="I156" s="102">
        <f>(T155-I155)/I155</f>
        <v>-6.5045871559633026</v>
      </c>
      <c r="J156" s="100" t="s">
        <v>145</v>
      </c>
      <c r="K156" s="109">
        <f>AVERAGE(K153:L153)-AVERAGE(K154:L154)</f>
        <v>-56</v>
      </c>
      <c r="O156" s="164"/>
      <c r="P156" s="100"/>
      <c r="Q156" s="108"/>
      <c r="S156" s="100"/>
      <c r="T156" s="102"/>
      <c r="W156" s="100"/>
      <c r="X156" s="122"/>
      <c r="Y156" s="13">
        <f>Y155/S153</f>
        <v>58.462250232696533</v>
      </c>
      <c r="AC156" s="100"/>
      <c r="AD156" s="104"/>
    </row>
    <row r="157" spans="1:33">
      <c r="K157" s="64">
        <f>K153-K154</f>
        <v>-56</v>
      </c>
      <c r="L157" s="64">
        <f>L153-L154</f>
        <v>-56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2139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6912.43</v>
      </c>
      <c r="T160" s="53" cm="1">
        <f t="array" ref="T160">_xll.BDP(B160&amp;" Index","OPT_STRIKE_PX")</f>
        <v>6950</v>
      </c>
      <c r="U160" s="40">
        <f>T160/S160-1</f>
        <v>5.4351364136779878E-3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69124300</v>
      </c>
      <c r="AD160" s="48">
        <f>AC160/'Master P&amp;L'!$AE$5</f>
        <v>3.0776144586892977E-2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3.0776144586892977E-2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3.5</v>
      </c>
    </row>
    <row r="168" spans="1:37">
      <c r="A168">
        <v>300</v>
      </c>
      <c r="H168" s="276">
        <v>1</v>
      </c>
      <c r="I168" s="64">
        <f>I170-I171</f>
        <v>3.5</v>
      </c>
      <c r="K168" s="129"/>
    </row>
    <row r="169" spans="1:37">
      <c r="A169" s="237">
        <v>1</v>
      </c>
      <c r="B169" s="384" t="s">
        <v>2076</v>
      </c>
      <c r="C169" t="str" cm="1">
        <f t="array" ref="C169">_xll.BDP(B169&amp;" Equity","OPT_UNDL_TICKER")</f>
        <v>META US</v>
      </c>
      <c r="D169" s="64">
        <f>A169*AVERAGE(K169:L169)</f>
        <v>11.35</v>
      </c>
      <c r="E169" cm="1">
        <f t="array" ref="E169">_xll.BDP($B169&amp;" Index","opt_days_expire")</f>
        <v>85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11.25</v>
      </c>
      <c r="J169" s="19">
        <f>I169/S169</f>
        <v>1.7677561282212446E-2</v>
      </c>
      <c r="K169" s="36" cm="1">
        <f t="array" ref="K169">_xll.BDP($B169&amp;" Equity","bid")</f>
        <v>11.25</v>
      </c>
      <c r="L169" s="36" cm="1">
        <f t="array" ref="L169">_xll.BDP($B169&amp;" Equity","ask")</f>
        <v>11.45</v>
      </c>
      <c r="M169" s="40">
        <f>(L169/K169-1)</f>
        <v>1.777777777777767E-2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-45000</v>
      </c>
      <c r="Q169" s="58">
        <f>P169/'Master P&amp;L'!$AD$5*10000</f>
        <v>-0.20035306056049523</v>
      </c>
      <c r="R169" s="37" cm="1">
        <f t="array" ref="R169">_xll.BDP($C169&amp;" Equity","EST_PE_NXT_YR")*(T169/S169)</f>
        <v>21.434213525497874</v>
      </c>
      <c r="S169" s="36" cm="1">
        <f t="array" ref="S169">_xll.BDP(C169&amp;" Equity","LAST_PRICE")</f>
        <v>636.4</v>
      </c>
      <c r="T169" s="53" cm="1">
        <f t="array" ref="T169">_xll.BDP(B169&amp;" Equity","OPT_STRIKE_PX")</f>
        <v>750</v>
      </c>
      <c r="U169" s="40">
        <f>T169/S169-1</f>
        <v>0.17850408548082974</v>
      </c>
      <c r="V169" s="37" cm="1">
        <f t="array" ref="V169">_xll.BDP($B169&amp;" Equity","ivol_mid")</f>
        <v>34.480020000000003</v>
      </c>
      <c r="W169" s="38" cm="1">
        <f t="array" ref="W169">_xll.BDP(B169&amp;" Equity","DELTA_MID_RT")</f>
        <v>0.20278985798358917</v>
      </c>
      <c r="X169" s="48">
        <f>Y169/'Master P&amp;L'!$AE$5</f>
        <v>-2.2983695572602902E-4</v>
      </c>
      <c r="Y169" s="15">
        <f>IF(G169="Sell", S169*W169*-H169*O169/N169, S169*W169*H169*O169/N169)</f>
        <v>-516221.8624830246</v>
      </c>
      <c r="Z169" s="15" cm="1">
        <f t="array" ref="Z169">_xll.BDP($B169&amp;" Equity","opt_theta")*H169*O169/N169</f>
        <v>-531.05999999999995</v>
      </c>
      <c r="AA169" s="19" cm="1">
        <f t="array" ref="AA169">_xll.BDP($B169&amp;" Equity","opt_theta")/I169</f>
        <v>-1.1801333333333332E-2</v>
      </c>
      <c r="AB169" s="36" t="str" cm="1">
        <f t="array" ref="AB169">_xll.BDP($C169&amp;" Equity","EXPECTED_REPORT_DT")</f>
        <v>28/01/2026</v>
      </c>
      <c r="AC169" s="15">
        <f>S169*H169*O169/N169</f>
        <v>2545600</v>
      </c>
      <c r="AD169" s="19">
        <f>AC169/'Master P&amp;L'!$AE$5</f>
        <v>1.1333750021395481E-3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4" t="s">
        <v>2077</v>
      </c>
      <c r="C170" t="str" cm="1">
        <f t="array" ref="C170">_xll.BDP(B170&amp;" Equity","OPT_UNDL_TICKER")</f>
        <v>META US</v>
      </c>
      <c r="D170" s="64">
        <f>A170*AVERAGE(K170:L170)</f>
        <v>49.15</v>
      </c>
      <c r="E170" cm="1">
        <f t="array" ref="E170">_xll.BDP($B170&amp;" Index","opt_days_expire")</f>
        <v>85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24.7</v>
      </c>
      <c r="J170" s="19">
        <f>I170/S170</f>
        <v>3.8812067881835326E-2</v>
      </c>
      <c r="K170" s="36" cm="1">
        <f t="array" ref="K170">_xll.BDP($B170&amp;" Equity","bid")</f>
        <v>24.45</v>
      </c>
      <c r="L170" s="36" cm="1">
        <f t="array" ref="L170">_xll.BDP($B170&amp;" Equity","ask")</f>
        <v>24.7</v>
      </c>
      <c r="M170" s="40">
        <f>(L170/K170-1)</f>
        <v>1.0224948875255713E-2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98800</v>
      </c>
      <c r="Q170" s="58">
        <f>P170/'Master P&amp;L'!$AD$5*10000</f>
        <v>0.43988627518615392</v>
      </c>
      <c r="R170" s="37" cm="1">
        <f t="array" ref="R170">_xll.BDP($C170&amp;" Equity","EST_PE_NXT_YR")*(T170/S170)</f>
        <v>19.719476443458046</v>
      </c>
      <c r="S170" s="36" cm="1">
        <f t="array" ref="S170">_xll.BDP(C170&amp;" Equity","LAST_PRICE")</f>
        <v>636.4</v>
      </c>
      <c r="T170" s="53" cm="1">
        <f t="array" ref="T170">_xll.BDP(B170&amp;" Equity","OPT_STRIKE_PX")</f>
        <v>690</v>
      </c>
      <c r="U170" s="40">
        <f>T170/S170-1</f>
        <v>8.4223758642363311E-2</v>
      </c>
      <c r="V170" s="37" cm="1">
        <f t="array" ref="V170">_xll.BDP($B170&amp;" Equity","ivol_mid")</f>
        <v>34.116280000000003</v>
      </c>
      <c r="W170" s="38" cm="1">
        <f t="array" ref="W170">_xll.BDP(B170&amp;" Equity","DELTA_MID_RT")</f>
        <v>0.36526086926460266</v>
      </c>
      <c r="X170" s="48">
        <f>Y170/'Master P&amp;L'!$AE$5</f>
        <v>4.1397753848426222E-4</v>
      </c>
      <c r="Y170" s="15">
        <f>IF(G170="Sell", S170*W170*-H170*O170/N170, S170*W170*H170*O170/N170)</f>
        <v>929808.06879997253</v>
      </c>
      <c r="Z170" s="15" cm="1">
        <f t="array" ref="Z170">_xll.BDP($B170&amp;" Equity","opt_theta")*H170*O170/N170</f>
        <v>-789.68000000000006</v>
      </c>
      <c r="AA170" s="19" cm="1">
        <f t="array" ref="AA170">_xll.BDP($B170&amp;" Equity","opt_theta")/I170</f>
        <v>-7.992712550607288E-3</v>
      </c>
      <c r="AB170" s="36" t="str" cm="1">
        <f t="array" ref="AB170">_xll.BDP($C170&amp;" Equity","EXPECTED_REPORT_DT")</f>
        <v>28/01/2026</v>
      </c>
      <c r="AC170" s="15">
        <f>S170*H170*O170/N170</f>
        <v>2545600</v>
      </c>
      <c r="AD170" s="48">
        <f>AC170/'Master P&amp;L'!$AE$5</f>
        <v>1.1333750021395481E-3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4" t="s">
        <v>2078</v>
      </c>
      <c r="C171" t="str" cm="1">
        <f t="array" ref="C171">_xll.BDP(B171&amp;" Equity","OPT_UNDL_TICKER")</f>
        <v>META US</v>
      </c>
      <c r="D171" s="64">
        <f>A171*AVERAGE(K171:L171)</f>
        <v>42.65</v>
      </c>
      <c r="E171" cm="1">
        <f t="array" ref="E171">_xll.BDP($B171&amp;" Index","opt_days_expire")</f>
        <v>85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21.2</v>
      </c>
      <c r="J171" s="19">
        <f>I171/S171</f>
        <v>3.3312382149591452E-2</v>
      </c>
      <c r="K171" s="36" cm="1">
        <f t="array" ref="K171">_xll.BDP($B171&amp;" Equity","bid")</f>
        <v>21.2</v>
      </c>
      <c r="L171" s="36" cm="1">
        <f t="array" ref="L171">_xll.BDP($B171&amp;" Equity","ask")</f>
        <v>21.45</v>
      </c>
      <c r="M171" s="40">
        <f>(L171/K171-1)</f>
        <v>1.1792452830188704E-2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-84800</v>
      </c>
      <c r="Q171" s="58">
        <f>P171/'Master P&amp;L'!$AD$5*10000</f>
        <v>-0.37755421190066657</v>
      </c>
      <c r="R171" s="37" cm="1">
        <f t="array" ref="R171">_xll.BDP($C171&amp;" Equity","EST_PE_NXT_YR")*(T171/S171)</f>
        <v>16.861581306724997</v>
      </c>
      <c r="S171" s="36" cm="1">
        <f t="array" ref="S171">_xll.BDP(C171&amp;" Equity","LAST_PRICE")</f>
        <v>636.4</v>
      </c>
      <c r="T171" s="53" cm="1">
        <f t="array" ref="T171">_xll.BDP(B171&amp;" Equity","OPT_STRIKE_PX")</f>
        <v>590</v>
      </c>
      <c r="U171" s="40">
        <f>T171/S171-1</f>
        <v>-7.2910119421747299E-2</v>
      </c>
      <c r="V171" s="37" cm="1">
        <f t="array" ref="V171">_xll.BDP(B171&amp;" Equity","ivol_mid")</f>
        <v>34.809269999999998</v>
      </c>
      <c r="W171" s="38" cm="1">
        <f t="array" ref="W171">_xll.BDP(B171&amp;" Equity","DELTA_MID_RT")</f>
        <v>-0.2855151891708374</v>
      </c>
      <c r="X171" s="48">
        <f>Y171/'Master P&amp;L'!$AE$5</f>
        <v>3.235957781373713E-4</v>
      </c>
      <c r="Y171" s="15">
        <f>IF(G171="Sell", S171*W171*-H171*O171/N171, S171*W171*H171*O171/N171)</f>
        <v>726807.46555328369</v>
      </c>
      <c r="Z171" s="15" cm="1">
        <f t="array" ref="Z171">_xll.BDP($B171&amp;" Equity","opt_theta")*H171*O171/N171</f>
        <v>-905.51200000000006</v>
      </c>
      <c r="AA171" s="19" cm="1">
        <f t="array" ref="AA171">_xll.BDP($B171&amp;" Equity","opt_theta")/I171</f>
        <v>-1.0678207547169812E-2</v>
      </c>
      <c r="AB171" s="36" t="str" cm="1">
        <f t="array" ref="AB171">_xll.BDP($C171&amp;" Equity","EXPECTED_REPORT_DT")</f>
        <v>28/01/2026</v>
      </c>
      <c r="AC171" s="15">
        <f>S171*H171*O171/N171</f>
        <v>2545600</v>
      </c>
      <c r="AD171" s="19">
        <f>AC171/'Master P&amp;L'!$AE$5</f>
        <v>1.1333750021395481E-3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-7.75</v>
      </c>
      <c r="J172" s="100" t="s">
        <v>249</v>
      </c>
      <c r="K172" s="101">
        <f>K171/L170</f>
        <v>0.8582995951417004</v>
      </c>
      <c r="P172" s="130">
        <f>P170+P171+P169</f>
        <v>-31000</v>
      </c>
      <c r="Q172" s="58">
        <f>P172/'Master P&amp;L'!$AD$5*10000</f>
        <v>-0.1380209972750078</v>
      </c>
      <c r="S172" s="100" t="s">
        <v>251</v>
      </c>
      <c r="T172" s="102"/>
      <c r="W172" s="100" t="s">
        <v>252</v>
      </c>
      <c r="X172" s="122">
        <f>X170+X171+X169</f>
        <v>5.0773636089560448E-4</v>
      </c>
      <c r="AC172" s="100" t="s">
        <v>229</v>
      </c>
      <c r="AD172" s="122">
        <f>AD170</f>
        <v>1.1333750021395481E-3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-8.1</v>
      </c>
      <c r="P173" s="100"/>
      <c r="Q173" s="108"/>
      <c r="S173" s="100"/>
      <c r="T173" s="102"/>
      <c r="W173" s="100"/>
      <c r="X173" s="122"/>
      <c r="Y173" s="13">
        <f>(Y169+Y170+Y171)/S170</f>
        <v>1791.9448018074036</v>
      </c>
      <c r="AC173" s="100"/>
      <c r="AD173" s="104"/>
    </row>
    <row r="174" spans="1:37">
      <c r="D174" s="64"/>
      <c r="H174" s="96"/>
      <c r="I174" s="64">
        <f>(I170*A170)-(I171*A171)-(I169*A169)</f>
        <v>-4.25</v>
      </c>
      <c r="K174" s="64"/>
      <c r="N174" s="36"/>
      <c r="O174" s="162"/>
      <c r="P174" s="15"/>
      <c r="Q174" s="58"/>
    </row>
    <row r="175" spans="1:37">
      <c r="I175" s="21">
        <f>I171/I170</f>
        <v>0.8582995951417004</v>
      </c>
    </row>
    <row r="176" spans="1:37">
      <c r="I176" s="21"/>
    </row>
    <row r="177" spans="1:37">
      <c r="H177" s="276">
        <v>1</v>
      </c>
      <c r="I177" s="64">
        <f>I179-I178</f>
        <v>23.8</v>
      </c>
      <c r="J177" s="18">
        <f>T178-T179</f>
        <v>-623.79999999999995</v>
      </c>
      <c r="K177" s="276">
        <f>(J177-I177)/I177</f>
        <v>-27.210084033613441</v>
      </c>
      <c r="Q177" s="276">
        <f>Q179+Q178</f>
        <v>0.21192901517065715</v>
      </c>
    </row>
    <row r="178" spans="1:37">
      <c r="A178" s="237"/>
      <c r="B178" t="s">
        <v>2299</v>
      </c>
      <c r="C178" t="str" cm="1">
        <f t="array" ref="C178">_xll.BDP(B178&amp;" Equity","OPT_UNDL_TICKER")</f>
        <v>EWT US</v>
      </c>
      <c r="D178" s="64">
        <f>A178*AVERAGE(K178:L178)</f>
        <v>0</v>
      </c>
      <c r="E178" t="str" cm="1">
        <f t="array" ref="E178">_xll.BDP($B178&amp;" Index","opt_days_expire")</f>
        <v>#N/A N/A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0.9</v>
      </c>
      <c r="J178" s="19">
        <f>I178/S178</f>
        <v>1.3154856042025379E-2</v>
      </c>
      <c r="K178" s="36" cm="1">
        <f t="array" ref="K178">_xll.BDP($B178&amp;" Equity","bid")</f>
        <v>0.9</v>
      </c>
      <c r="L178" s="36" cm="1">
        <f t="array" ref="L178">_xll.BDP($B178&amp;" Equity","ask")</f>
        <v>1.45</v>
      </c>
      <c r="M178" s="40">
        <f>(L178/K178-1)</f>
        <v>0.61111111111111094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-1800</v>
      </c>
      <c r="Q178" s="58">
        <f>P178/'Master P&amp;L'!$AD$5*10000</f>
        <v>-8.0141224224198095E-3</v>
      </c>
      <c r="R178" s="37" t="e" cm="1">
        <f t="array" ref="R178">_xll.BDP($C178&amp;" Equity","EST_PE_NXT_YR")*(T178/S178)</f>
        <v>#VALUE!</v>
      </c>
      <c r="S178" s="36" cm="1">
        <f t="array" ref="S178">_xll.BDP(C178&amp;" Equity","LAST_PRICE")</f>
        <v>68.415800000000004</v>
      </c>
      <c r="T178" s="53" cm="1">
        <f t="array" ref="T178">_xll.BDP(B178&amp;" Equity","OPT_STRIKE_PX")</f>
        <v>66.2</v>
      </c>
      <c r="U178" s="40">
        <f>T178/S178-1</f>
        <v>-3.2387255575466511E-2</v>
      </c>
      <c r="V178" s="37" cm="1">
        <f t="array" ref="V178">_xll.BDP($B178&amp;" Equity","ivol_mid")</f>
        <v>476.83730000000003</v>
      </c>
      <c r="W178" s="38" cm="1">
        <f t="array" ref="W178">_xll.BDP(B178&amp;" Equity","DELTA_MID_RT")</f>
        <v>0.94442898035049438</v>
      </c>
      <c r="X178" s="48">
        <f>Y178/'Master P&amp;L'!$AE$5</f>
        <v>-5.753593535064373E-5</v>
      </c>
      <c r="Y178" s="15">
        <f>IF(G178="Sell", S178*W178*-H178*O178/N178, S178*W178*H178*O178/N178)</f>
        <v>-129227.7284677267</v>
      </c>
      <c r="Z178" s="15" cm="1">
        <f t="array" ref="Z178">_xll.BDP($B178&amp;" Equity","opt_theta")*H178*O178/N178</f>
        <v>0</v>
      </c>
      <c r="AA178" s="19" cm="1">
        <f t="array" ref="AA178">_xll.BDP($B178&amp;" Equity","opt_theta")/I178</f>
        <v>0</v>
      </c>
      <c r="AB178" s="36" t="str" cm="1">
        <f t="array" ref="AB178">_xll.BDP($C178&amp;" Equity","EXPECTED_REPORT_DT")</f>
        <v>#N/A N/A</v>
      </c>
      <c r="AC178" s="15">
        <f>S178*H178*O178/N178</f>
        <v>136831.6</v>
      </c>
      <c r="AD178" s="19">
        <f>AC178/'Master P&amp;L'!$AE$5</f>
        <v>6.0921399647532131E-5</v>
      </c>
      <c r="AE178" t="str">
        <f>B178  &amp; " - Buy to open " &amp;  "-" &amp; H178 &amp;"x"</f>
        <v>EWT US 01/16/26 C66.2 - Buy to open -20x</v>
      </c>
      <c r="AK178" s="59"/>
    </row>
    <row r="179" spans="1:37">
      <c r="A179" s="237"/>
      <c r="B179" s="73" t="s">
        <v>2077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85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24.7</v>
      </c>
      <c r="J179" s="19">
        <f>I179/S179</f>
        <v>3.8812067881835326E-2</v>
      </c>
      <c r="K179" s="36" cm="1">
        <f t="array" ref="K179">_xll.BDP($B179&amp;" Equity","bid")</f>
        <v>24.45</v>
      </c>
      <c r="L179" s="36" cm="1">
        <f t="array" ref="L179">_xll.BDP($B179&amp;" Equity","ask")</f>
        <v>24.7</v>
      </c>
      <c r="M179" s="40">
        <f>(L179/K179-1)</f>
        <v>1.0224948875255713E-2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49400</v>
      </c>
      <c r="Q179" s="58">
        <f>P179/'Master P&amp;L'!$AD$5*10000</f>
        <v>0.21994313759307696</v>
      </c>
      <c r="R179" s="37" cm="1">
        <f t="array" ref="R179">_xll.BDP($C179&amp;" Equity","EST_PE_NXT_YR")*(T179/S179)</f>
        <v>19.719476443458046</v>
      </c>
      <c r="S179" s="36" cm="1">
        <f t="array" ref="S179">_xll.BDP(C179&amp;" Equity","LAST_PRICE")</f>
        <v>636.4</v>
      </c>
      <c r="T179" s="53" cm="1">
        <f t="array" ref="T179">_xll.BDP(B179&amp;" Equity","OPT_STRIKE_PX")</f>
        <v>690</v>
      </c>
      <c r="U179" s="40">
        <f>T179/S179-1</f>
        <v>8.4223758642363311E-2</v>
      </c>
      <c r="V179" s="37" cm="1">
        <f t="array" ref="V179">_xll.BDP($B179&amp;" Equity","ivol_mid")</f>
        <v>34.116280000000003</v>
      </c>
      <c r="W179" s="38" cm="1">
        <f t="array" ref="W179">_xll.BDP(B179&amp;" Equity","DELTA_MID_RT")</f>
        <v>0.36526086926460266</v>
      </c>
      <c r="X179" s="48">
        <f>Y179/'Master P&amp;L'!$AE$5</f>
        <v>2.0698876924213111E-4</v>
      </c>
      <c r="Y179" s="15">
        <f>IF(G179="Sell", S179*W179*-H179*O179/N179, S179*W179*H179*O179/N179)</f>
        <v>464904.03439998627</v>
      </c>
      <c r="Z179" s="15" cm="1">
        <f t="array" ref="Z179">_xll.BDP($B179&amp;" Equity","opt_theta")*H179*O179/N179</f>
        <v>-394.84000000000003</v>
      </c>
      <c r="AA179" s="19" cm="1">
        <f t="array" ref="AA179">_xll.BDP($B179&amp;" Equity","opt_theta")/I179</f>
        <v>-7.992712550607288E-3</v>
      </c>
      <c r="AB179" s="36" t="str" cm="1">
        <f t="array" ref="AB179">_xll.BDP($C179&amp;" Equity","EXPECTED_REPORT_DT")</f>
        <v>28/01/2026</v>
      </c>
      <c r="AC179" s="15">
        <f>S179*H179*O179/N179</f>
        <v>1272800</v>
      </c>
      <c r="AD179" s="48">
        <f>AC179/'Master P&amp;L'!$AE$5</f>
        <v>5.6668750106977407E-4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2119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85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24.6</v>
      </c>
      <c r="J180" s="19">
        <f>I180/S180</f>
        <v>3.8654934003771214E-2</v>
      </c>
      <c r="K180" s="36" cm="1">
        <f t="array" ref="K180">_xll.BDP($B180&amp;" Equity","bid")</f>
        <v>24.6</v>
      </c>
      <c r="L180" s="36" cm="1">
        <f t="array" ref="L180">_xll.BDP($B180&amp;" Equity","ask")</f>
        <v>24.85</v>
      </c>
      <c r="M180" s="40">
        <f>(L180/K180-1)</f>
        <v>1.0162601626016343E-2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-49200</v>
      </c>
      <c r="Q180" s="58">
        <f>P180/'Master P&amp;L'!$AD$5*10000</f>
        <v>-0.21905267954614144</v>
      </c>
      <c r="R180" s="37" cm="1">
        <f t="array" ref="R180">_xll.BDP($C180&amp;" Equity","EST_PE_NXT_YR")*(T180/S180)</f>
        <v>17.147370820398301</v>
      </c>
      <c r="S180" s="36" cm="1">
        <f t="array" ref="S180">_xll.BDP(C180&amp;" Equity","LAST_PRICE")</f>
        <v>636.4</v>
      </c>
      <c r="T180" s="53" cm="1">
        <f t="array" ref="T180">_xll.BDP(B180&amp;" Equity","OPT_STRIKE_PX")</f>
        <v>600</v>
      </c>
      <c r="U180" s="40">
        <f>T180/S180-1</f>
        <v>-5.7196731615336227E-2</v>
      </c>
      <c r="V180" s="37" cm="1">
        <f t="array" ref="V180">_xll.BDP(B180&amp;" Equity","ivol_mid")</f>
        <v>34.613799999999998</v>
      </c>
      <c r="W180" s="38" cm="1">
        <f t="array" ref="W180">_xll.BDP(B180&amp;" Equity","DELTA_MID_RT")</f>
        <v>-0.31959220767021179</v>
      </c>
      <c r="X180" s="48">
        <f>Y180/'Master P&amp;L'!$AE$5</f>
        <v>1.8110890952600459E-4</v>
      </c>
      <c r="Y180" s="15">
        <f>IF(G180="Sell", S180*W180*-H180*O180/N180, S180*W180*H180*O180/N180)</f>
        <v>406776.96192264557</v>
      </c>
      <c r="Z180" s="15" cm="1">
        <f t="array" ref="Z180">_xll.BDP($B180&amp;" Equity","opt_theta")*H180*O180/N180</f>
        <v>-465.94999999999993</v>
      </c>
      <c r="AA180" s="19" cm="1">
        <f t="array" ref="AA180">_xll.BDP($B180&amp;" Equity","opt_theta")/I180</f>
        <v>-9.470528455284552E-3</v>
      </c>
      <c r="AB180" s="36" t="str" cm="1">
        <f t="array" ref="AB180">_xll.BDP($C180&amp;" Equity","EXPECTED_REPORT_DT")</f>
        <v>28/01/2026</v>
      </c>
      <c r="AC180" s="15">
        <f>S180*H180*O180/N180</f>
        <v>1272800</v>
      </c>
      <c r="AD180" s="19">
        <f>AC180/'Master P&amp;L'!$AE$5</f>
        <v>5.6668750106977407E-4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-0.80000000000000071</v>
      </c>
      <c r="J181" s="100" t="s">
        <v>249</v>
      </c>
      <c r="K181" s="101">
        <f>K180/L179</f>
        <v>0.99595141700404866</v>
      </c>
      <c r="P181" s="130">
        <f>P179+P180+P178</f>
        <v>-1600</v>
      </c>
      <c r="Q181" s="58">
        <f>P181/'Master P&amp;L'!$AD$5*10000</f>
        <v>-7.1236643754842739E-3</v>
      </c>
      <c r="S181" s="100" t="s">
        <v>251</v>
      </c>
      <c r="T181" s="102"/>
      <c r="W181" s="100" t="s">
        <v>252</v>
      </c>
      <c r="X181" s="122">
        <f>X179+X180+X178</f>
        <v>3.3056174341749195E-4</v>
      </c>
      <c r="AC181" s="100" t="s">
        <v>229</v>
      </c>
      <c r="AD181" s="122">
        <f>AD179</f>
        <v>5.6668750106977407E-4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-1.3250000000000028</v>
      </c>
      <c r="P182" s="100"/>
      <c r="Q182" s="108"/>
      <c r="S182" s="100"/>
      <c r="T182" s="102"/>
      <c r="W182" s="100"/>
      <c r="X182" s="122"/>
      <c r="Y182" s="13">
        <f>(Y178+Y179+Y180)/S179</f>
        <v>1166.6456125941313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7.33</v>
      </c>
      <c r="J185" s="18">
        <f>T186-T187</f>
        <v>15</v>
      </c>
      <c r="K185" s="276">
        <f>(J185-I185)/I185</f>
        <v>1.0463847203274215</v>
      </c>
      <c r="Q185" s="276">
        <f>Q187+Q186</f>
        <v>6.527057484037467E-2</v>
      </c>
    </row>
    <row r="186" spans="1:37">
      <c r="A186" s="237">
        <v>1</v>
      </c>
      <c r="B186" s="132" t="s">
        <v>2098</v>
      </c>
      <c r="C186" t="str" cm="1">
        <f t="array" ref="C186">_xll.BDP(B186&amp;" Equity","OPT_UNDL_TICKER")</f>
        <v>NFLX US</v>
      </c>
      <c r="D186" s="64">
        <f>A186*AVERAGE(K186:L186)</f>
        <v>0.33</v>
      </c>
      <c r="E186" cm="1">
        <f t="array" ref="E186">_xll.BDP($B186&amp;" Index","opt_days_expire")</f>
        <v>57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0.32</v>
      </c>
      <c r="J186" s="19">
        <f>I186/S186</f>
        <v>3.8022813688212932E-3</v>
      </c>
      <c r="K186" s="36" cm="1">
        <f t="array" ref="K186">_xll.BDP($B186&amp;" Equity","bid")</f>
        <v>0.32</v>
      </c>
      <c r="L186" s="36" cm="1">
        <f t="array" ref="L186">_xll.BDP($B186&amp;" Equity","ask")</f>
        <v>0.34</v>
      </c>
      <c r="M186" s="40">
        <f>(L186/K186-1)</f>
        <v>6.25E-2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-640</v>
      </c>
      <c r="Q186" s="58">
        <f>P186/'Master P&amp;L'!$AD$5*10000</f>
        <v>-2.8494657501937099E-3</v>
      </c>
      <c r="R186" s="37" cm="1">
        <f t="array" ref="R186">_xll.BDP($C186&amp;" Equity","EST_PE_NXT_YR")*(T186/S186)</f>
        <v>27.849672669710611</v>
      </c>
      <c r="S186" s="36" cm="1">
        <f t="array" ref="S186">_xll.BDP(C186&amp;" Equity","LAST_PRICE")</f>
        <v>84.16</v>
      </c>
      <c r="T186" s="53" cm="1">
        <f t="array" ref="T186">_xll.BDP(B186&amp;" Equity","OPT_STRIKE_PX")</f>
        <v>105</v>
      </c>
      <c r="U186" s="40">
        <f>T186/S186-1</f>
        <v>0.24762357414448677</v>
      </c>
      <c r="V186" s="37" cm="1">
        <f t="array" ref="V186">_xll.BDP($B186&amp;" Equity","ivol_mid")</f>
        <v>34.282730000000001</v>
      </c>
      <c r="W186" s="38" cm="1">
        <f t="array" ref="W186">_xll.BDP(B186&amp;" Equity","DELTA_MID_RT")</f>
        <v>6.8136513233184814E-2</v>
      </c>
      <c r="X186" s="48">
        <f>Y186/'Master P&amp;L'!$AE$5</f>
        <v>-5.1062149789237701E-6</v>
      </c>
      <c r="Y186" s="15">
        <f>IF(G186="Sell", S186*W186*-H186*O186/N186, S186*W186*H186*O186/N186)</f>
        <v>-11468.737907409668</v>
      </c>
      <c r="Z186" s="15" cm="1">
        <f t="array" ref="Z186">_xll.BDP($B186&amp;" Equity","opt_theta")*H186*O186/N186</f>
        <v>-31.181999999999999</v>
      </c>
      <c r="AA186" s="19" cm="1">
        <f t="array" ref="AA186">_xll.BDP($B186&amp;" Equity","opt_theta")/I186</f>
        <v>-4.8721874999999998E-2</v>
      </c>
      <c r="AB186" s="36" t="str" cm="1">
        <f t="array" ref="AB186">_xll.BDP($C186&amp;" Equity","EXPECTED_REPORT_DT")</f>
        <v>17/04/2026</v>
      </c>
      <c r="AC186" s="15">
        <f>S186*H186*O186/N186</f>
        <v>168319.99999999997</v>
      </c>
      <c r="AD186" s="19">
        <f>AC186/'Master P&amp;L'!$AE$5</f>
        <v>7.4940949230094549E-5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2096</v>
      </c>
      <c r="C187" t="str" cm="1">
        <f t="array" ref="C187">_xll.BDP(B187&amp;" Equity","OPT_UNDL_TICKER")</f>
        <v>NFLX US</v>
      </c>
      <c r="D187" s="64">
        <f>A187*AVERAGE(K187:L187)</f>
        <v>15.100000000000001</v>
      </c>
      <c r="E187" cm="1">
        <f t="array" ref="E187">_xll.BDP($B187&amp;" Index","opt_days_expire")</f>
        <v>57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7.65</v>
      </c>
      <c r="J187" s="19">
        <f>I187/S187</f>
        <v>9.0898288973384034E-2</v>
      </c>
      <c r="K187" s="36" cm="1">
        <f t="array" ref="K187">_xll.BDP($B187&amp;" Equity","bid")</f>
        <v>7.45</v>
      </c>
      <c r="L187" s="36" cm="1">
        <f t="array" ref="L187">_xll.BDP($B187&amp;" Equity","ask")</f>
        <v>7.65</v>
      </c>
      <c r="M187" s="40">
        <f>(L187/K187-1)</f>
        <v>2.6845637583892579E-2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15300</v>
      </c>
      <c r="Q187" s="58">
        <f>P187/'Master P&amp;L'!$AD$5*10000</f>
        <v>6.8120040590568379E-2</v>
      </c>
      <c r="R187" s="37" cm="1">
        <f t="array" ref="R187">_xll.BDP($C187&amp;" Equity","EST_PE_NXT_YR")*(T187/S187)</f>
        <v>23.871148002609093</v>
      </c>
      <c r="S187" s="36" cm="1">
        <f t="array" ref="S187">_xll.BDP(C187&amp;" Equity","LAST_PRICE")</f>
        <v>84.16</v>
      </c>
      <c r="T187" s="53" cm="1">
        <f t="array" ref="T187">_xll.BDP(B187&amp;" Equity","OPT_STRIKE_PX")</f>
        <v>90</v>
      </c>
      <c r="U187" s="40">
        <f>T187/S187-1</f>
        <v>6.9391634980988659E-2</v>
      </c>
      <c r="V187" s="37" cm="1">
        <f t="array" ref="V187">_xll.BDP($B187&amp;" Equity","ivol_mid")</f>
        <v>31.99821</v>
      </c>
      <c r="W187" s="38" cm="1">
        <f t="array" ref="W187">_xll.BDP(B187&amp;" Equity","DELTA_MID_RT")</f>
        <v>-0.67621642351150513</v>
      </c>
      <c r="X187" s="48">
        <f>Y187/'Master P&amp;L'!$AE$5</f>
        <v>-5.0676300662931835E-5</v>
      </c>
      <c r="Y187" s="15">
        <f>IF(G187="Sell", S187*W187*-H187*O187/N187, S187*W187*H187*O187/N187)</f>
        <v>-113820.74840545654</v>
      </c>
      <c r="Z187" s="15" cm="1">
        <f t="array" ref="Z187">_xll.BDP($B187&amp;" Equity","opt_theta")*H187*O187/N187</f>
        <v>-72.331999999999994</v>
      </c>
      <c r="AA187" s="19" cm="1">
        <f t="array" ref="AA187">_xll.BDP($B187&amp;" Equity","opt_theta")/I187</f>
        <v>-4.7275816993464044E-3</v>
      </c>
      <c r="AB187" s="36" t="str" cm="1">
        <f t="array" ref="AB187">_xll.BDP($C187&amp;" Equity","EXPECTED_REPORT_DT")</f>
        <v>17/04/2026</v>
      </c>
      <c r="AC187" s="15">
        <f>S187*H187*O187/N187</f>
        <v>168319.99999999997</v>
      </c>
      <c r="AD187" s="48">
        <f>AC187/'Master P&amp;L'!$AE$5</f>
        <v>7.4940949230094549E-5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2097</v>
      </c>
      <c r="C188" t="str" cm="1">
        <f t="array" ref="C188">_xll.BDP(B188&amp;" Equity","OPT_UNDL_TICKER")</f>
        <v>NFLX US</v>
      </c>
      <c r="D188" s="64">
        <f>A188*AVERAGE(K188:L188)</f>
        <v>4.4800000000000004</v>
      </c>
      <c r="E188" cm="1">
        <f t="array" ref="E188">_xll.BDP($B188&amp;" Index","opt_days_expire")</f>
        <v>57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2.2000000000000002</v>
      </c>
      <c r="J188" s="19">
        <f>I188/S188</f>
        <v>2.6140684410646393E-2</v>
      </c>
      <c r="K188" s="36" cm="1">
        <f t="array" ref="K188">_xll.BDP($B188&amp;" Equity","bid")</f>
        <v>2.2000000000000002</v>
      </c>
      <c r="L188" s="36" cm="1">
        <f t="array" ref="L188">_xll.BDP($B188&amp;" Equity","ask")</f>
        <v>2.2799999999999998</v>
      </c>
      <c r="M188" s="40">
        <f>(L188/K188-1)</f>
        <v>3.6363636363636154E-2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-6600</v>
      </c>
      <c r="Q188" s="58">
        <f>P188/'Master P&amp;L'!$AD$5*10000</f>
        <v>-2.9385115548872635E-2</v>
      </c>
      <c r="R188" s="37" cm="1">
        <f t="array" ref="R188">_xll.BDP($C188&amp;" Equity","EST_PE_NXT_YR")*(T188/S188)</f>
        <v>21.218798224541416</v>
      </c>
      <c r="S188" s="36" cm="1">
        <f t="array" ref="S188">_xll.BDP(C188&amp;" Equity","LAST_PRICE")</f>
        <v>84.16</v>
      </c>
      <c r="T188" s="53" cm="1">
        <f t="array" ref="T188">_xll.BDP(B188&amp;" Equity","OPT_STRIKE_PX")</f>
        <v>80</v>
      </c>
      <c r="U188" s="40">
        <f>T188/S188-1</f>
        <v>-4.9429657794676785E-2</v>
      </c>
      <c r="V188" s="37" cm="1">
        <f t="array" ref="V188">_xll.BDP(B188&amp;" Equity","ivol_mid")</f>
        <v>32.810099999999998</v>
      </c>
      <c r="W188" s="38" cm="1">
        <f t="array" ref="W188">_xll.BDP(B188&amp;" Equity","DELTA_MID_RT")</f>
        <v>-0.30721548199653625</v>
      </c>
      <c r="X188" s="48">
        <f>Y188/'Master P&amp;L'!$AE$5</f>
        <v>3.453452975850218E-5</v>
      </c>
      <c r="Y188" s="15">
        <f>IF(G188="Sell", S188*W188*-H188*O188/N188, S188*W188*H188*O188/N188)</f>
        <v>77565.764894485474</v>
      </c>
      <c r="Z188" s="15" cm="1">
        <f t="array" ref="Z188">_xll.BDP($B188&amp;" Equity","opt_theta")*H188*O188/N188</f>
        <v>-95.433000000000007</v>
      </c>
      <c r="AA188" s="19" cm="1">
        <f t="array" ref="AA188">_xll.BDP($B188&amp;" Equity","opt_theta")/I188</f>
        <v>-1.4459545454545452E-2</v>
      </c>
      <c r="AB188" s="36" t="str" cm="1">
        <f t="array" ref="AB188">_xll.BDP($C188&amp;" Equity","EXPECTED_REPORT_DT")</f>
        <v>17/04/2026</v>
      </c>
      <c r="AC188" s="15">
        <f>S188*H188*O188/N188</f>
        <v>252479.99999999997</v>
      </c>
      <c r="AD188" s="19">
        <f>AC188/'Master P&amp;L'!$AE$5</f>
        <v>1.1241142384514184E-4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5.13</v>
      </c>
      <c r="J189" s="100" t="s">
        <v>249</v>
      </c>
      <c r="K189" s="101">
        <f>K188/L187</f>
        <v>0.28758169934640526</v>
      </c>
      <c r="P189" s="130">
        <f>P187+P188+P186</f>
        <v>8060</v>
      </c>
      <c r="Q189" s="58">
        <f>P189/'Master P&amp;L'!$AD$5*10000</f>
        <v>3.5885459291502032E-2</v>
      </c>
      <c r="S189" s="100" t="s">
        <v>251</v>
      </c>
      <c r="T189" s="102"/>
      <c r="W189" s="100" t="s">
        <v>252</v>
      </c>
      <c r="X189" s="122">
        <f>X187+X188+X186</f>
        <v>-2.1247985883353425E-5</v>
      </c>
      <c r="AC189" s="100" t="s">
        <v>229</v>
      </c>
      <c r="AD189" s="122">
        <f>AD187</f>
        <v>7.4940949230094549E-5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4.9800000000000004</v>
      </c>
      <c r="P190" s="100"/>
      <c r="Q190" s="108"/>
      <c r="S190" s="100"/>
      <c r="T190" s="102"/>
      <c r="W190" s="100"/>
      <c r="X190" s="122"/>
      <c r="Y190" s="13">
        <f>(Y186+Y187+Y188)/S187</f>
        <v>-567.05942749977112</v>
      </c>
      <c r="AC190" s="100"/>
      <c r="AD190" s="104"/>
    </row>
    <row r="191" spans="1:37">
      <c r="D191" s="64"/>
      <c r="H191" s="96"/>
      <c r="I191" s="64">
        <f>I187-I186</f>
        <v>7.33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2283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t="str" cm="1">
        <f t="array" ref="E195">_xll.BDP($B195&amp;" Index","opt_days_expire")</f>
        <v>#N/A N/A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7.1</v>
      </c>
      <c r="J195" s="19">
        <f>I195/S195</f>
        <v>2.1357237396221872E-2</v>
      </c>
      <c r="K195" s="36" cm="1">
        <f t="array" ref="K195">_xll.BDP($B195&amp;" Equity","bid")</f>
        <v>7.1</v>
      </c>
      <c r="L195" s="36" cm="1">
        <f t="array" ref="L195">_xll.BDP($B195&amp;" Equity","ask")</f>
        <v>8.5</v>
      </c>
      <c r="M195" s="40">
        <f>(L195/K195-1)</f>
        <v>0.19718309859154926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-71000</v>
      </c>
      <c r="Q195" s="58">
        <f>P195/'Master P&amp;L'!$AD$5*10000</f>
        <v>-0.31611260666211466</v>
      </c>
      <c r="R195" s="37" cm="1">
        <f t="array" ref="R195">_xll.BDP($C195&amp;" Equity","EST_PE_NXT_YR")*(T195/S195)</f>
        <v>19.830105176335508</v>
      </c>
      <c r="S195" s="36" cm="1">
        <f t="array" ref="S195">_xll.BDP(C195&amp;" Equity","LAST_PRICE")</f>
        <v>332.44</v>
      </c>
      <c r="T195" s="53" cm="1">
        <f t="array" ref="T195">_xll.BDP(B195&amp;" Equity","OPT_STRIKE_PX")</f>
        <v>335</v>
      </c>
      <c r="U195" s="40">
        <f>T195/S195-1</f>
        <v>7.7006377090602651E-3</v>
      </c>
      <c r="V195" s="37" cm="1">
        <f t="array" ref="V195">_xll.BDP($B195&amp;" Equity","ivol_mid")</f>
        <v>1109.181</v>
      </c>
      <c r="W195" s="38" cm="1">
        <f t="array" ref="W195">_xll.BDP(B195&amp;" Equity","DELTA_MID_RT")</f>
        <v>0.90913897752761841</v>
      </c>
      <c r="X195" s="48">
        <f>Y195/'Master P&amp;L'!$AE$5</f>
        <v>-1.3456342066751803E-3</v>
      </c>
      <c r="Y195" s="15">
        <f>IF(G195="Sell", S195*W195*-H195*O195/N195, S195*W195*H195*O195/N195)</f>
        <v>-3022341.6168928146</v>
      </c>
      <c r="Z195" s="15" cm="1">
        <f t="array" ref="Z195">_xll.BDP($B195&amp;" Equity","opt_theta")*H195*O195/N195</f>
        <v>0</v>
      </c>
      <c r="AA195" s="19" cm="1">
        <f t="array" ref="AA195">_xll.BDP($B195&amp;" Equity","opt_theta")/I195</f>
        <v>0</v>
      </c>
      <c r="AB195" s="36" t="str" cm="1">
        <f t="array" ref="AB195">_xll.BDP($C195&amp;" Equity","EXPECTED_REPORT_DT")</f>
        <v>17/04/2026</v>
      </c>
      <c r="AC195" s="15">
        <f>S195*H195*O195/N195</f>
        <v>3324400</v>
      </c>
      <c r="AD195" s="19">
        <f>AC195/'Master P&amp;L'!$AE$5</f>
        <v>1.4801193656162452E-3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2282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t="str" cm="1">
        <f t="array" ref="E196">_xll.BDP($B196&amp;" Index","opt_days_expire")</f>
        <v>#N/A N/A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0.01</v>
      </c>
      <c r="J196" s="19">
        <f>I196/S196</f>
        <v>3.0080616051016725E-5</v>
      </c>
      <c r="K196" s="36" t="str" cm="1">
        <f t="array" ref="K196">_xll.BDP($B196&amp;" Equity","bid")</f>
        <v>#N/A N/A</v>
      </c>
      <c r="L196" s="36" cm="1">
        <f t="array" ref="L196">_xll.BDP($B196&amp;" Equity","ask")</f>
        <v>0.01</v>
      </c>
      <c r="M196" s="40" t="e">
        <f>(L196/K196-1)</f>
        <v>#VALUE!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100</v>
      </c>
      <c r="Q196" s="58">
        <f>P196/'Master P&amp;L'!$AD$5*10000</f>
        <v>4.4522902346776712E-4</v>
      </c>
      <c r="R196" s="37" cm="1">
        <f t="array" ref="R196">_xll.BDP($C196&amp;" Equity","EST_PE_NXT_YR")*(T196/S196)</f>
        <v>19.238161738235938</v>
      </c>
      <c r="S196" s="36">
        <f>_xll.BDP(C196&amp;" Equity","LAST_PRICE")</f>
        <v>332.44</v>
      </c>
      <c r="T196" s="53" cm="1">
        <f t="array" ref="T196">_xll.BDP(B196&amp;" Equity","OPT_STRIKE_PX")</f>
        <v>325</v>
      </c>
      <c r="U196" s="40">
        <f>T196/S196-1</f>
        <v>-2.2379978341956486E-2</v>
      </c>
      <c r="V196" s="37" cm="1">
        <f t="array" ref="V196">_xll.BDP($B196&amp;" Equity","ivol_mid")</f>
        <v>354.10730000000001</v>
      </c>
      <c r="W196" s="38" cm="1">
        <f t="array" ref="W196">_xll.BDP(B196&amp;" Equity","DELTA_MID_RT")</f>
        <v>-3.8300000596791506E-3</v>
      </c>
      <c r="X196" s="48">
        <f>Y196/'Master P&amp;L'!$AE$5</f>
        <v>-5.6688572586424853E-6</v>
      </c>
      <c r="Y196" s="15">
        <f>IF(G196="Sell", S196*W196*-H196*O196/N196, S196*W196*H196*O196/N196)</f>
        <v>-12732.452198397368</v>
      </c>
      <c r="Z196" s="15" cm="1">
        <f t="array" ref="Z196">_xll.BDP($B196&amp;" Equity","opt_theta")*H196*O196/N196</f>
        <v>0</v>
      </c>
      <c r="AA196" s="19" cm="1">
        <f t="array" ref="AA196">_xll.BDP($B196&amp;" Equity","opt_theta")/I196</f>
        <v>0</v>
      </c>
      <c r="AB196" s="36" t="str" cm="1">
        <f t="array" ref="AB196">_xll.BDP($C196&amp;" Equity","EXPECTED_REPORT_DT")</f>
        <v>17/04/2026</v>
      </c>
      <c r="AC196" s="15">
        <f>S196*H196*O196/N196</f>
        <v>3324400</v>
      </c>
      <c r="AD196" s="19">
        <f>AC196/'Master P&amp;L'!$AE$5</f>
        <v>1.4801193656162452E-3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2284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t="str" cm="1">
        <f t="array" ref="E197">_xll.BDP($B197&amp;" Index","opt_days_expire")</f>
        <v>#N/A N/A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 t="str">
        <f>IF(G197="Buy",L197,K197)</f>
        <v>#N/A N/A</v>
      </c>
      <c r="J197" s="19" t="e">
        <f>I197/S197</f>
        <v>#VALUE!</v>
      </c>
      <c r="K197" s="36" t="str" cm="1">
        <f t="array" ref="K197">_xll.BDP($B197&amp;" Equity","bid")</f>
        <v>#N/A N/A</v>
      </c>
      <c r="L197" s="36" cm="1">
        <f t="array" ref="L197">_xll.BDP($B197&amp;" Equity","ask")</f>
        <v>0.01</v>
      </c>
      <c r="M197" s="40" t="e">
        <f>(L197/K197-1)</f>
        <v>#VALUE!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cm="1">
        <f t="array" ref="R197">_xll.BDP($C197&amp;" Equity","EST_PE_NXT_YR")*(T197/S197)</f>
        <v>18.646218300136372</v>
      </c>
      <c r="S197" s="36" cm="1">
        <f t="array" ref="S197">_xll.BDP(C197&amp;" Equity","LAST_PRICE")</f>
        <v>332.44</v>
      </c>
      <c r="T197" s="53" cm="1">
        <f t="array" ref="T197">_xll.BDP(B197&amp;" Equity","OPT_STRIKE_PX")</f>
        <v>315</v>
      </c>
      <c r="U197" s="40">
        <f>T197/S197-1</f>
        <v>-5.2460594392973126E-2</v>
      </c>
      <c r="V197" s="37" cm="1">
        <f t="array" ref="V197">_xll.BDP($B197&amp;" Equity","ivol_mid")</f>
        <v>541.25260000000003</v>
      </c>
      <c r="W197" s="38" cm="1">
        <f t="array" ref="W197">_xll.BDP(B197&amp;" Equity","DELTA_MID_RT")</f>
        <v>-2.6179999113082886E-3</v>
      </c>
      <c r="X197" s="48">
        <f>Y197/'Master P&amp;L'!$AE$5</f>
        <v>3.8749523679090102E-6</v>
      </c>
      <c r="Y197" s="15">
        <f>IF(G197="Sell", S197*W197*-H197*O197/N197, S197*W197*H197*O197/N197)</f>
        <v>8703.2789051532745</v>
      </c>
      <c r="Z197" s="15" cm="1">
        <f t="array" ref="Z197">_xll.BDP($B197&amp;" Equity","opt_theta")*H197*O197/N197</f>
        <v>0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17/04/2026</v>
      </c>
      <c r="AC197" s="15">
        <f>S197*H197*O197/N197</f>
        <v>3324400</v>
      </c>
      <c r="AD197" s="19">
        <f>AC197/'Master P&amp;L'!$AE$5</f>
        <v>1.4801193656162452E-3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>
        <f>X196+X197+X195</f>
        <v>-1.3474281115659137E-3</v>
      </c>
      <c r="AC198" s="100" t="s">
        <v>229</v>
      </c>
      <c r="AD198" s="122">
        <f>AD196</f>
        <v>1.4801193656162452E-3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-7.8</v>
      </c>
      <c r="P199" s="100"/>
      <c r="Q199" s="108"/>
      <c r="S199" s="100"/>
      <c r="T199" s="102"/>
      <c r="W199" s="100"/>
      <c r="X199" s="122"/>
      <c r="Y199" s="13">
        <f>(Y195+Y196+Y197)/S196</f>
        <v>-9103.5097767598927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>
        <f>AD198+X198</f>
        <v>1.3269125405033144E-4</v>
      </c>
    </row>
    <row r="201" spans="1:37">
      <c r="I201" s="64"/>
      <c r="K201" s="64"/>
    </row>
    <row r="202" spans="1:37">
      <c r="H202" s="276">
        <v>1</v>
      </c>
      <c r="I202" s="64">
        <f>I204-I205</f>
        <v>-1</v>
      </c>
      <c r="K202" s="64"/>
      <c r="Q202" s="129" t="e">
        <f>(Q204+Q203)/Q205</f>
        <v>#VALUE!</v>
      </c>
    </row>
    <row r="203" spans="1:37">
      <c r="A203" s="237"/>
      <c r="B203" t="s">
        <v>2296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t="str" cm="1">
        <f t="array" ref="E203">_xll.BDP($B203&amp;" Index","opt_days_expire")</f>
        <v>#N/A N/A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 t="str">
        <f>IF(G203="Buy",L203,K203)</f>
        <v>#N/A N/A</v>
      </c>
      <c r="J203" s="19" t="e">
        <f>I203/S203</f>
        <v>#VALUE!</v>
      </c>
      <c r="K203" s="36" t="str" cm="1">
        <f t="array" ref="K203">_xll.BDP($B203&amp;" Equity","bid")</f>
        <v>#N/A N/A</v>
      </c>
      <c r="L203" s="36" cm="1">
        <f t="array" ref="L203">_xll.BDP($B203&amp;" Equity","ask")</f>
        <v>0.01</v>
      </c>
      <c r="M203" s="40" t="e">
        <f>(L203/K203-1)</f>
        <v>#VALUE!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619.92999999999995</v>
      </c>
      <c r="T203" s="53" cm="1">
        <f t="array" ref="T203">_xll.BDP(B203&amp;" Equity","OPT_STRIKE_PX")</f>
        <v>635</v>
      </c>
      <c r="U203" s="40">
        <f>T203/S203-1</f>
        <v>2.4309196199570948E-2</v>
      </c>
      <c r="V203" s="37" cm="1">
        <f t="array" ref="V203">_xll.BDP($B203&amp;" Equity","ivol_mid")</f>
        <v>188.90729999999999</v>
      </c>
      <c r="W203" s="38" cm="1">
        <f t="array" ref="W203">_xll.BDP(B203&amp;" Equity","DELTA_MID_RT")</f>
        <v>3.4509999677538872E-3</v>
      </c>
      <c r="X203" s="48">
        <f>Y203/'Master P&amp;L'!$AE$5</f>
        <v>-1.3335187044432796E-5</v>
      </c>
      <c r="Y203" s="15">
        <f>IF(G203="Sell", S203*W203*-H203*O203/N203, S203*W203*H203*O203/N203)</f>
        <v>-29951.297740135335</v>
      </c>
      <c r="Z203" s="15" cm="1">
        <f t="array" ref="Z203">_xll.BDP($B203&amp;" Equity","opt_theta")*H203*O203/N203</f>
        <v>0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>
        <f>S203*H203*O203/N203</f>
        <v>8679020</v>
      </c>
      <c r="AD203" s="19">
        <f>AC203/'Master P&amp;L'!$AE$5</f>
        <v>3.8641515992572204E-3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2297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t="str" cm="1">
        <f t="array" ref="E204">_xll.BDP($B204&amp;" Index","opt_days_expire")</f>
        <v>#N/A N/A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0.01</v>
      </c>
      <c r="J204" s="19">
        <f>I204/S204</f>
        <v>1.613085348345781E-5</v>
      </c>
      <c r="K204" s="36" t="str" cm="1">
        <f t="array" ref="K204">_xll.BDP($B204&amp;" Equity","bid")</f>
        <v>#N/A N/A</v>
      </c>
      <c r="L204" s="36" cm="1">
        <f t="array" ref="L204">_xll.BDP($B204&amp;" Equity","ask")</f>
        <v>0.01</v>
      </c>
      <c r="M204" s="40" t="e">
        <f>(L204/K204-1)</f>
        <v>#VALUE!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140</v>
      </c>
      <c r="Q204" s="58">
        <f>P204/'Master P&amp;L'!$AD$5*10000</f>
        <v>6.233206328548741E-4</v>
      </c>
      <c r="R204" s="37" t="e" cm="1">
        <f t="array" ref="R204">_xll.BDP($C204&amp;" Equity","EST_PE_NXT_YR")*(T204/S204)</f>
        <v>#VALUE!</v>
      </c>
      <c r="S204" s="36">
        <f>_xll.BDP(C204&amp;" Equity","LAST_PRICE")</f>
        <v>619.92999999999995</v>
      </c>
      <c r="T204" s="53" cm="1">
        <f t="array" ref="T204">_xll.BDP(B204&amp;" Equity","OPT_STRIKE_PX")</f>
        <v>633</v>
      </c>
      <c r="U204" s="40">
        <f>T204/S204-1</f>
        <v>2.1083025502879549E-2</v>
      </c>
      <c r="V204" s="37" cm="1">
        <f t="array" ref="V204">_xll.BDP($B204&amp;" Equity","ivol_mid")</f>
        <v>330.947</v>
      </c>
      <c r="W204" s="38" cm="1">
        <f t="array" ref="W204">_xll.BDP(B204&amp;" Equity","DELTA_MID_RT")</f>
        <v>3.9510000497102737E-3</v>
      </c>
      <c r="X204" s="48">
        <f>Y204/'Master P&amp;L'!$AE$5</f>
        <v>1.5267263160753312E-5</v>
      </c>
      <c r="Y204" s="15">
        <f>IF(G204="Sell", S204*W204*-H204*O204/N204, S204*W204*H204*O204/N204)</f>
        <v>34290.80845143646</v>
      </c>
      <c r="Z204" s="15" cm="1">
        <f t="array" ref="Z204">_xll.BDP($B204&amp;" Equity","opt_theta")*H204*O204/N204</f>
        <v>0</v>
      </c>
      <c r="AA204" s="19" cm="1">
        <f t="array" ref="AA204">_xll.BDP($B204&amp;" Equity","opt_theta")/I204</f>
        <v>0</v>
      </c>
      <c r="AB204" s="36" t="str" cm="1">
        <f t="array" ref="AB204">_xll.BDP($C204&amp;" Equity","EXPECTED_REPORT_DT")</f>
        <v>#N/A N/A</v>
      </c>
      <c r="AC204" s="15">
        <f>S204*H204*O204/N204</f>
        <v>8679020</v>
      </c>
      <c r="AD204" s="19">
        <f>AC204/'Master P&amp;L'!$AE$5</f>
        <v>3.8641515992572204E-3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2298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t="str" cm="1">
        <f t="array" ref="E205">_xll.BDP($B205&amp;" Index","opt_days_expire")</f>
        <v>#N/A N/A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1.01</v>
      </c>
      <c r="J205" s="19">
        <f>I205/S205</f>
        <v>1.6292162018292388E-3</v>
      </c>
      <c r="K205" s="36" cm="1">
        <f t="array" ref="K205">_xll.BDP($B205&amp;" Equity","bid")</f>
        <v>1.01</v>
      </c>
      <c r="L205" s="36" cm="1">
        <f t="array" ref="L205">_xll.BDP($B205&amp;" Equity","ask")</f>
        <v>1.53</v>
      </c>
      <c r="M205" s="40">
        <f>(L205/K205-1)</f>
        <v>0.51485148514851486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-21210</v>
      </c>
      <c r="Q205" s="58">
        <f>P205/'Master P&amp;L'!$AD$5*10000</f>
        <v>-9.4433075877513414E-2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619.92999999999995</v>
      </c>
      <c r="T205" s="53" cm="1">
        <f t="array" ref="T205">_xll.BDP(B205&amp;" Equity","OPT_STRIKE_PX")</f>
        <v>622</v>
      </c>
      <c r="U205" s="40">
        <f>T205/S205-1</f>
        <v>3.3390866710758527E-3</v>
      </c>
      <c r="V205" s="37" cm="1">
        <f t="array" ref="V205">_xll.BDP($B205&amp;" Equity","ivol_mid")</f>
        <v>118.77249999999999</v>
      </c>
      <c r="W205" s="38" cm="1">
        <f t="array" ref="W205">_xll.BDP(B205&amp;" Equity","DELTA_MID_RT")</f>
        <v>-0.77941399812698364</v>
      </c>
      <c r="X205" s="48">
        <f>Y205/'Master P&amp;L'!$AE$5</f>
        <v>4.517660771018772E-3</v>
      </c>
      <c r="Y205" s="15">
        <f>IF(G205="Sell", S205*W205*-H205*O205/N205, S205*W205*H205*O205/N205)</f>
        <v>10146824.51703608</v>
      </c>
      <c r="Z205" s="15" cm="1">
        <f t="array" ref="Z205">_xll.BDP($B205&amp;" Equity","opt_theta")*H205*O205/N205</f>
        <v>0</v>
      </c>
      <c r="AA205" s="19" cm="1">
        <f t="array" ref="AA205">_xll.BDP($B205&amp;" Equity","opt_theta")/I205</f>
        <v>0</v>
      </c>
      <c r="AB205" s="36" t="str" cm="1">
        <f t="array" ref="AB205">_xll.BDP($C205&amp;" Equity","EXPECTED_REPORT_DT")</f>
        <v>#N/A N/A</v>
      </c>
      <c r="AC205" s="15">
        <f>S205*H205*O205/N205</f>
        <v>13018529.999999998</v>
      </c>
      <c r="AD205" s="19">
        <f>AC205/'Master P&amp;L'!$AE$5</f>
        <v>5.7962273988858299E-3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>
        <f>K205/L204</f>
        <v>101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>
        <f>X204+X205+X203</f>
        <v>4.5195928471350923E-3</v>
      </c>
      <c r="AC206" s="100" t="s">
        <v>229</v>
      </c>
      <c r="AD206" s="122">
        <f>AD204</f>
        <v>3.8641515992572204E-3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-1.27</v>
      </c>
      <c r="P207" s="100"/>
      <c r="Q207" s="108"/>
      <c r="S207" s="100"/>
      <c r="T207" s="102"/>
      <c r="W207" s="100"/>
      <c r="X207" s="122"/>
      <c r="Y207" s="13">
        <f>(Y203+Y204+Y205)/S204</f>
        <v>16374.693961814048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8.3837444463923123E-3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-1.32</v>
      </c>
      <c r="K210" s="129"/>
      <c r="W210" s="50">
        <f>W212-W211+W214-W213</f>
        <v>0.38687509298324585</v>
      </c>
    </row>
    <row r="211" spans="1:37">
      <c r="A211" s="237">
        <v>9</v>
      </c>
      <c r="B211" t="s">
        <v>2353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4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0.41</v>
      </c>
      <c r="J211" s="19">
        <f>I211/S211</f>
        <v>6.6136499282177022E-4</v>
      </c>
      <c r="K211" s="36" cm="1">
        <f t="array" ref="K211">_xll.BDP($B211&amp;" Equity","bid")</f>
        <v>0.4</v>
      </c>
      <c r="L211" s="36" cm="1">
        <f t="array" ref="L211">_xll.BDP($B211&amp;" Equity","ask")</f>
        <v>0.41</v>
      </c>
      <c r="M211" s="40">
        <f>(L211/K211-1)</f>
        <v>2.4999999999999911E-2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8200</v>
      </c>
      <c r="Q211" s="58">
        <f>P211/'Master P&amp;L'!$AD$5*10000</f>
        <v>3.6508779924356909E-2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619.92999999999995</v>
      </c>
      <c r="T211" s="53" cm="1">
        <f t="array" ref="T211">_xll.BDP(B211&amp;" Equity","OPT_STRIKE_PX")</f>
        <v>630</v>
      </c>
      <c r="U211" s="40">
        <f>T211/S211-1</f>
        <v>1.6243769457842117E-2</v>
      </c>
      <c r="V211" s="37" cm="1">
        <f t="array" ref="V211">_xll.BDP($B211&amp;" Equity","ivol_mid")</f>
        <v>13.83192</v>
      </c>
      <c r="W211" s="38" cm="1">
        <f t="array" ref="W211">_xll.BDP(B211&amp;" Equity","DELTA_MID_RT")</f>
        <v>0.1079002320766449</v>
      </c>
      <c r="X211" s="48">
        <f>Y211/'Master P&amp;L'!$AE$5</f>
        <v>5.9563264905598942E-4</v>
      </c>
      <c r="Y211" s="15">
        <f>IF(G211="Sell", S211*W211*-H211*O211/N211, S211*W211*H211*O211/N211)</f>
        <v>1337811.8174254894</v>
      </c>
      <c r="Z211" s="15" cm="1">
        <f t="array" ref="Z211">_xll.BDP($B211&amp;" Equity","opt_theta")*H211*O211/N211</f>
        <v>-4999.76</v>
      </c>
      <c r="AA211" s="19" cm="1">
        <f t="array" ref="AA211">_xll.BDP($B211&amp;" Equity","opt_theta")/I211</f>
        <v>-0.60972682926829269</v>
      </c>
      <c r="AB211" s="36" t="str" cm="1">
        <f t="array" ref="AB211">_xll.BDP($C211&amp;" Equity","EXPECTED_REPORT_DT")</f>
        <v>#N/A N/A</v>
      </c>
      <c r="AC211" s="15">
        <f>S211*H211*O211/N211</f>
        <v>12398599.999999998</v>
      </c>
      <c r="AD211" s="19">
        <f>AC211/'Master P&amp;L'!$AE$5</f>
        <v>5.5202165703674569E-3</v>
      </c>
      <c r="AE211" t="s">
        <v>1877</v>
      </c>
      <c r="AK211" t="s">
        <v>1791</v>
      </c>
    </row>
    <row r="212" spans="1:37">
      <c r="A212" s="237">
        <v>3</v>
      </c>
      <c r="B212" t="s">
        <v>2352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4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0.9</v>
      </c>
      <c r="J212" s="19">
        <f>I212/S212</f>
        <v>1.451776813511203E-3</v>
      </c>
      <c r="K212" s="36" cm="1">
        <f t="array" ref="K212">_xll.BDP($B212&amp;" Equity","bid")</f>
        <v>0.9</v>
      </c>
      <c r="L212" s="36" cm="1">
        <f t="array" ref="L212">_xll.BDP($B212&amp;" Equity","ask")</f>
        <v>0.91</v>
      </c>
      <c r="M212" s="40">
        <f>(L212/K212-1)</f>
        <v>1.1111111111111072E-2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-18000</v>
      </c>
      <c r="Q212" s="58">
        <f>P212/'Master P&amp;L'!$AD$5*10000</f>
        <v>-8.0141224224198088E-2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619.92999999999995</v>
      </c>
      <c r="T212" s="53" cm="1">
        <f t="array" ref="T212">_xll.BDP(B212&amp;" Equity","OPT_STRIKE_PX")</f>
        <v>627</v>
      </c>
      <c r="U212" s="40">
        <f>T212/S212-1</f>
        <v>1.1404513412804684E-2</v>
      </c>
      <c r="V212" s="37" cm="1">
        <f t="array" ref="V212">_xll.BDP($B212&amp;" Equity","ivol_mid")</f>
        <v>14.32249</v>
      </c>
      <c r="W212" s="38" cm="1">
        <f t="array" ref="W212">_xll.BDP(B212&amp;" Equity","DELTA_MID_RT")</f>
        <v>0.20053425431251526</v>
      </c>
      <c r="X212" s="48">
        <f>Y212/'Master P&amp;L'!$AE$5</f>
        <v>-1.1069925135822284E-3</v>
      </c>
      <c r="Y212" s="15">
        <f>IF(G212="Sell", S212*W212*-H212*O212/N212, S212*W212*H212*O212/N212)</f>
        <v>-2486344.0055191512</v>
      </c>
      <c r="Z212" s="15" cm="1">
        <f t="array" ref="Z212">_xll.BDP($B212&amp;" Equity","opt_theta")*H212*O212/N212</f>
        <v>-8146.32</v>
      </c>
      <c r="AA212" s="19" cm="1">
        <f t="array" ref="AA212">_xll.BDP($B212&amp;" Equity","opt_theta")/I212</f>
        <v>-0.45257333333333333</v>
      </c>
      <c r="AB212" s="36" t="str" cm="1">
        <f t="array" ref="AB212">_xll.BDP($C212&amp;" Equity","EXPECTED_REPORT_DT")</f>
        <v>#N/A N/A</v>
      </c>
      <c r="AC212" s="15">
        <f>S212*H212*O212/N212</f>
        <v>12398599.999999998</v>
      </c>
      <c r="AD212" s="48">
        <f>AC212/'Master P&amp;L'!$AE$5</f>
        <v>5.5202165703674569E-3</v>
      </c>
      <c r="AE212" t="s">
        <v>1878</v>
      </c>
      <c r="AK212" t="s">
        <v>1792</v>
      </c>
    </row>
    <row r="213" spans="1:37">
      <c r="A213" s="237">
        <v>20</v>
      </c>
      <c r="B213" t="s">
        <v>2354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4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1.81</v>
      </c>
      <c r="J213" s="19">
        <f>I213/S213</f>
        <v>2.9196844805058639E-3</v>
      </c>
      <c r="K213" s="36" cm="1">
        <f t="array" ref="K213">_xll.BDP($B213&amp;" Equity","bid")</f>
        <v>1.8</v>
      </c>
      <c r="L213" s="36" cm="1">
        <f t="array" ref="L213">_xll.BDP($B213&amp;" Equity","ask")</f>
        <v>1.81</v>
      </c>
      <c r="M213" s="40">
        <f>(L213/K213-1)</f>
        <v>5.5555555555555358E-3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36200</v>
      </c>
      <c r="Q213" s="58">
        <f>P213/'Master P&amp;L'!$AD$5*10000</f>
        <v>0.1611729064953317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619.92999999999995</v>
      </c>
      <c r="T213" s="53" cm="1">
        <f t="array" ref="T213">_xll.BDP(B213&amp;" Equity","OPT_STRIKE_PX")</f>
        <v>615</v>
      </c>
      <c r="U213" s="40">
        <f>T213/S213-1</f>
        <v>-7.9525107673446005E-3</v>
      </c>
      <c r="V213" s="37" cm="1">
        <f t="array" ref="V213">_xll.BDP(B213&amp;" Equity","ivol_mid")</f>
        <v>17.358160000000002</v>
      </c>
      <c r="W213" s="38" cm="1">
        <f t="array" ref="W213">_xll.BDP(B213&amp;" Equity","DELTA_MID_RT")</f>
        <v>-0.29424107074737549</v>
      </c>
      <c r="X213" s="48">
        <f>Y213/'Master P&amp;L'!$AE$5</f>
        <v>-1.6242744344223256E-3</v>
      </c>
      <c r="Y213" s="15">
        <f>IF(G213="Sell", S213*W213*-H213*O213/N213, S213*W213*H213*O213/N213)</f>
        <v>-3648177.3397684097</v>
      </c>
      <c r="Z213" s="15" cm="1">
        <f t="array" ref="Z213">_xll.BDP($B213&amp;" Equity","opt_theta")*H213*O213/N213</f>
        <v>-11563.300000000001</v>
      </c>
      <c r="AA213" s="19" cm="1">
        <f t="array" ref="AA213">_xll.BDP($B213&amp;" Equity","opt_theta")/I213</f>
        <v>-0.31942817679558011</v>
      </c>
      <c r="AB213" s="36" t="str" cm="1">
        <f t="array" ref="AB213">_xll.BDP($C213&amp;" Equity","EXPECTED_REPORT_DT")</f>
        <v>#N/A N/A</v>
      </c>
      <c r="AC213" s="15">
        <f>S213*H213*O213/N213</f>
        <v>12398599.999999998</v>
      </c>
      <c r="AD213" s="19">
        <f>AC213/'Master P&amp;L'!$AE$5</f>
        <v>5.5202165703674569E-3</v>
      </c>
      <c r="AE213" t="s">
        <v>1879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-1.32</v>
      </c>
      <c r="J215" s="100" t="s">
        <v>249</v>
      </c>
      <c r="K215" s="101">
        <f>K214/L212</f>
        <v>0</v>
      </c>
      <c r="P215" s="130">
        <f>P212+P214+P211+P213</f>
        <v>26400</v>
      </c>
      <c r="Q215" s="58">
        <f>P215/'Master P&amp;L'!$AD$5*10000</f>
        <v>0.11754046219549054</v>
      </c>
      <c r="S215" s="100" t="s">
        <v>251</v>
      </c>
      <c r="T215" s="102"/>
      <c r="W215" s="100" t="s">
        <v>252</v>
      </c>
      <c r="X215" s="122">
        <f>X212+X214+X211+X213</f>
        <v>-2.1356342989485647E-3</v>
      </c>
      <c r="AC215" s="100" t="s">
        <v>229</v>
      </c>
      <c r="AD215" s="122">
        <f>AD212</f>
        <v>5.5202165703674569E-3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-1852.6804447174065</v>
      </c>
      <c r="AC216" s="100"/>
      <c r="AD216" s="104"/>
    </row>
    <row r="217" spans="1:37">
      <c r="C217">
        <f>H211*(T211-T212)*100+P215</f>
        <v>86400</v>
      </c>
      <c r="D217" s="64"/>
      <c r="H217" s="96"/>
      <c r="I217" s="64">
        <f>I212-I211</f>
        <v>0.49000000000000005</v>
      </c>
      <c r="K217" s="64">
        <f>(I211/25*A211)+(I212/25*A212)-(I214/25*A214)</f>
        <v>0.25559999999999999</v>
      </c>
      <c r="N217" s="36"/>
      <c r="O217" s="162"/>
      <c r="P217" s="15"/>
      <c r="Q217" s="58"/>
    </row>
    <row r="218" spans="1:37">
      <c r="C218">
        <f>C217/'Master P&amp;L'!$AD$5*10000</f>
        <v>0.3846778762761508</v>
      </c>
      <c r="I218" s="64">
        <f>I213-I214</f>
        <v>1.81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3.693877551020408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18.099999999999998</v>
      </c>
      <c r="J221" s="64">
        <f>I224-I225</f>
        <v>9.65</v>
      </c>
      <c r="K221" s="129"/>
      <c r="W221" s="50">
        <f>W223-W222+W225-W224</f>
        <v>0.29965613782405853</v>
      </c>
    </row>
    <row r="222" spans="1:37">
      <c r="A222" s="237">
        <v>9</v>
      </c>
      <c r="B222" s="59" t="s">
        <v>2118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147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17.2</v>
      </c>
      <c r="J222" s="19">
        <f>I222/S222</f>
        <v>5.2039210940336443E-2</v>
      </c>
      <c r="K222" s="36" cm="1">
        <f t="array" ref="K222">_xll.BDP($B222&amp;" Equity","bid")</f>
        <v>17.2</v>
      </c>
      <c r="L222" s="36" cm="1">
        <f t="array" ref="L222">_xll.BDP($B222&amp;" Equity","ask")</f>
        <v>17.55</v>
      </c>
      <c r="M222" s="40">
        <f>(L222/K222-1)</f>
        <v>2.0348837209302362E-2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-86000</v>
      </c>
      <c r="Q222" s="58">
        <f>P222/'Master P&amp;L'!$AD$5*10000</f>
        <v>-0.38289696018227976</v>
      </c>
      <c r="R222" s="37" cm="1">
        <f t="array" ref="R222">_xll.BDP($C222&amp;" Equity","EST_PE_NXT_YR")*(T222/S222)</f>
        <v>28.930798152322758</v>
      </c>
      <c r="S222" s="36" cm="1">
        <f t="array" ref="S222">_xll.BDP(C222&amp;" Equity","LAST_PRICE")</f>
        <v>330.52</v>
      </c>
      <c r="T222" s="53" cm="1">
        <f t="array" ref="T222">_xll.BDP(B222&amp;" Equity","OPT_STRIKE_PX")</f>
        <v>410</v>
      </c>
      <c r="U222" s="40">
        <f>T222/S222-1</f>
        <v>0.24046956311267098</v>
      </c>
      <c r="V222" s="37" cm="1">
        <f t="array" ref="V222">_xll.BDP($B222&amp;" Equity","ivol_mid")</f>
        <v>49.049759999999999</v>
      </c>
      <c r="W222" s="38" cm="1">
        <f t="array" ref="W222">_xll.BDP(B222&amp;" Equity","DELTA_MID_RT")</f>
        <v>0.30966514348983765</v>
      </c>
      <c r="X222" s="48">
        <f>Y222/'Master P&amp;L'!$AE$5</f>
        <v>-2.2784711753721633E-4</v>
      </c>
      <c r="Y222" s="15">
        <f>IF(G222="Sell", S222*W222*-H222*O222/N222, S222*W222*H222*O222/N222)</f>
        <v>-511752.61613130569</v>
      </c>
      <c r="Z222" s="15" cm="1">
        <f t="array" ref="Z222">_xll.BDP($B222&amp;" Equity","opt_theta")*H222*O222/N222</f>
        <v>-603.66499999999996</v>
      </c>
      <c r="AA222" s="19" cm="1">
        <f t="array" ref="AA222">_xll.BDP($B222&amp;" Equity","opt_theta")/I222</f>
        <v>-7.0193604651162794E-3</v>
      </c>
      <c r="AB222" s="36" t="str" cm="1">
        <f t="array" ref="AB222">_xll.BDP($C222&amp;" Equity","EXPECTED_REPORT_DT")</f>
        <v>06/03/2026</v>
      </c>
      <c r="AC222" s="15">
        <f>S222*H222*O222/N222</f>
        <v>1652600</v>
      </c>
      <c r="AD222" s="19">
        <f>AC222/'Master P&amp;L'!$AE$5</f>
        <v>7.3578548418283204E-4</v>
      </c>
      <c r="AE222" t="s">
        <v>1877</v>
      </c>
      <c r="AK222" t="s">
        <v>1791</v>
      </c>
    </row>
    <row r="223" spans="1:37">
      <c r="A223" s="237">
        <v>3</v>
      </c>
      <c r="B223" s="59" t="s">
        <v>2116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147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35.299999999999997</v>
      </c>
      <c r="J223" s="19">
        <f>I223/S223</f>
        <v>0.10680140384848118</v>
      </c>
      <c r="K223" s="36" cm="1">
        <f t="array" ref="K223">_xll.BDP($B223&amp;" Equity","bid")</f>
        <v>35</v>
      </c>
      <c r="L223" s="36" cm="1">
        <f t="array" ref="L223">_xll.BDP($B223&amp;" Equity","ask")</f>
        <v>35.299999999999997</v>
      </c>
      <c r="M223" s="40">
        <f>(L223/K223-1)</f>
        <v>8.5714285714284522E-3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176499.99999999997</v>
      </c>
      <c r="Q223" s="58">
        <f>P223/'Master P&amp;L'!$AD$5*10000</f>
        <v>0.78582922642060882</v>
      </c>
      <c r="R223" s="37" cm="1">
        <f t="array" ref="R223">_xll.BDP($C223&amp;" Equity","EST_PE_NXT_YR")*(T223/S223)</f>
        <v>24.697022812958448</v>
      </c>
      <c r="S223" s="36" cm="1">
        <f t="array" ref="S223">_xll.BDP(C223&amp;" Equity","LAST_PRICE")</f>
        <v>330.52</v>
      </c>
      <c r="T223" s="53" cm="1">
        <f t="array" ref="T223">_xll.BDP(B223&amp;" Equity","OPT_STRIKE_PX")</f>
        <v>350</v>
      </c>
      <c r="U223" s="40">
        <f>T223/S223-1</f>
        <v>5.8937431925450756E-2</v>
      </c>
      <c r="V223" s="37" cm="1">
        <f t="array" ref="V223">_xll.BDP($B223&amp;" Equity","ivol_mid")</f>
        <v>49.845889999999997</v>
      </c>
      <c r="W223" s="38" cm="1">
        <f t="array" ref="W223">_xll.BDP(B223&amp;" Equity","DELTA_MID_RT")</f>
        <v>0.50757294893264771</v>
      </c>
      <c r="X223" s="48">
        <f>Y223/'Master P&amp;L'!$AE$5</f>
        <v>3.7346480798851605E-4</v>
      </c>
      <c r="Y223" s="15">
        <f>IF(G223="Sell", S223*W223*-H223*O223/N223, S223*W223*H223*O223/N223)</f>
        <v>838815.0554060936</v>
      </c>
      <c r="Z223" s="15" cm="1">
        <f t="array" ref="Z223">_xll.BDP($B223&amp;" Equity","opt_theta")*H223*O223/N223</f>
        <v>-681.21</v>
      </c>
      <c r="AA223" s="19" cm="1">
        <f t="array" ref="AA223">_xll.BDP($B223&amp;" Equity","opt_theta")/I223</f>
        <v>-3.859546742209632E-3</v>
      </c>
      <c r="AB223" s="36" t="str" cm="1">
        <f t="array" ref="AB223">_xll.BDP($C223&amp;" Equity","EXPECTED_REPORT_DT")</f>
        <v>06/03/2026</v>
      </c>
      <c r="AC223" s="15">
        <f>S223*H223*O223/N223</f>
        <v>1652600</v>
      </c>
      <c r="AD223" s="48">
        <f>AC223/'Master P&amp;L'!$AE$5</f>
        <v>7.3578548418283204E-4</v>
      </c>
      <c r="AE223" t="s">
        <v>1878</v>
      </c>
      <c r="AK223" t="s">
        <v>1792</v>
      </c>
    </row>
    <row r="224" spans="1:37">
      <c r="A224" s="237"/>
      <c r="B224" s="59" t="s">
        <v>2115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147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24.75</v>
      </c>
      <c r="J224" s="19">
        <f>I224/S224</f>
        <v>7.4882004114728312E-2</v>
      </c>
      <c r="K224" s="36" cm="1">
        <f t="array" ref="K224">_xll.BDP($B224&amp;" Equity","bid")</f>
        <v>24.75</v>
      </c>
      <c r="L224" s="36" cm="1">
        <f t="array" ref="L224">_xll.BDP($B224&amp;" Equity","ask")</f>
        <v>25.15</v>
      </c>
      <c r="M224" s="40">
        <f>(L224/K224-1)</f>
        <v>1.6161616161616044E-2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-123750</v>
      </c>
      <c r="Q224" s="58">
        <f>P224/'Master P&amp;L'!$AD$5*10000</f>
        <v>-0.55097091654136188</v>
      </c>
      <c r="R224" s="37" cm="1">
        <f t="array" ref="R224">_xll.BDP($C224&amp;" Equity","EST_PE_NXT_YR")*(T224/S224)</f>
        <v>21.168876696821531</v>
      </c>
      <c r="S224" s="36" cm="1">
        <f t="array" ref="S224">_xll.BDP(C224&amp;" Equity","LAST_PRICE")</f>
        <v>330.52</v>
      </c>
      <c r="T224" s="53" cm="1">
        <f t="array" ref="T224">_xll.BDP(B224&amp;" Equity","OPT_STRIKE_PX")</f>
        <v>300</v>
      </c>
      <c r="U224" s="40">
        <f>T224/S224-1</f>
        <v>-9.2339344063899209E-2</v>
      </c>
      <c r="V224" s="37" cm="1">
        <f t="array" ref="V224">_xll.BDP(B224&amp;" Equity","ivol_mid")</f>
        <v>51.065840000000001</v>
      </c>
      <c r="W224" s="38" cm="1">
        <f t="array" ref="W224">_xll.BDP(B224&amp;" Equity","DELTA_MID_RT")</f>
        <v>-0.30877244472503662</v>
      </c>
      <c r="X224" s="48">
        <f>Y224/'Master P&amp;L'!$AE$5</f>
        <v>2.2719028274432781E-4</v>
      </c>
      <c r="Y224" s="15">
        <f>IF(G224="Sell", S224*W224*-H224*O224/N224, S224*W224*H224*O224/N224)</f>
        <v>510277.34215259552</v>
      </c>
      <c r="Z224" s="15" cm="1">
        <f t="array" ref="Z224">_xll.BDP($B224&amp;" Equity","opt_theta")*H224*O224/N224</f>
        <v>-636.68500000000006</v>
      </c>
      <c r="AA224" s="19" cm="1">
        <f t="array" ref="AA224">_xll.BDP($B224&amp;" Equity","opt_theta")/I224</f>
        <v>-5.1449292929292931E-3</v>
      </c>
      <c r="AB224" s="36" t="str" cm="1">
        <f t="array" ref="AB224">_xll.BDP($C224&amp;" Equity","EXPECTED_REPORT_DT")</f>
        <v>06/03/2026</v>
      </c>
      <c r="AC224" s="15">
        <f>S224*H224*O224/N224</f>
        <v>1652600</v>
      </c>
      <c r="AD224" s="19">
        <f>AC224/'Master P&amp;L'!$AE$5</f>
        <v>7.3578548418283204E-4</v>
      </c>
      <c r="AE224" t="s">
        <v>1879</v>
      </c>
      <c r="AK224" t="s">
        <v>1793</v>
      </c>
    </row>
    <row r="225" spans="1:38">
      <c r="A225" s="237"/>
      <c r="B225" s="59" t="s">
        <v>2117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147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15.1</v>
      </c>
      <c r="J225" s="19">
        <f>I225/S225</f>
        <v>4.5685586348783738E-2</v>
      </c>
      <c r="K225" s="36" cm="1">
        <f t="array" ref="K225">_xll.BDP($B225&amp;" Equity","bid")</f>
        <v>14.8</v>
      </c>
      <c r="L225" s="36" cm="1">
        <f t="array" ref="L225">_xll.BDP($B225&amp;" Equity","ask")</f>
        <v>15.1</v>
      </c>
      <c r="M225" s="40">
        <f>(L225/K225-1)</f>
        <v>2.0270270270270174E-2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75500</v>
      </c>
      <c r="Q225" s="58">
        <f>P225/'Master P&amp;L'!$AD$5*10000</f>
        <v>0.33614791271816419</v>
      </c>
      <c r="R225" s="37" cm="1">
        <f t="array" ref="R225">_xll.BDP($C225&amp;" Equity","EST_PE_NXT_YR")*(T225/S225)</f>
        <v>19.051989027139378</v>
      </c>
      <c r="S225" s="36" cm="1">
        <f t="array" ref="S225">_xll.BDP(C225&amp;" Equity","LAST_PRICE")</f>
        <v>330.52</v>
      </c>
      <c r="T225" s="53" cm="1">
        <f t="array" ref="T225">_xll.BDP(B225&amp;" Equity","OPT_STRIKE_PX")</f>
        <v>270</v>
      </c>
      <c r="U225" s="40">
        <f>T225/S225-1</f>
        <v>-0.18310540965750932</v>
      </c>
      <c r="V225" s="37" cm="1">
        <f t="array" ref="V225">_xll.BDP(B225&amp;" Equity","ivol_mid")</f>
        <v>52.268059999999998</v>
      </c>
      <c r="W225" s="38" cm="1">
        <f t="array" ref="W225">_xll.BDP(B225&amp;" Equity","DELTA_MID_RT")</f>
        <v>-0.20702411234378815</v>
      </c>
      <c r="X225" s="48">
        <f>Y225/'Master P&amp;L'!$AE$5</f>
        <v>-1.5232533673839515E-4</v>
      </c>
      <c r="Y225" s="15">
        <f>IF(G225="Sell", S225*W225*-H225*O225/N225, S225*W225*H225*O225/N225)</f>
        <v>-342128.04805934423</v>
      </c>
      <c r="Z225" s="15" cm="1">
        <f t="array" ref="Z225">_xll.BDP($B225&amp;" Equity","opt_theta")*H225*O225/N225</f>
        <v>-534.34</v>
      </c>
      <c r="AA225" s="19" cm="1">
        <f t="array" ref="AA225">_xll.BDP($B225&amp;" Equity","opt_theta")/I225</f>
        <v>-7.0773509933774841E-3</v>
      </c>
      <c r="AB225" s="36" t="str" cm="1">
        <f t="array" ref="AB225">_xll.BDP($C225&amp;" Equity","EXPECTED_REPORT_DT")</f>
        <v>06/03/2026</v>
      </c>
      <c r="AC225" s="15">
        <f>S225*H225*O225/N225</f>
        <v>1652600</v>
      </c>
      <c r="AD225" s="19">
        <f>AC225/'Master P&amp;L'!$AE$5</f>
        <v>7.3578548418283204E-4</v>
      </c>
      <c r="AE225" t="s">
        <v>1879</v>
      </c>
      <c r="AK225" t="s">
        <v>1793</v>
      </c>
    </row>
    <row r="226" spans="1:38">
      <c r="H226" s="100" t="s">
        <v>116</v>
      </c>
      <c r="I226" s="102">
        <f>I223+I225-I224-I222</f>
        <v>8.4499999999999993</v>
      </c>
      <c r="J226" s="100" t="s">
        <v>249</v>
      </c>
      <c r="K226" s="101">
        <f>K225/L223</f>
        <v>0.41926345609065163</v>
      </c>
      <c r="P226" s="130">
        <f>P223+P225+P222+P224</f>
        <v>42249.999999999971</v>
      </c>
      <c r="Q226" s="58">
        <f>P226/'Master P&amp;L'!$AD$5*10000</f>
        <v>0.18810926241513151</v>
      </c>
      <c r="S226" s="100" t="s">
        <v>251</v>
      </c>
      <c r="T226" s="102"/>
      <c r="W226" s="100" t="s">
        <v>252</v>
      </c>
      <c r="X226" s="122">
        <f>X223+X225+X222+X224</f>
        <v>2.2048263645723238E-4</v>
      </c>
      <c r="AC226" s="100" t="s">
        <v>229</v>
      </c>
      <c r="AD226" s="122">
        <f>AD223</f>
        <v>7.3578548418283204E-4</v>
      </c>
    </row>
    <row r="227" spans="1:38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7.774999999999995</v>
      </c>
      <c r="P227" s="100"/>
      <c r="Q227" s="108"/>
      <c r="S227" s="100"/>
      <c r="T227" s="102"/>
      <c r="W227" s="100"/>
      <c r="X227" s="122"/>
      <c r="Y227" s="13">
        <f>(Y222+Y223+Y224)/S223</f>
        <v>2533.4012508392334</v>
      </c>
      <c r="AC227" s="100"/>
      <c r="AD227" s="104"/>
    </row>
    <row r="228" spans="1:38">
      <c r="D228" s="64"/>
      <c r="H228" s="96"/>
      <c r="I228" s="64">
        <f>I223-I222</f>
        <v>18.099999999999998</v>
      </c>
      <c r="K228" s="64">
        <f>(I222/25*A222)+(I223/25*A223)-(I225/25*A225)</f>
        <v>10.427999999999999</v>
      </c>
      <c r="N228" s="36"/>
      <c r="O228" s="162"/>
      <c r="P228" s="15"/>
      <c r="Q228" s="58"/>
    </row>
    <row r="229" spans="1:38">
      <c r="I229" s="64">
        <f>I224-I225</f>
        <v>9.65</v>
      </c>
      <c r="K229">
        <v>11.59</v>
      </c>
      <c r="M229" s="267">
        <f>(I226-K227)*500*100</f>
        <v>33750.000000000218</v>
      </c>
      <c r="P229">
        <v>-7500</v>
      </c>
      <c r="S229">
        <v>521.79999999999995</v>
      </c>
    </row>
    <row r="230" spans="1:38">
      <c r="I230" s="40">
        <f>I229/I228</f>
        <v>0.53314917127071837</v>
      </c>
    </row>
    <row r="231" spans="1:38">
      <c r="I231" s="64"/>
    </row>
    <row r="232" spans="1:38">
      <c r="I232" s="64"/>
    </row>
    <row r="233" spans="1:38">
      <c r="A233" s="458">
        <f>P233/Y233</f>
        <v>0.17158230947553699</v>
      </c>
      <c r="B233" s="59" t="s">
        <v>2357</v>
      </c>
      <c r="C233" t="str" cm="1">
        <f t="array" ref="C233">_xll.BDP(B233&amp;" Equity","OPT_UNDL_TICKER")</f>
        <v>META US</v>
      </c>
      <c r="D233" s="43">
        <f>J233+U233</f>
        <v>0.13772784412319294</v>
      </c>
      <c r="E233" cm="1">
        <f t="array" ref="E233">_xll.BDP($B233&amp;" Index","opt_days_expire")</f>
        <v>176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54.05</v>
      </c>
      <c r="J233" s="19">
        <f>I233/S233</f>
        <v>8.4930861093651791E-2</v>
      </c>
      <c r="K233" s="36" cm="1">
        <f t="array" ref="K233">_xll.BDP($B233&amp;" Equity","bid")</f>
        <v>53.6</v>
      </c>
      <c r="L233" s="36" cm="1">
        <f t="array" ref="L233">_xll.BDP($B233&amp;" Equity","ask")</f>
        <v>54.05</v>
      </c>
      <c r="M233" s="40">
        <f>(L233/K233-1)</f>
        <v>8.3955223880596286E-3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216200</v>
      </c>
      <c r="Q233" s="58">
        <f>P233/'Master P&amp;L'!$AD$5*10000</f>
        <v>0.9625851487373126</v>
      </c>
      <c r="R233" s="37" cm="1">
        <f t="array" ref="R233">_xll.BDP($C233&amp;" Equity","EST_PE_NXT_YR")*(T233/S233)</f>
        <v>19.147897416111434</v>
      </c>
      <c r="S233" s="36" cm="1">
        <f t="array" ref="S233">_xll.BDP(C233&amp;" Equity","LAST_PRICE")</f>
        <v>636.4</v>
      </c>
      <c r="T233" s="53" cm="1">
        <f t="array" ref="T233">_xll.BDP(B233&amp;" Equity","OPT_STRIKE_PX")</f>
        <v>670</v>
      </c>
      <c r="U233" s="40">
        <f>T233/S233-1</f>
        <v>5.2796983029541167E-2</v>
      </c>
      <c r="V233" s="37" cm="1">
        <f t="array" ref="V233">_xll.BDP($B233&amp;" Equity","ivol_mid")</f>
        <v>35.95749</v>
      </c>
      <c r="W233" s="38" cm="1">
        <f t="array" ref="W233">_xll.BDP(B233&amp;" Equity","DELTA_MID_RT")</f>
        <v>0.49498611688613892</v>
      </c>
      <c r="X233" s="48">
        <f>Y233/'Master P&amp;L'!$AE$5</f>
        <v>5.6100489128487418E-4</v>
      </c>
      <c r="Y233" s="15">
        <f>IF(G233="Sell", S233*W233*-H233*O233/N233, S233*W233*H233*O233/N233)</f>
        <v>1260036.659145355</v>
      </c>
      <c r="Z233" s="15" cm="1">
        <f t="array" ref="Z233">_xll.BDP($B233&amp;" Equity","opt_theta")*H233*O233/N233</f>
        <v>-695.01599999999996</v>
      </c>
      <c r="AA233" s="19" cm="1">
        <f t="array" ref="AA233">_xll.BDP($B233&amp;" Equity","opt_theta")/I233</f>
        <v>-3.2146901017576319E-3</v>
      </c>
      <c r="AB233" s="36" t="str" cm="1">
        <f t="array" ref="AB233">_xll.BDP($C233&amp;" Equity","EXPECTED_REPORT_DT")</f>
        <v>28/01/2026</v>
      </c>
      <c r="AC233" s="15">
        <f>S233*H233*O233/N233</f>
        <v>2545600</v>
      </c>
      <c r="AD233" s="48">
        <f>AC233/'Master P&amp;L'!$AE$5</f>
        <v>1.1333750021395481E-3</v>
      </c>
      <c r="AE233" t="str">
        <f>B233&amp;" -&gt; Buy to open "&amp;H233&amp;"x"</f>
        <v>META US 07/17/26 C670 -&gt; Buy to open 40x</v>
      </c>
    </row>
    <row r="234" spans="1:38">
      <c r="A234" s="458">
        <f t="shared" ref="A234:A235" si="0">P234/Y234</f>
        <v>0.16294809797878018</v>
      </c>
      <c r="B234" s="59" t="s">
        <v>2356</v>
      </c>
      <c r="C234" t="str" cm="1">
        <f t="array" ref="C234">_xll.BDP(B234&amp;" Equity","OPT_UNDL_TICKER")</f>
        <v>AMZN US</v>
      </c>
      <c r="D234" s="43">
        <f>J234+U234</f>
        <v>0.12455864210660664</v>
      </c>
      <c r="E234" cm="1">
        <f t="array" ref="E234">_xll.BDP($B234&amp;" Index","opt_days_expire")</f>
        <v>176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19.350000000000001</v>
      </c>
      <c r="J234" s="19">
        <f>I234/S234</f>
        <v>8.2315905900370107E-2</v>
      </c>
      <c r="K234" s="36" cm="1">
        <f t="array" ref="K234">_xll.BDP($B234&amp;" Equity","bid")</f>
        <v>19.25</v>
      </c>
      <c r="L234" s="36" cm="1">
        <f t="array" ref="L234">_xll.BDP($B234&amp;" Equity","ask")</f>
        <v>19.350000000000001</v>
      </c>
      <c r="M234" s="40">
        <f>(L234/K234-1)</f>
        <v>5.1948051948051965E-3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203175.00000000003</v>
      </c>
      <c r="Q234" s="58">
        <f>P234/'Master P&amp;L'!$AD$5*10000</f>
        <v>0.90459406843063606</v>
      </c>
      <c r="R234" s="37" cm="1">
        <f t="array" ref="R234">_xll.BDP($C234&amp;" Equity","EST_PE_NXT_YR")*(T234/S234)</f>
        <v>26.041524442542475</v>
      </c>
      <c r="S234" s="36" cm="1">
        <f t="array" ref="S234">_xll.BDP(C234&amp;" Equity","LAST_PRICE")</f>
        <v>235.07</v>
      </c>
      <c r="T234" s="53" cm="1">
        <f t="array" ref="T234">_xll.BDP(B234&amp;" Equity","OPT_STRIKE_PX")</f>
        <v>245</v>
      </c>
      <c r="U234" s="40">
        <f>T234/S234-1</f>
        <v>4.2242736206236531E-2</v>
      </c>
      <c r="V234" s="37" cm="1">
        <f t="array" ref="V234">_xll.BDP(B234&amp;" Equity","ivol_mid")</f>
        <v>33.504649999999998</v>
      </c>
      <c r="W234" s="38" cm="1">
        <f t="array" ref="W234">_xll.BDP(B234&amp;" Equity","DELTA_MID_RT")</f>
        <v>0.50516641139984131</v>
      </c>
      <c r="X234" s="48">
        <f>Y234/'Master P&amp;L'!$AE$5</f>
        <v>5.5514245311929708E-4</v>
      </c>
      <c r="Y234" s="15">
        <f>IF(G234="Sell", S234*W234*-H234*O234/N234, S234*W234*H234*O234/N234)</f>
        <v>1246869.4174414873</v>
      </c>
      <c r="Z234" s="15" cm="1">
        <f t="array" ref="Z234">_xll.BDP($B234&amp;" Equity","opt_theta")*H234*O234/N234</f>
        <v>-628.34100000000001</v>
      </c>
      <c r="AA234" s="19" cm="1">
        <f t="array" ref="AA234">_xll.BDP($B234&amp;" Equity","opt_theta")/I234</f>
        <v>-3.092609819121447E-3</v>
      </c>
      <c r="AB234" s="36" t="str" cm="1">
        <f t="array" ref="AB234">_xll.BDP($C234&amp;" Equity","EXPECTED_REPORT_DT")</f>
        <v>06/02/2026</v>
      </c>
      <c r="AC234" s="15">
        <f>S234*H234*O234/N234</f>
        <v>2468235</v>
      </c>
      <c r="AD234" s="19">
        <f>AC234/'Master P&amp;L'!$AE$5</f>
        <v>1.0989298587389643E-3</v>
      </c>
      <c r="AE234" t="str">
        <f>B234  &amp; " -&gt; Sell to open " &amp;   H234 &amp;"x"</f>
        <v>AMZN US 07/17/26 C245 -&gt; Sell to open 105x</v>
      </c>
    </row>
    <row r="235" spans="1:38">
      <c r="A235" s="458">
        <f t="shared" si="0"/>
        <v>0.13284744711421942</v>
      </c>
      <c r="B235" s="59" t="s">
        <v>2358</v>
      </c>
      <c r="C235" t="str" cm="1">
        <f t="array" ref="C235">_xll.BDP(B235&amp;" Equity","OPT_UNDL_TICKER")</f>
        <v>MSFT US</v>
      </c>
      <c r="D235" s="43">
        <f>J235+U235</f>
        <v>0.10526669203393239</v>
      </c>
      <c r="E235" cm="1">
        <f t="array" ref="E235">_xll.BDP($B235&amp;" Index","opt_days_expire")</f>
        <v>176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28.8</v>
      </c>
      <c r="J235" s="19">
        <f t="shared" ref="J235" si="2">I235/S235</f>
        <v>6.4462698927859982E-2</v>
      </c>
      <c r="K235" s="36" cm="1">
        <f t="array" ref="K235">_xll.BDP($B235&amp;" Equity","bid")</f>
        <v>28.65</v>
      </c>
      <c r="L235" s="36" cm="1">
        <f t="array" ref="L235">_xll.BDP($B235&amp;" Equity","ask")</f>
        <v>28.8</v>
      </c>
      <c r="M235" s="40">
        <f t="shared" ref="M235" si="3">(L235/K235-1)</f>
        <v>5.2356020942410098E-3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158400</v>
      </c>
      <c r="Q235" s="58">
        <f>P235/'Master P&amp;L'!$AD$5*10000</f>
        <v>0.70524277317294326</v>
      </c>
      <c r="R235" s="37" cm="1">
        <f t="array" ref="R235">_xll.BDP($C235&amp;" Equity","EST_PE_NXT_YR")*(T235/S235)</f>
        <v>24.623453088554115</v>
      </c>
      <c r="S235" s="36" cm="1">
        <f t="array" ref="S235">_xll.BDP(C235&amp;" Equity","LAST_PRICE")</f>
        <v>446.77</v>
      </c>
      <c r="T235" s="53" cm="1">
        <f t="array" ref="T235">_xll.BDP(B235&amp;" Equity","OPT_STRIKE_PX")</f>
        <v>465</v>
      </c>
      <c r="U235" s="40">
        <f t="shared" ref="U235" si="5">T235/S235-1</f>
        <v>4.0803993106072411E-2</v>
      </c>
      <c r="V235" s="37" cm="1">
        <f t="array" ref="V235">_xll.BDP(B235&amp;" Equity","ivol_mid")</f>
        <v>27.574570000000001</v>
      </c>
      <c r="W235" s="38" cm="1">
        <f t="array" ref="W235">_xll.BDP(B235&amp;" Equity","DELTA_MID_RT")</f>
        <v>0.48523852229118347</v>
      </c>
      <c r="X235" s="48">
        <f>Y235/'Master P&amp;L'!$AE$5</f>
        <v>5.3086663574843887E-4</v>
      </c>
      <c r="Y235" s="15">
        <f t="shared" ref="Y235" si="6">IF(G235="Sell", S235*W235*-H235*O235/N235, S235*W235*H235*O235/N235)</f>
        <v>1192345.0803221762</v>
      </c>
      <c r="Z235" s="15" cm="1">
        <f t="array" ref="Z235">_xll.BDP($B235&amp;" Equity","opt_theta")*H235*O235/N235</f>
        <v>-536.8605</v>
      </c>
      <c r="AA235" s="19" cm="1">
        <f t="array" ref="AA235">_xll.BDP($B235&amp;" Equity","opt_theta")/I235</f>
        <v>-3.3892708333333335E-3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2457235</v>
      </c>
      <c r="AD235" s="19">
        <f>AC235/'Master P&amp;L'!$AE$5</f>
        <v>1.0940323394808189E-3</v>
      </c>
      <c r="AE235" t="str">
        <f t="shared" ref="AE235" si="8">B235  &amp; " -&gt; Sell to open " &amp;   H235 &amp;"x"</f>
        <v>MSFT US 07/17/26 C465 -&gt; Sell to open 55x</v>
      </c>
    </row>
    <row r="236" spans="1:38" s="558" customFormat="1">
      <c r="A236" s="458">
        <f t="shared" ref="A236" si="9">P236/Y236</f>
        <v>0.16353501918516872</v>
      </c>
      <c r="B236" s="59" t="s">
        <v>2359</v>
      </c>
      <c r="C236" s="558" t="str" cm="1">
        <f t="array" ref="C236">_xll.BDP(B236&amp;" Equity","OPT_UNDL_TICKER")</f>
        <v>GOOG US</v>
      </c>
      <c r="D236" s="43">
        <f>J236+U236</f>
        <v>0.13593816051693935</v>
      </c>
      <c r="E236" s="558" cm="1">
        <f t="array" ref="E236">_xll.BDP($B236&amp;" Index","opt_days_expire")</f>
        <v>176</v>
      </c>
      <c r="F236" s="558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26.2</v>
      </c>
      <c r="J236" s="19">
        <f t="shared" ref="J236" si="11">I236/S236</f>
        <v>7.9111057431004286E-2</v>
      </c>
      <c r="K236" s="36" cm="1">
        <f t="array" ref="K236">_xll.BDP($B236&amp;" Equity","bid")</f>
        <v>26</v>
      </c>
      <c r="L236" s="36" cm="1">
        <f t="array" ref="L236">_xll.BDP($B236&amp;" Equity","ask")</f>
        <v>26.2</v>
      </c>
      <c r="M236" s="40">
        <f t="shared" ref="M236" si="12">(L236/K236-1)</f>
        <v>7.692307692307665E-3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183400</v>
      </c>
      <c r="Q236" s="58">
        <f>P236/'Master P&amp;L'!$AD$5*10000</f>
        <v>0.81655002903988494</v>
      </c>
      <c r="R236" s="37" cm="1">
        <f t="array" ref="R236">_xll.BDP($C236&amp;" Equity","EST_PE_NXT_YR")*(T236/S236)</f>
        <v>29.723932396313668</v>
      </c>
      <c r="S236" s="36" cm="1">
        <f t="array" ref="S236">_xll.BDP(C236&amp;" Equity","LAST_PRICE")</f>
        <v>331.18</v>
      </c>
      <c r="T236" s="53" cm="1">
        <f t="array" ref="T236">_xll.BDP(B236&amp;" Equity","OPT_STRIKE_PX")</f>
        <v>350</v>
      </c>
      <c r="U236" s="40">
        <f t="shared" ref="U236" si="14">T236/S236-1</f>
        <v>5.6827103085935082E-2</v>
      </c>
      <c r="V236" s="37" cm="1">
        <f t="array" ref="V236">_xll.BDP(B236&amp;" Equity","ivol_mid")</f>
        <v>34.619</v>
      </c>
      <c r="W236" s="38" cm="1">
        <f t="array" ref="W236">_xll.BDP(B236&amp;" Equity","DELTA_MID_RT")</f>
        <v>0.48375606536865234</v>
      </c>
      <c r="X236" s="48">
        <f>Y236/'Master P&amp;L'!$AE$5</f>
        <v>4.9931203304860066E-4</v>
      </c>
      <c r="Y236" s="15">
        <f t="shared" ref="Y236" si="15">IF(G236="Sell", S236*W236*-H236*O236/N236, S236*W236*H236*O236/N236)</f>
        <v>1121472.336101532</v>
      </c>
      <c r="Z236" s="15" cm="1">
        <f t="array" ref="Z236">_xll.BDP($B236&amp;" Equity","opt_theta")*H236*O236/N236</f>
        <v>-618.70899999999995</v>
      </c>
      <c r="AA236" s="19" cm="1">
        <f t="array" ref="AA236">_xll.BDP($B236&amp;" Equity","opt_theta")/I236</f>
        <v>-3.3735496183206104E-3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2318260</v>
      </c>
      <c r="AD236" s="19">
        <f>AC236/'Master P&amp;L'!$AE$5</f>
        <v>1.0321566359443859E-3</v>
      </c>
      <c r="AE236" s="558" t="str">
        <f t="shared" ref="AE236" si="17">B236  &amp; " -&gt; Sell to open " &amp;   H236 &amp;"x"</f>
        <v>GOOG US 07/17/26 C350 -&gt; Sell to open 70x</v>
      </c>
      <c r="AL236" s="1"/>
    </row>
    <row r="237" spans="1:38" s="558" customFormat="1">
      <c r="A237" s="458">
        <f t="shared" ref="A237" si="18">P237/Y237</f>
        <v>0.19668582209522933</v>
      </c>
      <c r="B237" s="59" t="s">
        <v>2360</v>
      </c>
      <c r="C237" s="558" t="str" cm="1">
        <f t="array" ref="C237">_xll.BDP(B237&amp;" Equity","OPT_UNDL_TICKER")</f>
        <v>NVDA US</v>
      </c>
      <c r="D237" s="43">
        <f t="shared" ref="D237" si="19">J237+U237</f>
        <v>0.17483386460640765</v>
      </c>
      <c r="E237" s="558" cm="1">
        <f t="array" ref="E237">_xll.BDP($B237&amp;" Index","opt_days_expire")</f>
        <v>176</v>
      </c>
      <c r="F237" s="558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17.45</v>
      </c>
      <c r="J237" s="19">
        <f t="shared" ref="J237" si="21">I237/S237</f>
        <v>9.4278459127991779E-2</v>
      </c>
      <c r="K237" s="36" cm="1">
        <f t="array" ref="K237">_xll.BDP($B237&amp;" Equity","bid")</f>
        <v>17.350000000000001</v>
      </c>
      <c r="L237" s="36" cm="1">
        <f t="array" ref="L237">_xll.BDP($B237&amp;" Equity","ask")</f>
        <v>17.45</v>
      </c>
      <c r="M237" s="40">
        <f t="shared" ref="M237" si="22">(L237/K237-1)</f>
        <v>5.7636887608067955E-3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235575</v>
      </c>
      <c r="Q237" s="58">
        <f>P237/'Master P&amp;L'!$AD$5*10000</f>
        <v>1.0488482720341925</v>
      </c>
      <c r="R237" s="37" cm="1">
        <f t="array" ref="R237">_xll.BDP($C237&amp;" Equity","EST_PE_NXT_YR")*(T237/S237)</f>
        <v>25.61254421157269</v>
      </c>
      <c r="S237" s="36" cm="1">
        <f t="array" ref="S237">_xll.BDP(C237&amp;" Equity","LAST_PRICE")</f>
        <v>185.09</v>
      </c>
      <c r="T237" s="53" cm="1">
        <f t="array" ref="T237">_xll.BDP(B237&amp;" Equity","OPT_STRIKE_PX")</f>
        <v>200</v>
      </c>
      <c r="U237" s="40">
        <f t="shared" ref="U237" si="24">T237/S237-1</f>
        <v>8.0555405478415887E-2</v>
      </c>
      <c r="V237" s="37" cm="1">
        <f t="array" ref="V237">_xll.BDP(B237&amp;" Equity","ivol_mid")</f>
        <v>43.071120000000001</v>
      </c>
      <c r="W237" s="38" cm="1">
        <f t="array" ref="W237">_xll.BDP(B237&amp;" Equity","DELTA_MID_RT")</f>
        <v>0.47933530807495117</v>
      </c>
      <c r="X237" s="48">
        <f>Y237/'Master P&amp;L'!$AE$5</f>
        <v>5.3326074084098028E-4</v>
      </c>
      <c r="Y237" s="15">
        <f t="shared" ref="Y237" si="25">IF(G237="Sell", S237*W237*-H237*O237/N237, S237*W237*H237*O237/N237)</f>
        <v>1197722.3243165016</v>
      </c>
      <c r="Z237" s="15" cm="1">
        <f t="array" ref="Z237">_xll.BDP($B237&amp;" Equity","opt_theta")*H237*O237/N237</f>
        <v>-825.21450000000004</v>
      </c>
      <c r="AA237" s="19" cm="1">
        <f t="array" ref="AA237">_xll.BDP($B237&amp;" Equity","opt_theta")/I237</f>
        <v>-3.5029799426934101E-3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2498715</v>
      </c>
      <c r="AD237" s="19">
        <f>AC237/'Master P&amp;L'!$AE$5</f>
        <v>1.1125004393742618E-3</v>
      </c>
      <c r="AE237" s="558" t="str">
        <f t="shared" ref="AE237" si="27">B237  &amp; " -&gt; Sell to open " &amp;   H237 &amp;"x"</f>
        <v>NVDA US 07/17/26 C200 -&gt; Sell to open 135x</v>
      </c>
      <c r="AL237" s="1"/>
    </row>
    <row r="239" spans="1:38">
      <c r="A239" s="237"/>
      <c r="B239" s="73"/>
      <c r="D239" s="64"/>
      <c r="G239" s="105"/>
      <c r="H239" s="131"/>
      <c r="I239" s="97">
        <f>I234-I233</f>
        <v>-34.699999999999996</v>
      </c>
      <c r="J239" s="19"/>
      <c r="K239" s="109">
        <f>AVERAGE(K233:L233)-AVERAGE(K234:L234)</f>
        <v>34.525000000000006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8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5" sqref="E25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IF(B5="","",IF(LEN(B5)&gt;9,SUMIFS(Options!$H$3:$H$27,Options!$B$3:$B$27,Check!B5),SUMIFS('Master P&amp;L'!$H$11:$H$80,'Master P&amp;L'!$B$11:$B$80,Check!B5)))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2314</v>
      </c>
      <c r="P5" s="217">
        <f>IF(O5="","",IF(OR(LEFT(O5,4)="Cash",LEFT(O5,4)="Prov"),0,SUMIFS(Input_APM!N:N,Input_APM!L:L,Check!O5)))</f>
        <v>8</v>
      </c>
      <c r="Q5" s="22">
        <f>IF(O5="","",IF(LEN(O5)&gt;9,SUMIFS(Options!$H$3:$H$27,Options!$B$3:$B$27,Check!O5),SUMIFS('Master P&amp;L'!$H$11:$H$80,'Master P&amp;L'!$B$11:$B$80,Check!O5)))</f>
        <v>0</v>
      </c>
      <c r="R5" s="217">
        <f>IF(O5="","",P5-Q5)</f>
        <v>8</v>
      </c>
      <c r="S5" s="361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IF(B6="","",IF(LEN(B6)&gt;9,SUMIFS(Options!$H$3:$H$27,Options!$B$3:$B$27,Check!B6),SUMIFS('Master P&amp;L'!$H$11:$H$80,'Master P&amp;L'!$B$11:$B$80,Check!B6)))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2287</v>
      </c>
      <c r="P6" s="217">
        <f>IF(O6="","",IF(OR(LEFT(O6,4)="Cash",LEFT(O6,4)="Prov"),0,SUMIFS(Input_APM!N:N,Input_APM!L:L,Check!O6)))</f>
        <v>-23</v>
      </c>
      <c r="Q6" s="22">
        <f>IF(O6="","",IF(LEN(O6)&gt;9,SUMIFS(Options!$H$3:$H$27,Options!$B$3:$B$27,Check!O6),SUMIFS('Master P&amp;L'!$H$11:$H$80,'Master P&amp;L'!$B$11:$B$80,Check!O6)))</f>
        <v>-25</v>
      </c>
      <c r="R6" s="217">
        <f t="shared" ref="R6:R69" si="1">IF(O6="","",P6-Q6)</f>
        <v>2</v>
      </c>
      <c r="S6" s="361">
        <f t="shared" ref="S6:S69" si="2">IF(O6="","",IF((P6+Q6)=0,"Ok",IF(OR(P6=0,Q6=0),"Erro",P6/Q6)))</f>
        <v>0.92</v>
      </c>
      <c r="V6" s="13"/>
    </row>
    <row r="7" spans="2:22">
      <c r="B7" t="s">
        <v>2162</v>
      </c>
      <c r="C7" s="233">
        <f>IF(B7="","",IF(LEN(B7)&gt;9,SUMIFS(Options!$H$3:$H$27,Options!$B$3:$B$27,Check!B7),SUMIFS('Master P&amp;L'!$H$11:$H$80,'Master P&amp;L'!$B$11:$B$80,Check!B7)))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2288</v>
      </c>
      <c r="P7" s="217">
        <f>IF(O7="","",IF(OR(LEFT(O7,4)="Cash",LEFT(O7,4)="Prov"),0,SUMIFS(Input_APM!N:N,Input_APM!L:L,Check!O7)))</f>
        <v>117</v>
      </c>
      <c r="Q7" s="22">
        <f>IF(O7="","",IF(LEN(O7)&gt;9,SUMIFS(Options!$H$3:$H$27,Options!$B$3:$B$27,Check!O7),SUMIFS('Master P&amp;L'!$H$11:$H$80,'Master P&amp;L'!$B$11:$B$80,Check!O7)))</f>
        <v>125</v>
      </c>
      <c r="R7" s="217">
        <f t="shared" si="1"/>
        <v>-8</v>
      </c>
      <c r="S7" s="361">
        <f t="shared" si="2"/>
        <v>0.93600000000000005</v>
      </c>
      <c r="V7" s="13"/>
    </row>
    <row r="8" spans="2:22">
      <c r="B8" t="s">
        <v>38</v>
      </c>
      <c r="C8" s="233">
        <f>IF(B8="","",IF(LEN(B8)&gt;9,SUMIFS(Options!$H$3:$H$27,Options!$B$3:$B$27,Check!B8),SUMIFS('Master P&amp;L'!$H$11:$H$80,'Master P&amp;L'!$B$11:$B$80,Check!B8)))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399</v>
      </c>
      <c r="P8" s="217">
        <f>IF(O8="","",IF(OR(LEFT(O8,4)="Cash",LEFT(O8,4)="Prov"),0,SUMIFS(Input_APM!N:N,Input_APM!L:L,Check!O8)))</f>
        <v>10709</v>
      </c>
      <c r="Q8" s="22">
        <f>IF(O8="","",IF(LEN(O8)&gt;9,SUMIFS(Options!$H$3:$H$27,Options!$B$3:$B$27,Check!O8),SUMIFS('Master P&amp;L'!$H$11:$H$80,'Master P&amp;L'!$B$11:$B$80,Check!O8)))</f>
        <v>12435</v>
      </c>
      <c r="R8" s="217">
        <f t="shared" si="1"/>
        <v>-1726</v>
      </c>
      <c r="S8" s="361">
        <f t="shared" si="2"/>
        <v>0.86119823080016089</v>
      </c>
      <c r="V8" s="13"/>
    </row>
    <row r="9" spans="2:22">
      <c r="B9" t="s">
        <v>2315</v>
      </c>
      <c r="C9" s="233">
        <f>IF(B9="","",IF(LEN(B9)&gt;9,SUMIFS(Options!$H$3:$H$27,Options!$B$3:$B$27,Check!B9),SUMIFS('Master P&amp;L'!$H$11:$H$80,'Master P&amp;L'!$B$11:$B$80,Check!B9)))</f>
        <v>0</v>
      </c>
      <c r="D9" s="233">
        <f>IF(B9="","",SUMIFS(Input_APM!N:N,Input_APM!L:L,Check!B9,Input_APM!M:M,Check!$F$1))</f>
        <v>0</v>
      </c>
      <c r="E9" s="219">
        <f>IF(B9="","",C9-M9)</f>
        <v>0</v>
      </c>
      <c r="F9" s="233">
        <f>IF(B9="","",SUMIFS(Input_APM!N:N,Input_APM!M:M,Check!$F$1,Input_APM!L:L,Check!B9))</f>
        <v>0</v>
      </c>
      <c r="G9" s="233">
        <f>IF(B9="","",SUMIFS(Input_APM!N:N,Input_APM!M:M,Check!$G$1,Input_APM!L:L,Check!B9))</f>
        <v>0</v>
      </c>
      <c r="H9" s="217">
        <f t="shared" si="0"/>
        <v>0</v>
      </c>
      <c r="I9" s="217">
        <f>SUMIFS(Input_APM!N:N,Input_APM!L:L,Check!B9)</f>
        <v>0</v>
      </c>
      <c r="J9" s="219">
        <f t="shared" si="3"/>
        <v>0</v>
      </c>
      <c r="K9" s="22">
        <f>IF(B9="","",SUMIFS('Input_APM (Zenith)'!N:N,'Input_APM (Zenith)'!L:L,Check!B9,'Input_APM (Zenith)'!M:M,Check!$F$1))</f>
        <v>0</v>
      </c>
      <c r="L9" s="22">
        <f>IF(B9="","",SUMIFS('Input_APM (Zenith)'!N:N,'Input_APM (Zenith)'!L:L,Check!B9,'Input_APM (Zenith)'!M:M,Check!$G$1))</f>
        <v>0</v>
      </c>
      <c r="M9" s="240">
        <f t="shared" si="4"/>
        <v>0</v>
      </c>
      <c r="O9" t="s">
        <v>2260</v>
      </c>
      <c r="P9" s="217">
        <f>IF(O9="","",IF(OR(LEFT(O9,4)="Cash",LEFT(O9,4)="Prov"),0,SUMIFS(Input_APM!N:N,Input_APM!L:L,Check!O9)))</f>
        <v>1874</v>
      </c>
      <c r="Q9" s="22">
        <f>IF(O9="","",IF(LEN(O9)&gt;9,SUMIFS(Options!$H$3:$H$27,Options!$B$3:$B$27,Check!O9),SUMIFS('Master P&amp;L'!$H$11:$H$80,'Master P&amp;L'!$B$11:$B$80,Check!O9)))</f>
        <v>2000</v>
      </c>
      <c r="R9" s="217">
        <f t="shared" si="1"/>
        <v>-126</v>
      </c>
      <c r="S9" s="361">
        <f t="shared" si="2"/>
        <v>0.93700000000000006</v>
      </c>
      <c r="V9" s="13"/>
    </row>
    <row r="10" spans="2:22">
      <c r="B10" t="s">
        <v>131</v>
      </c>
      <c r="C10" s="233">
        <f>IF(B10="","",IF(LEN(B10)&gt;9,SUMIFS(Options!$H$3:$H$27,Options!$B$3:$B$27,Check!B10),SUMIFS('Master P&amp;L'!$H$11:$H$80,'Master P&amp;L'!$B$11:$B$80,Check!B10)))</f>
        <v>14800</v>
      </c>
      <c r="D10" s="233">
        <f>IF(B10="","",SUMIFS(Input_APM!N:N,Input_APM!L:L,Check!B10,Input_APM!M:M,Check!$F$1))</f>
        <v>0</v>
      </c>
      <c r="E10" s="217">
        <f t="shared" ref="E10:E65" si="5">IF(B10="","",C10-M10)</f>
        <v>14800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137</v>
      </c>
      <c r="P10" s="217">
        <f>IF(O10="","",IF(OR(LEFT(O10,4)="Cash",LEFT(O10,4)="Prov"),0,SUMIFS(Input_APM!N:N,Input_APM!L:L,Check!O10)))</f>
        <v>6718</v>
      </c>
      <c r="Q10" s="22">
        <f>IF(O10="","",IF(LEN(O10)&gt;9,SUMIFS(Options!$H$3:$H$27,Options!$B$3:$B$27,Check!O10),SUMIFS('Master P&amp;L'!$H$11:$H$80,'Master P&amp;L'!$B$11:$B$80,Check!O10)))</f>
        <v>7000</v>
      </c>
      <c r="R10" s="217">
        <f t="shared" si="1"/>
        <v>-282</v>
      </c>
      <c r="S10" s="361">
        <f t="shared" si="2"/>
        <v>0.95971428571428574</v>
      </c>
      <c r="V10" s="13"/>
    </row>
    <row r="11" spans="2:22">
      <c r="B11" t="s">
        <v>484</v>
      </c>
      <c r="C11" s="233">
        <f>IF(B11="","",IF(LEN(B11)&gt;9,SUMIFS(Options!$H$3:$H$27,Options!$B$3:$B$27,Check!B11),SUMIFS('Master P&amp;L'!$H$11:$H$80,'Master P&amp;L'!$B$11:$B$80,Check!B11)))</f>
        <v>6000</v>
      </c>
      <c r="D11" s="233">
        <f>IF(B11="","",SUMIFS(Input_APM!N:N,Input_APM!L:L,Check!B11,Input_APM!M:M,Check!$F$1))</f>
        <v>5623</v>
      </c>
      <c r="E11" s="217">
        <f t="shared" si="5"/>
        <v>0</v>
      </c>
      <c r="F11" s="233">
        <f>IF(B11="","",SUMIFS(Input_APM!N:N,Input_APM!M:M,Check!$F$1,Input_APM!L:L,Check!B11))</f>
        <v>5623</v>
      </c>
      <c r="G11" s="233">
        <f>IF(B11="","",SUMIFS(Input_APM!N:N,Input_APM!M:M,Check!$G$1,Input_APM!L:L,Check!B11))</f>
        <v>0</v>
      </c>
      <c r="H11" s="217">
        <f t="shared" si="0"/>
        <v>5623</v>
      </c>
      <c r="I11" s="217">
        <f>SUMIFS(Input_APM!N:N,Input_APM!L:L,Check!B11)</f>
        <v>5623</v>
      </c>
      <c r="J11" s="219">
        <f t="shared" si="3"/>
        <v>0</v>
      </c>
      <c r="K11" s="22">
        <f>IF(B11="","",SUMIFS('Input_APM (Zenith)'!N:N,'Input_APM (Zenith)'!L:L,Check!B11,'Input_APM (Zenith)'!M:M,Check!$F$1))</f>
        <v>377</v>
      </c>
      <c r="L11" s="22">
        <f>IF(B11="","",SUMIFS('Input_APM (Zenith)'!N:N,'Input_APM (Zenith)'!L:L,Check!B11,'Input_APM (Zenith)'!M:M,Check!$G$1))</f>
        <v>0</v>
      </c>
      <c r="M11" s="240">
        <f t="shared" si="4"/>
        <v>6000</v>
      </c>
      <c r="O11" t="s">
        <v>2116</v>
      </c>
      <c r="P11" s="217">
        <f>IF(O11="","",IF(OR(LEFT(O11,4)="Cash",LEFT(O11,4)="Prov"),0,SUMIFS(Input_APM!N:N,Input_APM!L:L,Check!O11)))</f>
        <v>48</v>
      </c>
      <c r="Q11" s="22">
        <f>IF(O11="","",IF(LEN(O11)&gt;9,SUMIFS(Options!$H$3:$H$27,Options!$B$3:$B$27,Check!O11),SUMIFS('Master P&amp;L'!$H$11:$H$80,'Master P&amp;L'!$B$11:$B$80,Check!O11)))</f>
        <v>50</v>
      </c>
      <c r="R11" s="217">
        <f t="shared" si="1"/>
        <v>-2</v>
      </c>
      <c r="S11" s="361">
        <f t="shared" si="2"/>
        <v>0.96</v>
      </c>
      <c r="V11" s="13"/>
    </row>
    <row r="12" spans="2:22">
      <c r="B12" t="s">
        <v>2170</v>
      </c>
      <c r="C12" s="233">
        <f>IF(B12="","",IF(LEN(B12)&gt;9,SUMIFS(Options!$H$3:$H$27,Options!$B$3:$B$27,Check!B12),SUMIFS('Master P&amp;L'!$H$11:$H$80,'Master P&amp;L'!$B$11:$B$80,Check!B12)))</f>
        <v>14800</v>
      </c>
      <c r="D12" s="233">
        <f>IF(B12="","",SUMIFS(Input_APM!N:N,Input_APM!L:L,Check!B12,Input_APM!M:M,Check!$F$1))</f>
        <v>13873</v>
      </c>
      <c r="E12" s="217">
        <f t="shared" si="5"/>
        <v>0</v>
      </c>
      <c r="F12" s="233">
        <f>IF(B12="","",SUMIFS(Input_APM!N:N,Input_APM!M:M,Check!$F$1,Input_APM!L:L,Check!B12))</f>
        <v>13873</v>
      </c>
      <c r="G12" s="233">
        <f>IF(B12="","",SUMIFS(Input_APM!N:N,Input_APM!M:M,Check!$G$1,Input_APM!L:L,Check!B12))</f>
        <v>0</v>
      </c>
      <c r="H12" s="217">
        <f t="shared" si="0"/>
        <v>13873</v>
      </c>
      <c r="I12" s="217">
        <f>SUMIFS(Input_APM!N:N,Input_APM!L:L,Check!B12)</f>
        <v>13873</v>
      </c>
      <c r="J12" s="219">
        <f t="shared" si="3"/>
        <v>0</v>
      </c>
      <c r="K12" s="22">
        <f>IF(B12="","",SUMIFS('Input_APM (Zenith)'!N:N,'Input_APM (Zenith)'!L:L,Check!B12,'Input_APM (Zenith)'!M:M,Check!$F$1))</f>
        <v>927</v>
      </c>
      <c r="L12" s="22">
        <f>IF(B12="","",SUMIFS('Input_APM (Zenith)'!N:N,'Input_APM (Zenith)'!L:L,Check!B12,'Input_APM (Zenith)'!M:M,Check!$G$1))</f>
        <v>0</v>
      </c>
      <c r="M12" s="240">
        <f t="shared" si="4"/>
        <v>14800</v>
      </c>
      <c r="O12" t="s">
        <v>2118</v>
      </c>
      <c r="P12" s="217">
        <f>IF(O12="","",IF(OR(LEFT(O12,4)="Cash",LEFT(O12,4)="Prov"),0,SUMIFS(Input_APM!N:N,Input_APM!L:L,Check!O12)))</f>
        <v>-25</v>
      </c>
      <c r="Q12" s="22">
        <f>IF(O12="","",IF(LEN(O12)&gt;9,SUMIFS(Options!$H$3:$H$27,Options!$B$3:$B$27,Check!O12),SUMIFS('Master P&amp;L'!$H$11:$H$80,'Master P&amp;L'!$B$11:$B$80,Check!O12)))</f>
        <v>-25</v>
      </c>
      <c r="R12" s="217">
        <f t="shared" si="1"/>
        <v>0</v>
      </c>
      <c r="S12" s="361">
        <f t="shared" si="2"/>
        <v>1</v>
      </c>
      <c r="V12" s="13"/>
    </row>
    <row r="13" spans="2:22">
      <c r="B13" t="s">
        <v>399</v>
      </c>
      <c r="C13" s="233">
        <f>IF(B13="","",IF(LEN(B13)&gt;9,SUMIFS(Options!$H$3:$H$27,Options!$B$3:$B$27,Check!B13),SUMIFS('Master P&amp;L'!$H$11:$H$80,'Master P&amp;L'!$B$11:$B$80,Check!B13)))</f>
        <v>12435</v>
      </c>
      <c r="D13" s="233">
        <f>IF(B13="","",SUMIFS(Input_APM!N:N,Input_APM!L:L,Check!B13,Input_APM!M:M,Check!$F$1))</f>
        <v>10709</v>
      </c>
      <c r="E13" s="219">
        <f t="shared" si="5"/>
        <v>1000</v>
      </c>
      <c r="F13" s="233">
        <f>IF(B13="","",SUMIFS(Input_APM!N:N,Input_APM!M:M,Check!$F$1,Input_APM!L:L,Check!B13))</f>
        <v>10709</v>
      </c>
      <c r="G13" s="233">
        <f>IF(B13="","",SUMIFS(Input_APM!N:N,Input_APM!M:M,Check!$G$1,Input_APM!L:L,Check!B13))</f>
        <v>0</v>
      </c>
      <c r="H13" s="217">
        <f t="shared" si="0"/>
        <v>10709</v>
      </c>
      <c r="I13" s="217">
        <f>SUMIFS(Input_APM!N:N,Input_APM!L:L,Check!B13)</f>
        <v>10709</v>
      </c>
      <c r="J13" s="219">
        <f t="shared" si="3"/>
        <v>0</v>
      </c>
      <c r="K13" s="22">
        <f>IF(B13="","",SUMIFS('Input_APM (Zenith)'!N:N,'Input_APM (Zenith)'!L:L,Check!B13,'Input_APM (Zenith)'!M:M,Check!$F$1))</f>
        <v>726</v>
      </c>
      <c r="L13" s="22">
        <f>IF(B13="","",SUMIFS('Input_APM (Zenith)'!N:N,'Input_APM (Zenith)'!L:L,Check!B13,'Input_APM (Zenith)'!M:M,Check!$G$1))</f>
        <v>0</v>
      </c>
      <c r="M13" s="240">
        <f t="shared" si="4"/>
        <v>11435</v>
      </c>
      <c r="O13" t="s">
        <v>461</v>
      </c>
      <c r="P13" s="217">
        <f>IF(O13="","",IF(OR(LEFT(O13,4)="Cash",LEFT(O13,4)="Prov"),0,SUMIFS(Input_APM!N:N,Input_APM!L:L,Check!O13)))</f>
        <v>3163</v>
      </c>
      <c r="Q13" s="22">
        <f>IF(O13="","",IF(LEN(O13)&gt;9,SUMIFS(Options!$H$3:$H$27,Options!$B$3:$B$27,Check!O13),SUMIFS('Master P&amp;L'!$H$11:$H$80,'Master P&amp;L'!$B$11:$B$80,Check!O13)))</f>
        <v>3378</v>
      </c>
      <c r="R13" s="217">
        <f t="shared" si="1"/>
        <v>-215</v>
      </c>
      <c r="S13" s="361">
        <f t="shared" si="2"/>
        <v>0.9363528715216104</v>
      </c>
      <c r="V13" s="13"/>
    </row>
    <row r="14" spans="2:22">
      <c r="B14" t="s">
        <v>81</v>
      </c>
      <c r="C14" s="233">
        <f>IF(B14="","",IF(LEN(B14)&gt;9,SUMIFS(Options!$H$3:$H$27,Options!$B$3:$B$27,Check!B14),SUMIFS('Master P&amp;L'!$H$11:$H$80,'Master P&amp;L'!$B$11:$B$80,Check!B14)))</f>
        <v>4120</v>
      </c>
      <c r="D14" s="233">
        <f>IF(B14="","",SUMIFS(Input_APM!N:N,Input_APM!L:L,Check!B14,Input_APM!M:M,Check!$F$1))</f>
        <v>5618</v>
      </c>
      <c r="E14" s="217">
        <f t="shared" si="5"/>
        <v>-1880</v>
      </c>
      <c r="F14" s="233">
        <f>IF(B14="","",SUMIFS(Input_APM!N:N,Input_APM!M:M,Check!$F$1,Input_APM!L:L,Check!B14))</f>
        <v>5618</v>
      </c>
      <c r="G14" s="233">
        <f>IF(B14="","",SUMIFS(Input_APM!N:N,Input_APM!M:M,Check!$G$1,Input_APM!L:L,Check!B14))</f>
        <v>0</v>
      </c>
      <c r="H14" s="217">
        <f t="shared" si="0"/>
        <v>5618</v>
      </c>
      <c r="I14" s="217">
        <f>SUMIFS(Input_APM!N:N,Input_APM!L:L,Check!B14)</f>
        <v>5618</v>
      </c>
      <c r="J14" s="219">
        <f t="shared" si="3"/>
        <v>0</v>
      </c>
      <c r="K14" s="22">
        <f>IF(B14="","",SUMIFS('Input_APM (Zenith)'!N:N,'Input_APM (Zenith)'!L:L,Check!B14,'Input_APM (Zenith)'!M:M,Check!$F$1))</f>
        <v>382</v>
      </c>
      <c r="L14" s="22">
        <f>IF(B14="","",SUMIFS('Input_APM (Zenith)'!N:N,'Input_APM (Zenith)'!L:L,Check!B14,'Input_APM (Zenith)'!M:M,Check!$G$1))</f>
        <v>0</v>
      </c>
      <c r="M14" s="240">
        <f t="shared" si="4"/>
        <v>6000</v>
      </c>
      <c r="O14" t="s">
        <v>2162</v>
      </c>
      <c r="P14" s="217">
        <f>IF(O14="","",IF(OR(LEFT(O14,4)="Cash",LEFT(O14,4)="Prov"),0,SUMIFS(Input_APM!N:N,Input_APM!L:L,Check!O14)))</f>
        <v>3285</v>
      </c>
      <c r="Q14" s="22">
        <f>IF(O14="","",IF(LEN(O14)&gt;9,SUMIFS(Options!$H$3:$H$27,Options!$B$3:$B$27,Check!O14),SUMIFS('Master P&amp;L'!$H$11:$H$80,'Master P&amp;L'!$B$11:$B$80,Check!O14)))</f>
        <v>3510</v>
      </c>
      <c r="R14" s="217">
        <f t="shared" si="1"/>
        <v>-225</v>
      </c>
      <c r="S14" s="361">
        <f t="shared" si="2"/>
        <v>0.9358974358974359</v>
      </c>
      <c r="V14" s="13"/>
    </row>
    <row r="15" spans="2:22">
      <c r="B15" t="s">
        <v>90</v>
      </c>
      <c r="C15" s="233">
        <f>IF(B15="","",IF(LEN(B15)&gt;9,SUMIFS(Options!$H$3:$H$27,Options!$B$3:$B$27,Check!B15),SUMIFS('Master P&amp;L'!$H$11:$H$80,'Master P&amp;L'!$B$11:$B$80,Check!B15)))</f>
        <v>3500</v>
      </c>
      <c r="D15" s="233">
        <f>IF(B15="","",SUMIFS(Input_APM!N:N,Input_APM!L:L,Check!B15,Input_APM!M:M,Check!$F$1))</f>
        <v>3270</v>
      </c>
      <c r="E15" s="219">
        <f t="shared" si="5"/>
        <v>0</v>
      </c>
      <c r="F15" s="233">
        <f>IF(B15="","",SUMIFS(Input_APM!N:N,Input_APM!M:M,Check!$F$1,Input_APM!L:L,Check!B15))</f>
        <v>3270</v>
      </c>
      <c r="G15" s="233">
        <f>IF(B15="","",SUMIFS(Input_APM!N:N,Input_APM!M:M,Check!$G$1,Input_APM!L:L,Check!B15))</f>
        <v>0</v>
      </c>
      <c r="H15" s="217">
        <f t="shared" si="0"/>
        <v>3270</v>
      </c>
      <c r="I15" s="217">
        <f>SUMIFS(Input_APM!N:N,Input_APM!L:L,Check!B15)</f>
        <v>3270</v>
      </c>
      <c r="J15" s="219">
        <f t="shared" si="3"/>
        <v>0</v>
      </c>
      <c r="K15" s="22">
        <f>IF(B15="","",SUMIFS('Input_APM (Zenith)'!N:N,'Input_APM (Zenith)'!L:L,Check!B15,'Input_APM (Zenith)'!M:M,Check!$F$1))</f>
        <v>230</v>
      </c>
      <c r="L15" s="22">
        <f>IF(B15="","",SUMIFS('Input_APM (Zenith)'!N:N,'Input_APM (Zenith)'!L:L,Check!B15,'Input_APM (Zenith)'!M:M,Check!$G$1))</f>
        <v>0</v>
      </c>
      <c r="M15" s="240">
        <f t="shared" si="4"/>
        <v>3500</v>
      </c>
      <c r="O15" t="s">
        <v>295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IF(O15="","",IF(LEN(O15)&gt;9,SUMIFS(Options!$H$3:$H$27,Options!$B$3:$B$27,Check!O15),SUMIFS('Master P&amp;L'!$H$11:$H$80,'Master P&amp;L'!$B$11:$B$80,Check!O15)))</f>
        <v>0</v>
      </c>
      <c r="R15" s="217">
        <f t="shared" si="1"/>
        <v>0</v>
      </c>
      <c r="S15" s="361" t="str">
        <f t="shared" si="2"/>
        <v>Ok</v>
      </c>
      <c r="V15" s="13"/>
    </row>
    <row r="16" spans="2:22">
      <c r="B16" t="s">
        <v>2332</v>
      </c>
      <c r="C16" s="233">
        <f>IF(B16="","",IF(LEN(B16)&gt;9,SUMIFS(Options!$H$3:$H$27,Options!$B$3:$B$27,Check!B16),SUMIFS('Master P&amp;L'!$H$11:$H$80,'Master P&amp;L'!$B$11:$B$80,Check!B16)))</f>
        <v>2400</v>
      </c>
      <c r="D16" s="233">
        <f>IF(B16="","",SUMIFS(Input_APM!N:N,Input_APM!L:L,Check!B16,Input_APM!M:M,Check!$F$1))</f>
        <v>0</v>
      </c>
      <c r="E16" s="217">
        <f t="shared" si="5"/>
        <v>2400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296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IF(O16="","",IF(LEN(O16)&gt;9,SUMIFS(Options!$H$3:$H$27,Options!$B$3:$B$27,Check!O16),SUMIFS('Master P&amp;L'!$H$11:$H$80,'Master P&amp;L'!$B$11:$B$80,Check!O16)))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2337</v>
      </c>
      <c r="C17" s="233">
        <f>IF(B17="","",IF(LEN(B17)&gt;9,SUMIFS(Options!$H$3:$H$27,Options!$B$3:$B$27,Check!B17),SUMIFS('Master P&amp;L'!$H$11:$H$80,'Master P&amp;L'!$B$11:$B$80,Check!B17)))</f>
        <v>0</v>
      </c>
      <c r="D17" s="233">
        <f>IF(B17="","",SUMIFS(Input_APM!N:N,Input_APM!L:L,Check!B17,Input_APM!M:M,Check!$F$1))</f>
        <v>0</v>
      </c>
      <c r="E17" s="219">
        <f t="shared" si="5"/>
        <v>0</v>
      </c>
      <c r="F17" s="233">
        <f>IF(B17="","",SUMIFS(Input_APM!N:N,Input_APM!M:M,Check!$F$1,Input_APM!L:L,Check!B17))</f>
        <v>0</v>
      </c>
      <c r="G17" s="233">
        <f>IF(B17="","",SUMIFS(Input_APM!N:N,Input_APM!M:M,Check!$G$1,Input_APM!L:L,Check!B17))</f>
        <v>0</v>
      </c>
      <c r="H17" s="217">
        <f t="shared" si="0"/>
        <v>0</v>
      </c>
      <c r="I17" s="217">
        <f>SUMIFS(Input_APM!N:N,Input_APM!L:L,Check!B17)</f>
        <v>0</v>
      </c>
      <c r="J17" s="219">
        <f t="shared" si="3"/>
        <v>0</v>
      </c>
      <c r="K17" s="22">
        <f>IF(B17="","",SUMIFS('Input_APM (Zenith)'!N:N,'Input_APM (Zenith)'!L:L,Check!B17,'Input_APM (Zenith)'!M:M,Check!$F$1))</f>
        <v>0</v>
      </c>
      <c r="L17" s="22">
        <f>IF(B17="","",SUMIFS('Input_APM (Zenith)'!N:N,'Input_APM (Zenith)'!L:L,Check!B17,'Input_APM (Zenith)'!M:M,Check!$G$1))</f>
        <v>0</v>
      </c>
      <c r="M17" s="240">
        <f t="shared" si="4"/>
        <v>0</v>
      </c>
      <c r="O17" t="s">
        <v>297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IF(O17="","",IF(LEN(O17)&gt;9,SUMIFS(Options!$H$3:$H$27,Options!$B$3:$B$27,Check!O17),SUMIFS('Master P&amp;L'!$H$11:$H$80,'Master P&amp;L'!$B$11:$B$80,Check!O17)))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IF(B18="","",IF(LEN(B18)&gt;9,SUMIFS(Options!$H$3:$H$27,Options!$B$3:$B$27,Check!B18),SUMIFS('Master P&amp;L'!$H$11:$H$80,'Master P&amp;L'!$B$11:$B$80,Check!B18)))</f>
        <v>42000</v>
      </c>
      <c r="D18" s="233">
        <f>IF(B18="","",SUMIFS(Input_APM!N:N,Input_APM!L:L,Check!B18,Input_APM!M:M,Check!$F$1))</f>
        <v>39308</v>
      </c>
      <c r="E18" s="219">
        <f t="shared" si="5"/>
        <v>0</v>
      </c>
      <c r="F18" s="233">
        <f>IF(B18="","",SUMIFS(Input_APM!N:N,Input_APM!M:M,Check!$F$1,Input_APM!L:L,Check!B18))</f>
        <v>39308</v>
      </c>
      <c r="G18" s="233">
        <f>IF(B18="","",SUMIFS(Input_APM!N:N,Input_APM!M:M,Check!$G$1,Input_APM!L:L,Check!B18))</f>
        <v>0</v>
      </c>
      <c r="H18" s="217">
        <f t="shared" si="0"/>
        <v>39308</v>
      </c>
      <c r="I18" s="217">
        <f>SUMIFS(Input_APM!N:N,Input_APM!L:L,Check!B18)</f>
        <v>39308</v>
      </c>
      <c r="J18" s="219">
        <f t="shared" si="3"/>
        <v>0</v>
      </c>
      <c r="K18" s="22">
        <f>IF(B18="","",SUMIFS('Input_APM (Zenith)'!N:N,'Input_APM (Zenith)'!L:L,Check!B18,'Input_APM (Zenith)'!M:M,Check!$F$1))</f>
        <v>2692</v>
      </c>
      <c r="L18" s="22">
        <f>IF(B18="","",SUMIFS('Input_APM (Zenith)'!N:N,'Input_APM (Zenith)'!L:L,Check!B18,'Input_APM (Zenith)'!M:M,Check!$G$1))</f>
        <v>0</v>
      </c>
      <c r="M18" s="240">
        <f t="shared" si="4"/>
        <v>42000</v>
      </c>
      <c r="O18" t="s">
        <v>2137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IF(O18="","",IF(LEN(O18)&gt;9,SUMIFS(Options!$H$3:$H$27,Options!$B$3:$B$27,Check!O18),SUMIFS('Master P&amp;L'!$H$11:$H$80,'Master P&amp;L'!$B$11:$B$80,Check!O18)))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2072</v>
      </c>
      <c r="C19" s="233">
        <f>IF(B19="","",IF(LEN(B19)&gt;9,SUMIFS(Options!$H$3:$H$27,Options!$B$3:$B$27,Check!B19),SUMIFS('Master P&amp;L'!$H$11:$H$80,'Master P&amp;L'!$B$11:$B$80,Check!B19)))</f>
        <v>1200</v>
      </c>
      <c r="D19" s="233">
        <f>IF(B19="","",SUMIFS(Input_APM!N:N,Input_APM!L:L,Check!B19,Input_APM!M:M,Check!$F$1))</f>
        <v>1123</v>
      </c>
      <c r="E19" s="219">
        <f t="shared" si="5"/>
        <v>0</v>
      </c>
      <c r="F19" s="233">
        <f>IF(B19="","",SUMIFS(Input_APM!N:N,Input_APM!M:M,Check!$F$1,Input_APM!L:L,Check!B19))</f>
        <v>1123</v>
      </c>
      <c r="G19" s="233">
        <f>IF(B19="","",SUMIFS(Input_APM!N:N,Input_APM!M:M,Check!$G$1,Input_APM!L:L,Check!B19))</f>
        <v>0</v>
      </c>
      <c r="H19" s="217">
        <f t="shared" si="0"/>
        <v>1123</v>
      </c>
      <c r="I19" s="217">
        <f>SUMIFS(Input_APM!N:N,Input_APM!L:L,Check!B19)</f>
        <v>1123</v>
      </c>
      <c r="J19" s="219">
        <f t="shared" si="3"/>
        <v>0</v>
      </c>
      <c r="K19" s="22">
        <f>IF(B19="","",SUMIFS('Input_APM (Zenith)'!N:N,'Input_APM (Zenith)'!L:L,Check!B19,'Input_APM (Zenith)'!M:M,Check!$F$1))</f>
        <v>77</v>
      </c>
      <c r="L19" s="22">
        <f>IF(B19="","",SUMIFS('Input_APM (Zenith)'!N:N,'Input_APM (Zenith)'!L:L,Check!B19,'Input_APM (Zenith)'!M:M,Check!$G$1))</f>
        <v>0</v>
      </c>
      <c r="M19" s="240">
        <f t="shared" si="4"/>
        <v>1200</v>
      </c>
      <c r="O19" t="s">
        <v>298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IF(O19="","",IF(LEN(O19)&gt;9,SUMIFS(Options!$H$3:$H$27,Options!$B$3:$B$27,Check!O19),SUMIFS('Master P&amp;L'!$H$11:$H$80,'Master P&amp;L'!$B$11:$B$80,Check!O19)))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137</v>
      </c>
      <c r="C20" s="233">
        <f>IF(B20="","",IF(LEN(B20)&gt;9,SUMIFS(Options!$H$3:$H$27,Options!$B$3:$B$27,Check!B20),SUMIFS('Master P&amp;L'!$H$11:$H$80,'Master P&amp;L'!$B$11:$B$80,Check!B20)))</f>
        <v>7000</v>
      </c>
      <c r="D20" s="233">
        <f>IF(B20="","",SUMIFS(Input_APM!N:N,Input_APM!L:L,Check!B20,Input_APM!M:M,Check!$F$1))</f>
        <v>6718</v>
      </c>
      <c r="E20" s="219">
        <f>IF(B20="","",C20-M20)</f>
        <v>0</v>
      </c>
      <c r="F20" s="233">
        <f>IF(B20="","",SUMIFS(Input_APM!N:N,Input_APM!M:M,Check!$F$1,Input_APM!L:L,Check!B20))</f>
        <v>6718</v>
      </c>
      <c r="G20" s="233">
        <f>IF(B20="","",SUMIFS(Input_APM!N:N,Input_APM!M:M,Check!$G$1,Input_APM!L:L,Check!B20))</f>
        <v>0</v>
      </c>
      <c r="H20" s="217">
        <f t="shared" si="0"/>
        <v>6718</v>
      </c>
      <c r="I20" s="217">
        <f>SUMIFS(Input_APM!N:N,Input_APM!L:L,Check!B20)</f>
        <v>6718</v>
      </c>
      <c r="J20" s="219">
        <f t="shared" si="3"/>
        <v>0</v>
      </c>
      <c r="K20" s="22">
        <f>IF(B20="","",SUMIFS('Input_APM (Zenith)'!N:N,'Input_APM (Zenith)'!L:L,Check!B20,'Input_APM (Zenith)'!M:M,Check!$F$1))</f>
        <v>282</v>
      </c>
      <c r="L20" s="22">
        <f>IF(B20="","",SUMIFS('Input_APM (Zenith)'!N:N,'Input_APM (Zenith)'!L:L,Check!B20,'Input_APM (Zenith)'!M:M,Check!$G$1))</f>
        <v>0</v>
      </c>
      <c r="M20" s="240">
        <f t="shared" si="4"/>
        <v>7000</v>
      </c>
      <c r="O20" t="s">
        <v>299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IF(O20="","",IF(LEN(O20)&gt;9,SUMIFS(Options!$H$3:$H$27,Options!$B$3:$B$27,Check!O20),SUMIFS('Master P&amp;L'!$H$11:$H$80,'Master P&amp;L'!$B$11:$B$80,Check!O20)))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96</v>
      </c>
      <c r="C21" s="233">
        <f>IF(B21="","",IF(LEN(B21)&gt;9,SUMIFS(Options!$H$3:$H$27,Options!$B$3:$B$27,Check!B21),SUMIFS('Master P&amp;L'!$H$11:$H$80,'Master P&amp;L'!$B$11:$B$80,Check!B21)))</f>
        <v>9500</v>
      </c>
      <c r="D21" s="233">
        <f>IF(B21="","",SUMIFS(Input_APM!N:N,Input_APM!L:L,Check!B21,Input_APM!M:M,Check!$F$1))</f>
        <v>8871</v>
      </c>
      <c r="E21" s="217">
        <f t="shared" si="5"/>
        <v>0</v>
      </c>
      <c r="F21" s="233">
        <f>IF(B21="","",SUMIFS(Input_APM!N:N,Input_APM!M:M,Check!$F$1,Input_APM!L:L,Check!B21))</f>
        <v>8871</v>
      </c>
      <c r="G21" s="233">
        <f>IF(B21="","",SUMIFS(Input_APM!N:N,Input_APM!M:M,Check!$G$1,Input_APM!L:L,Check!B21))</f>
        <v>0</v>
      </c>
      <c r="H21" s="217">
        <f t="shared" si="0"/>
        <v>8871</v>
      </c>
      <c r="I21" s="217">
        <f>SUMIFS(Input_APM!N:N,Input_APM!L:L,Check!B21)</f>
        <v>8871</v>
      </c>
      <c r="J21" s="219">
        <f t="shared" si="3"/>
        <v>0</v>
      </c>
      <c r="K21" s="22">
        <f>IF(B21="","",SUMIFS('Input_APM (Zenith)'!N:N,'Input_APM (Zenith)'!L:L,Check!B21,'Input_APM (Zenith)'!M:M,Check!$F$1))</f>
        <v>629</v>
      </c>
      <c r="L21" s="22">
        <f>IF(B21="","",SUMIFS('Input_APM (Zenith)'!N:N,'Input_APM (Zenith)'!L:L,Check!B21,'Input_APM (Zenith)'!M:M,Check!$G$1))</f>
        <v>0</v>
      </c>
      <c r="M21" s="240">
        <f t="shared" si="4"/>
        <v>9500</v>
      </c>
      <c r="O21" t="s">
        <v>300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IF(O21="","",IF(LEN(O21)&gt;9,SUMIFS(Options!$H$3:$H$27,Options!$B$3:$B$27,Check!O21),SUMIFS('Master P&amp;L'!$H$11:$H$80,'Master P&amp;L'!$B$11:$B$80,Check!O21)))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94</v>
      </c>
      <c r="C22" s="233">
        <f>IF(B22="","",IF(LEN(B22)&gt;9,SUMIFS(Options!$H$3:$H$27,Options!$B$3:$B$27,Check!B22),SUMIFS('Master P&amp;L'!$H$11:$H$80,'Master P&amp;L'!$B$11:$B$80,Check!B22)))</f>
        <v>24508</v>
      </c>
      <c r="D22" s="233">
        <f>IF(B22="","",SUMIFS(Input_APM!N:N,Input_APM!L:L,Check!B22,Input_APM!M:M,Check!$F$1))</f>
        <v>21522</v>
      </c>
      <c r="E22" s="217">
        <f t="shared" si="5"/>
        <v>1500</v>
      </c>
      <c r="F22" s="233">
        <f>IF(B22="","",SUMIFS(Input_APM!N:N,Input_APM!M:M,Check!$F$1,Input_APM!L:L,Check!B22))</f>
        <v>21522</v>
      </c>
      <c r="G22" s="233">
        <f>IF(B22="","",SUMIFS(Input_APM!N:N,Input_APM!M:M,Check!$G$1,Input_APM!L:L,Check!B22))</f>
        <v>0</v>
      </c>
      <c r="H22" s="217">
        <f t="shared" si="0"/>
        <v>21522</v>
      </c>
      <c r="I22" s="217">
        <f>SUMIFS(Input_APM!N:N,Input_APM!L:L,Check!B22)</f>
        <v>21522</v>
      </c>
      <c r="J22" s="219">
        <f t="shared" si="3"/>
        <v>0</v>
      </c>
      <c r="K22" s="22">
        <f>IF(B22="","",SUMIFS('Input_APM (Zenith)'!N:N,'Input_APM (Zenith)'!L:L,Check!B22,'Input_APM (Zenith)'!M:M,Check!$F$1))</f>
        <v>1486</v>
      </c>
      <c r="L22" s="22">
        <f>IF(B22="","",SUMIFS('Input_APM (Zenith)'!N:N,'Input_APM (Zenith)'!L:L,Check!B22,'Input_APM (Zenith)'!M:M,Check!$G$1))</f>
        <v>0</v>
      </c>
      <c r="M22" s="240">
        <f t="shared" si="4"/>
        <v>23008</v>
      </c>
      <c r="O22" t="s">
        <v>301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IF(O22="","",IF(LEN(O22)&gt;9,SUMIFS(Options!$H$3:$H$27,Options!$B$3:$B$27,Check!O22),SUMIFS('Master P&amp;L'!$H$11:$H$80,'Master P&amp;L'!$B$11:$B$80,Check!O22)))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138</v>
      </c>
      <c r="C23" s="233">
        <f>IF(B23="","",IF(LEN(B23)&gt;9,SUMIFS(Options!$H$3:$H$27,Options!$B$3:$B$27,Check!B23),SUMIFS('Master P&amp;L'!$H$11:$H$80,'Master P&amp;L'!$B$11:$B$80,Check!B23)))</f>
        <v>-49</v>
      </c>
      <c r="D23" s="233">
        <f>IF(B23="","",SUMIFS(Input_APM!N:N,Input_APM!L:L,Check!B23,Input_APM!M:M,Check!$F$1))</f>
        <v>-46</v>
      </c>
      <c r="E23" s="217">
        <f t="shared" si="5"/>
        <v>0</v>
      </c>
      <c r="F23" s="233">
        <f>IF(B23="","",SUMIFS(Input_APM!N:N,Input_APM!M:M,Check!$F$1,Input_APM!L:L,Check!B23))</f>
        <v>-46</v>
      </c>
      <c r="G23" s="233">
        <f>IF(B23="","",SUMIFS(Input_APM!N:N,Input_APM!M:M,Check!$G$1,Input_APM!L:L,Check!B23))</f>
        <v>0</v>
      </c>
      <c r="H23" s="217">
        <f t="shared" si="0"/>
        <v>-46</v>
      </c>
      <c r="I23" s="217">
        <f>SUMIFS(Input_APM!N:N,Input_APM!L:L,Check!B23)</f>
        <v>-46</v>
      </c>
      <c r="J23" s="219">
        <f t="shared" si="3"/>
        <v>0</v>
      </c>
      <c r="K23" s="22">
        <f>IF(B23="","",SUMIFS('Input_APM (Zenith)'!N:N,'Input_APM (Zenith)'!L:L,Check!B23,'Input_APM (Zenith)'!M:M,Check!$F$1))</f>
        <v>-3</v>
      </c>
      <c r="L23" s="22">
        <f>IF(B23="","",SUMIFS('Input_APM (Zenith)'!N:N,'Input_APM (Zenith)'!L:L,Check!B23,'Input_APM (Zenith)'!M:M,Check!$G$1))</f>
        <v>0</v>
      </c>
      <c r="M23" s="240">
        <f t="shared" si="4"/>
        <v>-49</v>
      </c>
      <c r="O23" t="s">
        <v>302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IF(O23="","",IF(LEN(O23)&gt;9,SUMIFS(Options!$H$3:$H$27,Options!$B$3:$B$27,Check!O23),SUMIFS('Master P&amp;L'!$H$11:$H$80,'Master P&amp;L'!$B$11:$B$80,Check!O23)))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2146</v>
      </c>
      <c r="C24" s="233">
        <f>IF(B24="","",IF(LEN(B24)&gt;9,SUMIFS(Options!$H$3:$H$27,Options!$B$3:$B$27,Check!B24),SUMIFS('Master P&amp;L'!$H$11:$H$80,'Master P&amp;L'!$B$11:$B$80,Check!B24)))</f>
        <v>24092</v>
      </c>
      <c r="D24" s="233">
        <f>IF(B24="","",SUMIFS(Input_APM!N:N,Input_APM!L:L,Check!B24,Input_APM!M:M,Check!$F$1))</f>
        <v>22528</v>
      </c>
      <c r="E24" s="217">
        <f t="shared" si="5"/>
        <v>0</v>
      </c>
      <c r="F24" s="233">
        <f>IF(B24="","",SUMIFS(Input_APM!N:N,Input_APM!M:M,Check!$F$1,Input_APM!L:L,Check!B24))</f>
        <v>22528</v>
      </c>
      <c r="G24" s="233">
        <f>IF(B24="","",SUMIFS(Input_APM!N:N,Input_APM!M:M,Check!$G$1,Input_APM!L:L,Check!B24))</f>
        <v>0</v>
      </c>
      <c r="H24" s="217">
        <f t="shared" si="0"/>
        <v>22528</v>
      </c>
      <c r="I24" s="217">
        <f>SUMIFS(Input_APM!N:N,Input_APM!L:L,Check!B24)</f>
        <v>22528</v>
      </c>
      <c r="J24" s="219">
        <f t="shared" si="3"/>
        <v>0</v>
      </c>
      <c r="K24" s="22">
        <f>IF(B24="","",SUMIFS('Input_APM (Zenith)'!N:N,'Input_APM (Zenith)'!L:L,Check!B24,'Input_APM (Zenith)'!M:M,Check!$F$1))</f>
        <v>1564</v>
      </c>
      <c r="L24" s="22">
        <f>IF(B24="","",SUMIFS('Input_APM (Zenith)'!N:N,'Input_APM (Zenith)'!L:L,Check!B24,'Input_APM (Zenith)'!M:M,Check!$G$1))</f>
        <v>0</v>
      </c>
      <c r="M24" s="240">
        <f t="shared" si="4"/>
        <v>24092</v>
      </c>
      <c r="O24" t="s">
        <v>1914</v>
      </c>
      <c r="P24" s="217">
        <f>IF(O24="","",IF(OR(LEFT(O24,4)="Cash",LEFT(O24,4)="Prov"),0,SUMIFS(Input_APM!N:N,Input_APM!L:L,Check!O24)))</f>
        <v>4625000</v>
      </c>
      <c r="Q24" s="22">
        <f>IF(O24="","",IF(LEN(O24)&gt;9,SUMIFS(Options!$H$3:$H$27,Options!$B$3:$B$27,Check!O24),SUMIFS('Master P&amp;L'!$H$11:$H$80,'Master P&amp;L'!$B$11:$B$80,Check!O24)))</f>
        <v>0</v>
      </c>
      <c r="R24" s="217">
        <f t="shared" si="1"/>
        <v>4625000</v>
      </c>
      <c r="S24" s="361" t="str">
        <f t="shared" si="2"/>
        <v>Erro</v>
      </c>
      <c r="V24" s="13"/>
    </row>
    <row r="25" spans="2:22">
      <c r="B25" t="s">
        <v>88</v>
      </c>
      <c r="C25" s="233">
        <f>IF(B25="","",IF(LEN(B25)&gt;9,SUMIFS(Options!$H$3:$H$27,Options!$B$3:$B$27,Check!B25),SUMIFS('Master P&amp;L'!$H$11:$H$80,'Master P&amp;L'!$B$11:$B$80,Check!B25)))</f>
        <v>45750</v>
      </c>
      <c r="D25" s="233">
        <f>IF(B25="","",SUMIFS(Input_APM!N:N,Input_APM!L:L,Check!B25,Input_APM!M:M,Check!$F$1))</f>
        <v>42865</v>
      </c>
      <c r="E25" s="217">
        <f t="shared" si="5"/>
        <v>0</v>
      </c>
      <c r="F25" s="233">
        <f>IF(B25="","",SUMIFS(Input_APM!N:N,Input_APM!M:M,Check!$F$1,Input_APM!L:L,Check!B25))</f>
        <v>42865</v>
      </c>
      <c r="G25" s="233">
        <f>IF(B25="","",SUMIFS(Input_APM!N:N,Input_APM!M:M,Check!$G$1,Input_APM!L:L,Check!B25))</f>
        <v>0</v>
      </c>
      <c r="H25" s="217">
        <f t="shared" si="0"/>
        <v>42865</v>
      </c>
      <c r="I25" s="217">
        <f>SUMIFS(Input_APM!N:N,Input_APM!L:L,Check!B25)</f>
        <v>42865</v>
      </c>
      <c r="J25" s="219">
        <f t="shared" si="3"/>
        <v>0</v>
      </c>
      <c r="K25" s="22">
        <f>IF(B25="","",SUMIFS('Input_APM (Zenith)'!N:N,'Input_APM (Zenith)'!L:L,Check!B25,'Input_APM (Zenith)'!M:M,Check!$F$1))</f>
        <v>2885</v>
      </c>
      <c r="L25" s="22">
        <f>IF(B25="","",SUMIFS('Input_APM (Zenith)'!N:N,'Input_APM (Zenith)'!L:L,Check!B25,'Input_APM (Zenith)'!M:M,Check!$G$1))</f>
        <v>0</v>
      </c>
      <c r="M25" s="240">
        <f t="shared" si="4"/>
        <v>45750</v>
      </c>
      <c r="O25" t="s">
        <v>484</v>
      </c>
      <c r="P25" s="217">
        <f>IF(O25="","",IF(OR(LEFT(O25,4)="Cash",LEFT(O25,4)="Prov"),0,SUMIFS(Input_APM!N:N,Input_APM!L:L,Check!O25)))</f>
        <v>5623</v>
      </c>
      <c r="Q25" s="22">
        <f>IF(O25="","",IF(LEN(O25)&gt;9,SUMIFS(Options!$H$3:$H$27,Options!$B$3:$B$27,Check!O25),SUMIFS('Master P&amp;L'!$H$11:$H$80,'Master P&amp;L'!$B$11:$B$80,Check!O25)))</f>
        <v>6000</v>
      </c>
      <c r="R25" s="217">
        <f t="shared" si="1"/>
        <v>-377</v>
      </c>
      <c r="S25" s="361">
        <f t="shared" si="2"/>
        <v>0.9371666666666667</v>
      </c>
      <c r="V25" s="13"/>
    </row>
    <row r="26" spans="2:22">
      <c r="B26" t="s">
        <v>2321</v>
      </c>
      <c r="C26" s="233">
        <f>IF(B26="","",IF(LEN(B26)&gt;9,SUMIFS(Options!$H$3:$H$27,Options!$B$3:$B$27,Check!B26),SUMIFS('Master P&amp;L'!$H$11:$H$80,'Master P&amp;L'!$B$11:$B$80,Check!B26)))</f>
        <v>-10000</v>
      </c>
      <c r="D26" s="233">
        <f>IF(B26="","",SUMIFS(Input_APM!N:N,Input_APM!L:L,Check!B26,Input_APM!M:M,Check!$F$1))</f>
        <v>-9374</v>
      </c>
      <c r="E26" s="219">
        <f>IF(B26="","",C26-M26)</f>
        <v>0</v>
      </c>
      <c r="F26" s="233">
        <f>IF(B26="","",SUMIFS(Input_APM!N:N,Input_APM!M:M,Check!$F$1,Input_APM!L:L,Check!B26))</f>
        <v>-9374</v>
      </c>
      <c r="G26" s="233">
        <f>IF(B26="","",SUMIFS(Input_APM!N:N,Input_APM!M:M,Check!$G$1,Input_APM!L:L,Check!B26))</f>
        <v>0</v>
      </c>
      <c r="H26" s="217">
        <f t="shared" si="0"/>
        <v>-9374</v>
      </c>
      <c r="I26" s="217">
        <f>SUMIFS(Input_APM!N:N,Input_APM!L:L,Check!B26)</f>
        <v>-9374</v>
      </c>
      <c r="J26" s="219">
        <f t="shared" si="3"/>
        <v>0</v>
      </c>
      <c r="K26" s="22">
        <f>IF(B26="","",SUMIFS('Input_APM (Zenith)'!N:N,'Input_APM (Zenith)'!L:L,Check!B26,'Input_APM (Zenith)'!M:M,Check!$F$1))</f>
        <v>-626</v>
      </c>
      <c r="L26" s="22">
        <f>IF(B26="","",SUMIFS('Input_APM (Zenith)'!N:N,'Input_APM (Zenith)'!L:L,Check!B26,'Input_APM (Zenith)'!M:M,Check!$G$1))</f>
        <v>0</v>
      </c>
      <c r="M26" s="240">
        <f t="shared" si="4"/>
        <v>-10000</v>
      </c>
      <c r="O26" t="s">
        <v>1754</v>
      </c>
      <c r="P26" s="217">
        <f>IF(O26="","",IF(OR(LEFT(O26,4)="Cash",LEFT(O26,4)="Prov"),0,SUMIFS(Input_APM!N:N,Input_APM!L:L,Check!O26)))</f>
        <v>39308</v>
      </c>
      <c r="Q26" s="22">
        <f>IF(O26="","",IF(LEN(O26)&gt;9,SUMIFS(Options!$H$3:$H$27,Options!$B$3:$B$27,Check!O26),SUMIFS('Master P&amp;L'!$H$11:$H$80,'Master P&amp;L'!$B$11:$B$80,Check!O26)))</f>
        <v>42000</v>
      </c>
      <c r="R26" s="217">
        <f t="shared" si="1"/>
        <v>-2692</v>
      </c>
      <c r="S26" s="361">
        <f t="shared" si="2"/>
        <v>0.93590476190476191</v>
      </c>
      <c r="V26" s="13"/>
    </row>
    <row r="27" spans="2:22">
      <c r="B27" t="s">
        <v>4</v>
      </c>
      <c r="C27" s="233">
        <f>IF(B27="","",IF(LEN(B27)&gt;9,SUMIFS(Options!$H$3:$H$27,Options!$B$3:$B$27,Check!B27),SUMIFS('Master P&amp;L'!$H$11:$H$80,'Master P&amp;L'!$B$11:$B$80,Check!B27)))</f>
        <v>-27500</v>
      </c>
      <c r="D27" s="233">
        <f>IF(B27="","",SUMIFS(Input_APM!N:N,Input_APM!L:L,Check!B27,Input_APM!M:M,Check!$F$1))</f>
        <v>-25765</v>
      </c>
      <c r="E27" s="219">
        <f t="shared" si="5"/>
        <v>0</v>
      </c>
      <c r="F27" s="233">
        <f>IF(B27="","",SUMIFS(Input_APM!N:N,Input_APM!M:M,Check!$F$1,Input_APM!L:L,Check!B27))</f>
        <v>-25765</v>
      </c>
      <c r="G27" s="233">
        <f>IF(B27="","",SUMIFS(Input_APM!N:N,Input_APM!M:M,Check!$G$1,Input_APM!L:L,Check!B27))</f>
        <v>0</v>
      </c>
      <c r="H27" s="217">
        <f t="shared" si="0"/>
        <v>-25765</v>
      </c>
      <c r="I27" s="217">
        <f>SUMIFS(Input_APM!N:N,Input_APM!L:L,Check!B27)</f>
        <v>-25765</v>
      </c>
      <c r="J27" s="219">
        <f t="shared" si="3"/>
        <v>0</v>
      </c>
      <c r="K27" s="22">
        <f>IF(B27="","",SUMIFS('Input_APM (Zenith)'!N:N,'Input_APM (Zenith)'!L:L,Check!B27,'Input_APM (Zenith)'!M:M,Check!$F$1))</f>
        <v>-1735</v>
      </c>
      <c r="L27" s="22">
        <f>IF(B27="","",SUMIFS('Input_APM (Zenith)'!N:N,'Input_APM (Zenith)'!L:L,Check!B27,'Input_APM (Zenith)'!M:M,Check!$G$1))</f>
        <v>0</v>
      </c>
      <c r="M27" s="240">
        <f t="shared" si="4"/>
        <v>-27500</v>
      </c>
      <c r="O27" t="s">
        <v>2156</v>
      </c>
      <c r="P27" s="217">
        <f>IF(O27="","",IF(OR(LEFT(O27,4)="Cash",LEFT(O27,4)="Prov"),0,SUMIFS(Input_APM!N:N,Input_APM!L:L,Check!O27)))</f>
        <v>13842</v>
      </c>
      <c r="Q27" s="22">
        <f>IF(O27="","",IF(LEN(O27)&gt;9,SUMIFS(Options!$H$3:$H$27,Options!$B$3:$B$27,Check!O27),SUMIFS('Master P&amp;L'!$H$11:$H$80,'Master P&amp;L'!$B$11:$B$80,Check!O27)))</f>
        <v>0</v>
      </c>
      <c r="R27" s="217">
        <f t="shared" si="1"/>
        <v>13842</v>
      </c>
      <c r="S27" s="361" t="str">
        <f t="shared" si="2"/>
        <v>Erro</v>
      </c>
      <c r="V27" s="13"/>
    </row>
    <row r="28" spans="2:22">
      <c r="B28" t="s">
        <v>2314</v>
      </c>
      <c r="C28" s="233">
        <f>IF(B28="","",IF(LEN(B28)&gt;9,SUMIFS(Options!$H$3:$H$27,Options!$B$3:$B$27,Check!B28),SUMIFS('Master P&amp;L'!$H$11:$H$80,'Master P&amp;L'!$B$11:$B$80,Check!B28)))</f>
        <v>0</v>
      </c>
      <c r="D28" s="233">
        <f>IF(B28="","",SUMIFS(Input_APM!N:N,Input_APM!L:L,Check!B28,Input_APM!M:M,Check!$F$1))</f>
        <v>8</v>
      </c>
      <c r="E28" s="219">
        <f>IF(B28="","",C28-M28)</f>
        <v>-10</v>
      </c>
      <c r="F28" s="233">
        <f>IF(B28="","",SUMIFS(Input_APM!N:N,Input_APM!M:M,Check!$F$1,Input_APM!L:L,Check!B28))</f>
        <v>8</v>
      </c>
      <c r="G28" s="233">
        <f>IF(B28="","",SUMIFS(Input_APM!N:N,Input_APM!M:M,Check!$G$1,Input_APM!L:L,Check!B28))</f>
        <v>0</v>
      </c>
      <c r="H28" s="217">
        <f t="shared" si="0"/>
        <v>8</v>
      </c>
      <c r="I28" s="217">
        <f>SUMIFS(Input_APM!N:N,Input_APM!L:L,Check!B28)</f>
        <v>8</v>
      </c>
      <c r="J28" s="219">
        <f t="shared" si="3"/>
        <v>0</v>
      </c>
      <c r="K28" s="22">
        <f>IF(B28="","",SUMIFS('Input_APM (Zenith)'!N:N,'Input_APM (Zenith)'!L:L,Check!B28,'Input_APM (Zenith)'!M:M,Check!$F$1))</f>
        <v>2</v>
      </c>
      <c r="L28" s="22">
        <f>IF(B28="","",SUMIFS('Input_APM (Zenith)'!N:N,'Input_APM (Zenith)'!L:L,Check!B28,'Input_APM (Zenith)'!M:M,Check!$G$1))</f>
        <v>0</v>
      </c>
      <c r="M28" s="240">
        <f t="shared" si="4"/>
        <v>10</v>
      </c>
      <c r="O28" t="s">
        <v>2318</v>
      </c>
      <c r="P28" s="217">
        <f>IF(O28="","",IF(OR(LEFT(O28,4)="Cash",LEFT(O28,4)="Prov"),0,SUMIFS(Input_APM!N:N,Input_APM!L:L,Check!O28)))</f>
        <v>1031</v>
      </c>
      <c r="Q28" s="22">
        <f>IF(O28="","",IF(LEN(O28)&gt;9,SUMIFS(Options!$H$3:$H$27,Options!$B$3:$B$27,Check!O28),SUMIFS('Master P&amp;L'!$H$11:$H$80,'Master P&amp;L'!$B$11:$B$80,Check!O28)))</f>
        <v>1100</v>
      </c>
      <c r="R28" s="217">
        <f t="shared" si="1"/>
        <v>-69</v>
      </c>
      <c r="S28" s="361">
        <f t="shared" si="2"/>
        <v>0.93727272727272726</v>
      </c>
      <c r="V28" s="13"/>
    </row>
    <row r="29" spans="2:22">
      <c r="B29" t="s">
        <v>2314</v>
      </c>
      <c r="C29" s="233">
        <f>IF(B29="","",IF(LEN(B29)&gt;9,SUMIFS(Options!$H$3:$H$27,Options!$B$3:$B$27,Check!B29),SUMIFS('Master P&amp;L'!$H$11:$H$80,'Master P&amp;L'!$B$11:$B$80,Check!B29)))</f>
        <v>0</v>
      </c>
      <c r="D29" s="233">
        <f>IF(B29="","",SUMIFS(Input_APM!N:N,Input_APM!L:L,Check!B29,Input_APM!M:M,Check!$F$1))</f>
        <v>8</v>
      </c>
      <c r="E29" s="219">
        <f t="shared" si="5"/>
        <v>-10</v>
      </c>
      <c r="F29" s="233">
        <f>IF(B29="","",SUMIFS(Input_APM!N:N,Input_APM!M:M,Check!$F$1,Input_APM!L:L,Check!B29))</f>
        <v>8</v>
      </c>
      <c r="G29" s="233">
        <f>IF(B29="","",SUMIFS(Input_APM!N:N,Input_APM!M:M,Check!$G$1,Input_APM!L:L,Check!B29))</f>
        <v>0</v>
      </c>
      <c r="H29" s="217">
        <f t="shared" si="0"/>
        <v>8</v>
      </c>
      <c r="I29" s="217">
        <f>SUMIFS(Input_APM!N:N,Input_APM!L:L,Check!B29)</f>
        <v>8</v>
      </c>
      <c r="J29" s="219">
        <f t="shared" si="3"/>
        <v>0</v>
      </c>
      <c r="K29" s="22">
        <f>IF(B29="","",SUMIFS('Input_APM (Zenith)'!N:N,'Input_APM (Zenith)'!L:L,Check!B29,'Input_APM (Zenith)'!M:M,Check!$F$1))</f>
        <v>2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10</v>
      </c>
      <c r="O29" t="s">
        <v>2319</v>
      </c>
      <c r="P29" s="217">
        <f>IF(O29="","",IF(OR(LEFT(O29,4)="Cash",LEFT(O29,4)="Prov"),0,SUMIFS(Input_APM!N:N,Input_APM!L:L,Check!O29)))</f>
        <v>-1031</v>
      </c>
      <c r="Q29" s="22">
        <f>IF(O29="","",IF(LEN(O29)&gt;9,SUMIFS(Options!$H$3:$H$27,Options!$B$3:$B$27,Check!O29),SUMIFS('Master P&amp;L'!$H$11:$H$80,'Master P&amp;L'!$B$11:$B$80,Check!O29)))</f>
        <v>-1100</v>
      </c>
      <c r="R29" s="217">
        <f t="shared" si="1"/>
        <v>69</v>
      </c>
      <c r="S29" s="361">
        <f t="shared" si="2"/>
        <v>0.93727272727272726</v>
      </c>
      <c r="V29" s="13"/>
    </row>
    <row r="30" spans="2:22">
      <c r="B30" t="s">
        <v>2288</v>
      </c>
      <c r="C30" s="233">
        <f>IF(B30="","",IF(LEN(B30)&gt;9,SUMIFS(Options!$H$3:$H$27,Options!$B$3:$B$27,Check!B30),SUMIFS('Master P&amp;L'!$H$11:$H$80,'Master P&amp;L'!$B$11:$B$80,Check!B30)))</f>
        <v>125</v>
      </c>
      <c r="D30" s="233">
        <f>IF(B30="","",SUMIFS(Input_APM!N:N,Input_APM!L:L,Check!B30,Input_APM!M:M,Check!$F$1))</f>
        <v>117</v>
      </c>
      <c r="E30" s="219">
        <f t="shared" si="5"/>
        <v>0</v>
      </c>
      <c r="F30" s="233">
        <f>IF(B30="","",SUMIFS(Input_APM!N:N,Input_APM!M:M,Check!$F$1,Input_APM!L:L,Check!B30))</f>
        <v>117</v>
      </c>
      <c r="G30" s="233">
        <f>IF(B30="","",SUMIFS(Input_APM!N:N,Input_APM!M:M,Check!$G$1,Input_APM!L:L,Check!B30))</f>
        <v>0</v>
      </c>
      <c r="H30" s="217">
        <f t="shared" si="0"/>
        <v>117</v>
      </c>
      <c r="I30" s="217">
        <f>SUMIFS(Input_APM!N:N,Input_APM!L:L,Check!B30)</f>
        <v>117</v>
      </c>
      <c r="J30" s="219">
        <f t="shared" si="3"/>
        <v>0</v>
      </c>
      <c r="K30" s="22">
        <f>IF(B30="","",SUMIFS('Input_APM (Zenith)'!N:N,'Input_APM (Zenith)'!L:L,Check!B30,'Input_APM (Zenith)'!M:M,Check!$F$1))</f>
        <v>8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125</v>
      </c>
      <c r="O30" t="s">
        <v>2170</v>
      </c>
      <c r="P30" s="217">
        <f>IF(O30="","",IF(OR(LEFT(O30,4)="Cash",LEFT(O30,4)="Prov"),0,SUMIFS(Input_APM!N:N,Input_APM!L:L,Check!O30)))</f>
        <v>13873</v>
      </c>
      <c r="Q30" s="22">
        <f>IF(O30="","",IF(LEN(O30)&gt;9,SUMIFS(Options!$H$3:$H$27,Options!$B$3:$B$27,Check!O30),SUMIFS('Master P&amp;L'!$H$11:$H$80,'Master P&amp;L'!$B$11:$B$80,Check!O30)))</f>
        <v>14800</v>
      </c>
      <c r="R30" s="217">
        <f t="shared" si="1"/>
        <v>-927</v>
      </c>
      <c r="S30" s="361">
        <f t="shared" si="2"/>
        <v>0.93736486486486481</v>
      </c>
      <c r="V30" s="13"/>
    </row>
    <row r="31" spans="2:22">
      <c r="B31" t="s">
        <v>2287</v>
      </c>
      <c r="C31" s="233">
        <f>IF(B31="","",IF(LEN(B31)&gt;9,SUMIFS(Options!$H$3:$H$27,Options!$B$3:$B$27,Check!B31),SUMIFS('Master P&amp;L'!$H$11:$H$80,'Master P&amp;L'!$B$11:$B$80,Check!B31)))</f>
        <v>-25</v>
      </c>
      <c r="D31" s="233">
        <f>IF(B31="","",SUMIFS(Input_APM!N:N,Input_APM!L:L,Check!B31,Input_APM!M:M,Check!$F$1))</f>
        <v>-23</v>
      </c>
      <c r="E31" s="219">
        <f>IF(B31="","",C31-M31)</f>
        <v>0</v>
      </c>
      <c r="F31" s="233">
        <f>IF(B31="","",SUMIFS(Input_APM!N:N,Input_APM!M:M,Check!$F$1,Input_APM!L:L,Check!B31))</f>
        <v>-23</v>
      </c>
      <c r="G31" s="233">
        <f>IF(B31="","",SUMIFS(Input_APM!N:N,Input_APM!M:M,Check!$G$1,Input_APM!L:L,Check!B31))</f>
        <v>0</v>
      </c>
      <c r="H31" s="217">
        <f t="shared" si="0"/>
        <v>-23</v>
      </c>
      <c r="I31" s="217">
        <f>SUMIFS(Input_APM!N:N,Input_APM!L:L,Check!B31)</f>
        <v>-23</v>
      </c>
      <c r="J31" s="219">
        <f t="shared" si="3"/>
        <v>0</v>
      </c>
      <c r="K31" s="22">
        <f>IF(B31="","",SUMIFS('Input_APM (Zenith)'!N:N,'Input_APM (Zenith)'!L:L,Check!B31,'Input_APM (Zenith)'!M:M,Check!$F$1))</f>
        <v>-2</v>
      </c>
      <c r="L31" s="22">
        <f>IF(B31="","",SUMIFS('Input_APM (Zenith)'!N:N,'Input_APM (Zenith)'!L:L,Check!B31,'Input_APM (Zenith)'!M:M,Check!$G$1))</f>
        <v>0</v>
      </c>
      <c r="M31" s="240">
        <f t="shared" si="4"/>
        <v>-25</v>
      </c>
      <c r="O31" t="s">
        <v>1898</v>
      </c>
      <c r="P31" s="217">
        <f>IF(O31="","",IF(OR(LEFT(O31,4)="Cash",LEFT(O31,4)="Prov"),0,SUMIFS(Input_APM!N:N,Input_APM!L:L,Check!O31)))</f>
        <v>276451</v>
      </c>
      <c r="Q31" s="22">
        <f>IF(O31="","",IF(LEN(O31)&gt;9,SUMIFS(Options!$H$3:$H$27,Options!$B$3:$B$27,Check!O31),SUMIFS('Master P&amp;L'!$H$11:$H$80,'Master P&amp;L'!$B$11:$B$80,Check!O31)))</f>
        <v>0</v>
      </c>
      <c r="R31" s="217">
        <f t="shared" si="1"/>
        <v>276451</v>
      </c>
      <c r="S31" s="361" t="str">
        <f t="shared" si="2"/>
        <v>Erro</v>
      </c>
      <c r="V31" s="13"/>
    </row>
    <row r="32" spans="2:22">
      <c r="B32" t="s">
        <v>2260</v>
      </c>
      <c r="C32" s="233">
        <f>IF(B32="","",IF(LEN(B32)&gt;9,SUMIFS(Options!$H$3:$H$27,Options!$B$3:$B$27,Check!B32),SUMIFS('Master P&amp;L'!$H$11:$H$80,'Master P&amp;L'!$B$11:$B$80,Check!B32)))</f>
        <v>2000</v>
      </c>
      <c r="D32" s="233">
        <f>IF(B32="","",SUMIFS(Input_APM!N:N,Input_APM!L:L,Check!B32,Input_APM!M:M,Check!$F$1))</f>
        <v>1874</v>
      </c>
      <c r="E32" s="219">
        <f t="shared" si="5"/>
        <v>0</v>
      </c>
      <c r="F32" s="233">
        <f>IF(B32="","",SUMIFS(Input_APM!N:N,Input_APM!M:M,Check!$F$1,Input_APM!L:L,Check!B32))</f>
        <v>1874</v>
      </c>
      <c r="G32" s="233">
        <f>IF(B32="","",SUMIFS(Input_APM!N:N,Input_APM!M:M,Check!$G$1,Input_APM!L:L,Check!B32))</f>
        <v>0</v>
      </c>
      <c r="H32" s="217">
        <f t="shared" si="0"/>
        <v>1874</v>
      </c>
      <c r="I32" s="217">
        <f>SUMIFS(Input_APM!N:N,Input_APM!L:L,Check!B32)</f>
        <v>1874</v>
      </c>
      <c r="J32" s="219">
        <f t="shared" si="3"/>
        <v>0</v>
      </c>
      <c r="K32" s="22">
        <f>IF(B32="","",SUMIFS('Input_APM (Zenith)'!N:N,'Input_APM (Zenith)'!L:L,Check!B32,'Input_APM (Zenith)'!M:M,Check!$F$1))</f>
        <v>126</v>
      </c>
      <c r="L32" s="22">
        <f>IF(B32="","",SUMIFS('Input_APM (Zenith)'!N:N,'Input_APM (Zenith)'!L:L,Check!B32,'Input_APM (Zenith)'!M:M,Check!$G$1))</f>
        <v>0</v>
      </c>
      <c r="M32" s="240">
        <f t="shared" si="4"/>
        <v>2000</v>
      </c>
      <c r="O32" t="s">
        <v>1899</v>
      </c>
      <c r="P32" s="217">
        <f>IF(O32="","",IF(OR(LEFT(O32,4)="Cash",LEFT(O32,4)="Prov"),0,SUMIFS(Input_APM!N:N,Input_APM!L:L,Check!O32)))</f>
        <v>-276451</v>
      </c>
      <c r="Q32" s="22">
        <f>IF(O32="","",IF(LEN(O32)&gt;9,SUMIFS(Options!$H$3:$H$27,Options!$B$3:$B$27,Check!O32),SUMIFS('Master P&amp;L'!$H$11:$H$80,'Master P&amp;L'!$B$11:$B$80,Check!O32)))</f>
        <v>0</v>
      </c>
      <c r="R32" s="217">
        <f t="shared" si="1"/>
        <v>-276451</v>
      </c>
      <c r="S32" s="361" t="str">
        <f t="shared" si="2"/>
        <v>Erro</v>
      </c>
      <c r="V32" s="13"/>
    </row>
    <row r="33" spans="1:22">
      <c r="B33" t="s">
        <v>2118</v>
      </c>
      <c r="C33" s="233">
        <f>IF(B33="","",IF(LEN(B33)&gt;9,SUMIFS(Options!$H$3:$H$27,Options!$B$3:$B$27,Check!B33),SUMIFS('Master P&amp;L'!$H$11:$H$80,'Master P&amp;L'!$B$11:$B$80,Check!B33)))</f>
        <v>-25</v>
      </c>
      <c r="D33" s="233">
        <f>IF(B33="","",SUMIFS(Input_APM!N:N,Input_APM!L:L,Check!B33,Input_APM!M:M,Check!$F$1))</f>
        <v>-25</v>
      </c>
      <c r="E33" s="217">
        <f t="shared" si="5"/>
        <v>0</v>
      </c>
      <c r="F33" s="233">
        <f>IF(B33="","",SUMIFS(Input_APM!N:N,Input_APM!M:M,Check!$F$1,Input_APM!L:L,Check!B33))</f>
        <v>-25</v>
      </c>
      <c r="G33" s="233">
        <f>IF(B33="","",SUMIFS(Input_APM!N:N,Input_APM!M:M,Check!$G$1,Input_APM!L:L,Check!B33))</f>
        <v>0</v>
      </c>
      <c r="H33" s="217">
        <f t="shared" si="0"/>
        <v>-25</v>
      </c>
      <c r="I33" s="217">
        <f>SUMIFS(Input_APM!N:N,Input_APM!L:L,Check!B33)</f>
        <v>-25</v>
      </c>
      <c r="J33" s="219">
        <f t="shared" si="3"/>
        <v>0</v>
      </c>
      <c r="K33" s="22">
        <f>IF(B33="","",SUMIFS('Input_APM (Zenith)'!N:N,'Input_APM (Zenith)'!L:L,Check!B33,'Input_APM (Zenith)'!M:M,Check!$F$1))</f>
        <v>0</v>
      </c>
      <c r="L33" s="22">
        <f>IF(B33="","",SUMIFS('Input_APM (Zenith)'!N:N,'Input_APM (Zenith)'!L:L,Check!B33,'Input_APM (Zenith)'!M:M,Check!$G$1))</f>
        <v>0</v>
      </c>
      <c r="M33" s="240">
        <f t="shared" si="4"/>
        <v>-25</v>
      </c>
      <c r="O33" t="s">
        <v>2321</v>
      </c>
      <c r="P33" s="217">
        <f>IF(O33="","",IF(OR(LEFT(O33,4)="Cash",LEFT(O33,4)="Prov"),0,SUMIFS(Input_APM!N:N,Input_APM!L:L,Check!O33)))</f>
        <v>-9374</v>
      </c>
      <c r="Q33" s="22">
        <f>IF(O33="","",IF(LEN(O33)&gt;9,SUMIFS(Options!$H$3:$H$27,Options!$B$3:$B$27,Check!O33),SUMIFS('Master P&amp;L'!$H$11:$H$80,'Master P&amp;L'!$B$11:$B$80,Check!O33)))</f>
        <v>-10000</v>
      </c>
      <c r="R33" s="217">
        <f t="shared" si="1"/>
        <v>626</v>
      </c>
      <c r="S33" s="361">
        <f t="shared" si="2"/>
        <v>0.93740000000000001</v>
      </c>
      <c r="V33" s="13"/>
    </row>
    <row r="34" spans="1:22">
      <c r="B34" t="s">
        <v>2116</v>
      </c>
      <c r="C34" s="233">
        <f>IF(B34="","",IF(LEN(B34)&gt;9,SUMIFS(Options!$H$3:$H$27,Options!$B$3:$B$27,Check!B34),SUMIFS('Master P&amp;L'!$H$11:$H$80,'Master P&amp;L'!$B$11:$B$80,Check!B34)))</f>
        <v>50</v>
      </c>
      <c r="D34" s="233">
        <f>IF(B34="","",SUMIFS(Input_APM!N:N,Input_APM!L:L,Check!B34,Input_APM!M:M,Check!$F$1))</f>
        <v>48</v>
      </c>
      <c r="E34" s="217">
        <f t="shared" si="5"/>
        <v>0</v>
      </c>
      <c r="F34" s="233">
        <f>IF(B34="","",SUMIFS(Input_APM!N:N,Input_APM!M:M,Check!$F$1,Input_APM!L:L,Check!B34))</f>
        <v>48</v>
      </c>
      <c r="G34" s="233">
        <f>IF(B34="","",SUMIFS(Input_APM!N:N,Input_APM!M:M,Check!$G$1,Input_APM!L:L,Check!B34))</f>
        <v>0</v>
      </c>
      <c r="H34" s="217">
        <f t="shared" si="0"/>
        <v>48</v>
      </c>
      <c r="I34" s="217">
        <f>SUMIFS(Input_APM!N:N,Input_APM!L:L,Check!B34)</f>
        <v>48</v>
      </c>
      <c r="J34" s="219">
        <f t="shared" si="3"/>
        <v>0</v>
      </c>
      <c r="K34" s="22">
        <f>IF(B34="","",SUMIFS('Input_APM (Zenith)'!N:N,'Input_APM (Zenith)'!L:L,Check!B34,'Input_APM (Zenith)'!M:M,Check!$F$1))</f>
        <v>2</v>
      </c>
      <c r="L34" s="22">
        <f>IF(B34="","",SUMIFS('Input_APM (Zenith)'!N:N,'Input_APM (Zenith)'!L:L,Check!B34,'Input_APM (Zenith)'!M:M,Check!$G$1))</f>
        <v>0</v>
      </c>
      <c r="M34" s="240">
        <f t="shared" si="4"/>
        <v>50</v>
      </c>
      <c r="O34" t="s">
        <v>2072</v>
      </c>
      <c r="P34" s="217">
        <f>IF(O34="","",IF(OR(LEFT(O34,4)="Cash",LEFT(O34,4)="Prov"),0,SUMIFS(Input_APM!N:N,Input_APM!L:L,Check!O34)))</f>
        <v>1123</v>
      </c>
      <c r="Q34" s="22">
        <f>IF(O34="","",IF(LEN(O34)&gt;9,SUMIFS(Options!$H$3:$H$27,Options!$B$3:$B$27,Check!O34),SUMIFS('Master P&amp;L'!$H$11:$H$80,'Master P&amp;L'!$B$11:$B$80,Check!O34)))</f>
        <v>1200</v>
      </c>
      <c r="R34" s="217">
        <f t="shared" si="1"/>
        <v>-77</v>
      </c>
      <c r="S34" s="361">
        <f t="shared" si="2"/>
        <v>0.93583333333333329</v>
      </c>
      <c r="V34" s="13"/>
    </row>
    <row r="35" spans="1:22">
      <c r="B35" t="s">
        <v>2318</v>
      </c>
      <c r="C35" s="233">
        <f>IF(B35="","",IF(LEN(B35)&gt;9,SUMIFS(Options!$H$3:$H$27,Options!$B$3:$B$27,Check!B35),SUMIFS('Master P&amp;L'!$H$11:$H$80,'Master P&amp;L'!$B$11:$B$80,Check!B35)))</f>
        <v>1100</v>
      </c>
      <c r="D35" s="233">
        <f>IF(B35="","",SUMIFS(Input_APM!N:N,Input_APM!L:L,Check!B35,Input_APM!M:M,Check!$F$1))</f>
        <v>1031</v>
      </c>
      <c r="E35" s="219">
        <f t="shared" si="5"/>
        <v>0</v>
      </c>
      <c r="F35" s="233">
        <f>IF(B35="","",SUMIFS(Input_APM!N:N,Input_APM!M:M,Check!$F$1,Input_APM!L:L,Check!B35))</f>
        <v>1031</v>
      </c>
      <c r="G35" s="233">
        <f>IF(B35="","",SUMIFS(Input_APM!N:N,Input_APM!M:M,Check!$G$1,Input_APM!L:L,Check!B35))</f>
        <v>0</v>
      </c>
      <c r="H35" s="217">
        <f t="shared" si="0"/>
        <v>1031</v>
      </c>
      <c r="I35" s="217">
        <f>SUMIFS(Input_APM!N:N,Input_APM!L:L,Check!B35)</f>
        <v>1031</v>
      </c>
      <c r="J35" s="219">
        <f t="shared" si="3"/>
        <v>0</v>
      </c>
      <c r="K35" s="22">
        <f>IF(B35="","",SUMIFS('Input_APM (Zenith)'!N:N,'Input_APM (Zenith)'!L:L,Check!B35,'Input_APM (Zenith)'!M:M,Check!$F$1))</f>
        <v>69</v>
      </c>
      <c r="L35" s="22">
        <f>IF(B35="","",SUMIFS('Input_APM (Zenith)'!N:N,'Input_APM (Zenith)'!L:L,Check!B35,'Input_APM (Zenith)'!M:M,Check!$G$1))</f>
        <v>0</v>
      </c>
      <c r="M35" s="240">
        <f t="shared" si="4"/>
        <v>1100</v>
      </c>
      <c r="O35" t="s">
        <v>2083</v>
      </c>
      <c r="P35" s="217">
        <f>IF(O35="","",IF(OR(LEFT(O35,4)="Cash",LEFT(O35,4)="Prov"),0,SUMIFS(Input_APM!N:N,Input_APM!L:L,Check!O35)))</f>
        <v>54</v>
      </c>
      <c r="Q35" s="22">
        <f>IF(O35="","",IF(LEN(O35)&gt;9,SUMIFS(Options!$H$3:$H$27,Options!$B$3:$B$27,Check!O35),SUMIFS('Master P&amp;L'!$H$11:$H$80,'Master P&amp;L'!$B$11:$B$80,Check!O35)))</f>
        <v>60</v>
      </c>
      <c r="R35" s="217">
        <f t="shared" si="1"/>
        <v>-6</v>
      </c>
      <c r="S35" s="361">
        <f t="shared" si="2"/>
        <v>0.9</v>
      </c>
      <c r="V35" s="13"/>
    </row>
    <row r="36" spans="1:22">
      <c r="B36" t="s">
        <v>2319</v>
      </c>
      <c r="C36" s="233">
        <f>IF(B36="","",IF(LEN(B36)&gt;9,SUMIFS(Options!$H$3:$H$27,Options!$B$3:$B$27,Check!B36),SUMIFS('Master P&amp;L'!$H$11:$H$80,'Master P&amp;L'!$B$11:$B$80,Check!B36)))</f>
        <v>-1100</v>
      </c>
      <c r="D36" s="233">
        <f>IF(B36="","",SUMIFS(Input_APM!N:N,Input_APM!L:L,Check!B36,Input_APM!M:M,Check!$F$1))</f>
        <v>-1031</v>
      </c>
      <c r="E36" s="219">
        <f>IF(B36="","",C36-M36)</f>
        <v>0</v>
      </c>
      <c r="F36" s="233">
        <f>IF(B36="","",SUMIFS(Input_APM!N:N,Input_APM!M:M,Check!$F$1,Input_APM!L:L,Check!B36))</f>
        <v>-1031</v>
      </c>
      <c r="G36" s="233">
        <f>IF(B36="","",SUMIFS(Input_APM!N:N,Input_APM!M:M,Check!$G$1,Input_APM!L:L,Check!B36))</f>
        <v>0</v>
      </c>
      <c r="H36" s="217">
        <f t="shared" si="0"/>
        <v>-1031</v>
      </c>
      <c r="I36" s="217">
        <f>SUMIFS(Input_APM!N:N,Input_APM!L:L,Check!B36)</f>
        <v>-1031</v>
      </c>
      <c r="J36" s="219">
        <f t="shared" si="3"/>
        <v>0</v>
      </c>
      <c r="K36" s="22">
        <f>IF(B36="","",SUMIFS('Input_APM (Zenith)'!N:N,'Input_APM (Zenith)'!L:L,Check!B36,'Input_APM (Zenith)'!M:M,Check!$F$1))</f>
        <v>-69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-1100</v>
      </c>
      <c r="O36" t="s">
        <v>81</v>
      </c>
      <c r="P36" s="217">
        <f>IF(O36="","",IF(OR(LEFT(O36,4)="Cash",LEFT(O36,4)="Prov"),0,SUMIFS(Input_APM!N:N,Input_APM!L:L,Check!O36)))</f>
        <v>5618</v>
      </c>
      <c r="Q36" s="22">
        <f>IF(O36="","",IF(LEN(O36)&gt;9,SUMIFS(Options!$H$3:$H$27,Options!$B$3:$B$27,Check!O36),SUMIFS('Master P&amp;L'!$H$11:$H$80,'Master P&amp;L'!$B$11:$B$80,Check!O36)))</f>
        <v>4120</v>
      </c>
      <c r="R36" s="217">
        <f t="shared" si="1"/>
        <v>1498</v>
      </c>
      <c r="S36" s="361">
        <f t="shared" si="2"/>
        <v>1.3635922330097088</v>
      </c>
      <c r="V36" s="13"/>
    </row>
    <row r="37" spans="1:22">
      <c r="B37" t="s">
        <v>2083</v>
      </c>
      <c r="C37" s="233">
        <f>IF(B37="","",IF(LEN(B37)&gt;9,SUMIFS(Options!$H$3:$H$27,Options!$B$3:$B$27,Check!B37),SUMIFS('Master P&amp;L'!$H$11:$H$80,'Master P&amp;L'!$B$11:$B$80,Check!B37)))</f>
        <v>60</v>
      </c>
      <c r="D37" s="233">
        <f>IF(B37="","",SUMIFS(Input_APM!N:N,Input_APM!L:L,Check!B37,Input_APM!M:M,Check!$F$1))</f>
        <v>54</v>
      </c>
      <c r="E37" s="219">
        <f>IF(B37="","",C37-M37)</f>
        <v>0</v>
      </c>
      <c r="F37" s="233">
        <f>IF(B37="","",SUMIFS(Input_APM!N:N,Input_APM!M:M,Check!$F$1,Input_APM!L:L,Check!B37))</f>
        <v>54</v>
      </c>
      <c r="G37" s="233">
        <f>IF(B37="","",SUMIFS(Input_APM!N:N,Input_APM!M:M,Check!$G$1,Input_APM!L:L,Check!B37))</f>
        <v>0</v>
      </c>
      <c r="H37" s="217">
        <f t="shared" si="0"/>
        <v>54</v>
      </c>
      <c r="I37" s="217">
        <f>SUMIFS(Input_APM!N:N,Input_APM!L:L,Check!B37)</f>
        <v>54</v>
      </c>
      <c r="J37" s="219">
        <f t="shared" si="3"/>
        <v>0</v>
      </c>
      <c r="K37" s="22">
        <f>IF(B37="","",SUMIFS('Input_APM (Zenith)'!N:N,'Input_APM (Zenith)'!L:L,Check!B37,'Input_APM (Zenith)'!M:M,Check!$F$1))</f>
        <v>6</v>
      </c>
      <c r="L37" s="22">
        <f>IF(B37="","",SUMIFS('Input_APM (Zenith)'!N:N,'Input_APM (Zenith)'!L:L,Check!B37,'Input_APM (Zenith)'!M:M,Check!$G$1))</f>
        <v>0</v>
      </c>
      <c r="M37" s="240">
        <f t="shared" si="4"/>
        <v>60</v>
      </c>
      <c r="O37" t="s">
        <v>2077</v>
      </c>
      <c r="P37" s="217">
        <f>IF(O37="","",IF(OR(LEFT(O37,4)="Cash",LEFT(O37,4)="Prov"),0,SUMIFS(Input_APM!N:N,Input_APM!L:L,Check!O37)))</f>
        <v>57</v>
      </c>
      <c r="Q37" s="22">
        <f>IF(O37="","",IF(LEN(O37)&gt;9,SUMIFS(Options!$H$3:$H$27,Options!$B$3:$B$27,Check!O37),SUMIFS('Master P&amp;L'!$H$11:$H$80,'Master P&amp;L'!$B$11:$B$80,Check!O37)))</f>
        <v>60</v>
      </c>
      <c r="R37" s="217">
        <f t="shared" si="1"/>
        <v>-3</v>
      </c>
      <c r="S37" s="361">
        <f t="shared" si="2"/>
        <v>0.95</v>
      </c>
      <c r="V37" s="13"/>
    </row>
    <row r="38" spans="1:22">
      <c r="B38" t="s">
        <v>2077</v>
      </c>
      <c r="C38" s="233">
        <f>IF(B38="","",IF(LEN(B38)&gt;9,SUMIFS(Options!$H$3:$H$27,Options!$B$3:$B$27,Check!B38),SUMIFS('Master P&amp;L'!$H$11:$H$80,'Master P&amp;L'!$B$11:$B$80,Check!B38)))</f>
        <v>60</v>
      </c>
      <c r="D38" s="233">
        <f>IF(B38="","",SUMIFS(Input_APM!N:N,Input_APM!L:L,Check!B38,Input_APM!M:M,Check!$F$1))</f>
        <v>57</v>
      </c>
      <c r="E38" s="217">
        <f t="shared" si="5"/>
        <v>0</v>
      </c>
      <c r="F38" s="233">
        <f>IF(B38="","",SUMIFS(Input_APM!N:N,Input_APM!M:M,Check!$F$1,Input_APM!L:L,Check!B38))</f>
        <v>57</v>
      </c>
      <c r="G38" s="233">
        <f>IF(B38="","",SUMIFS(Input_APM!N:N,Input_APM!M:M,Check!$G$1,Input_APM!L:L,Check!B38))</f>
        <v>0</v>
      </c>
      <c r="H38" s="217">
        <f t="shared" si="0"/>
        <v>57</v>
      </c>
      <c r="I38" s="217">
        <f>SUMIFS(Input_APM!N:N,Input_APM!L:L,Check!B38)</f>
        <v>57</v>
      </c>
      <c r="J38" s="219">
        <f t="shared" si="3"/>
        <v>0</v>
      </c>
      <c r="K38" s="22">
        <f>IF(B38="","",SUMIFS('Input_APM (Zenith)'!N:N,'Input_APM (Zenith)'!L:L,Check!B38,'Input_APM (Zenith)'!M:M,Check!$F$1))</f>
        <v>3</v>
      </c>
      <c r="L38" s="22">
        <f>IF(B38="","",SUMIFS('Input_APM (Zenith)'!N:N,'Input_APM (Zenith)'!L:L,Check!B38,'Input_APM (Zenith)'!M:M,Check!$G$1))</f>
        <v>0</v>
      </c>
      <c r="M38" s="240">
        <f t="shared" si="4"/>
        <v>60</v>
      </c>
      <c r="O38" t="s">
        <v>2120</v>
      </c>
      <c r="P38" s="217">
        <f>IF(O38="","",IF(OR(LEFT(O38,4)="Cash",LEFT(O38,4)="Prov"),0,SUMIFS(Input_APM!N:N,Input_APM!L:L,Check!O38)))</f>
        <v>19</v>
      </c>
      <c r="Q38" s="22">
        <f>IF(O38="","",IF(LEN(O38)&gt;9,SUMIFS(Options!$H$3:$H$27,Options!$B$3:$B$27,Check!O38),SUMIFS('Master P&amp;L'!$H$11:$H$80,'Master P&amp;L'!$B$11:$B$80,Check!O38)))</f>
        <v>20</v>
      </c>
      <c r="R38" s="217">
        <f t="shared" si="1"/>
        <v>-1</v>
      </c>
      <c r="S38" s="361">
        <f t="shared" si="2"/>
        <v>0.95</v>
      </c>
      <c r="V38" s="13"/>
    </row>
    <row r="39" spans="1:22">
      <c r="B39" t="s">
        <v>2357</v>
      </c>
      <c r="C39" s="233">
        <f>IF(B39="","",IF(LEN(B39)&gt;9,SUMIFS(Options!$H$3:$H$27,Options!$B$3:$B$27,Check!B39),SUMIFS('Master P&amp;L'!$H$11:$H$80,'Master P&amp;L'!$B$11:$B$80,Check!B39)))</f>
        <v>50</v>
      </c>
      <c r="D39" s="233">
        <f>IF(B39="","",SUMIFS(Input_APM!N:N,Input_APM!L:L,Check!B39,Input_APM!M:M,Check!$F$1))</f>
        <v>0</v>
      </c>
      <c r="E39" s="217">
        <f t="shared" si="5"/>
        <v>50</v>
      </c>
      <c r="F39" s="233">
        <f>IF(B39="","",SUMIFS(Input_APM!N:N,Input_APM!M:M,Check!$F$1,Input_APM!L:L,Check!B39))</f>
        <v>0</v>
      </c>
      <c r="G39" s="233">
        <f>IF(B39="","",SUMIFS(Input_APM!N:N,Input_APM!M:M,Check!$G$1,Input_APM!L:L,Check!B39))</f>
        <v>0</v>
      </c>
      <c r="H39" s="217">
        <f t="shared" si="0"/>
        <v>0</v>
      </c>
      <c r="I39" s="217">
        <f>SUMIFS(Input_APM!N:N,Input_APM!L:L,Check!B39)</f>
        <v>0</v>
      </c>
      <c r="J39" s="219">
        <f t="shared" si="3"/>
        <v>0</v>
      </c>
      <c r="K39" s="22">
        <f>IF(B39="","",SUMIFS('Input_APM (Zenith)'!N:N,'Input_APM (Zenith)'!L:L,Check!B39,'Input_APM (Zenith)'!M:M,Check!$F$1))</f>
        <v>0</v>
      </c>
      <c r="L39" s="22">
        <f>IF(B39="","",SUMIFS('Input_APM (Zenith)'!N:N,'Input_APM (Zenith)'!L:L,Check!B39,'Input_APM (Zenith)'!M:M,Check!$G$1))</f>
        <v>0</v>
      </c>
      <c r="M39" s="240">
        <f t="shared" si="4"/>
        <v>0</v>
      </c>
      <c r="O39" t="s">
        <v>2119</v>
      </c>
      <c r="P39" s="217">
        <f>IF(O39="","",IF(OR(LEFT(O39,4)="Cash",LEFT(O39,4)="Prov"),0,SUMIFS(Input_APM!N:N,Input_APM!L:L,Check!O39)))</f>
        <v>-19</v>
      </c>
      <c r="Q39" s="22">
        <f>IF(O39="","",IF(LEN(O39)&gt;9,SUMIFS(Options!$H$3:$H$27,Options!$B$3:$B$27,Check!O39),SUMIFS('Master P&amp;L'!$H$11:$H$80,'Master P&amp;L'!$B$11:$B$80,Check!O39)))</f>
        <v>-20</v>
      </c>
      <c r="R39" s="217">
        <f t="shared" si="1"/>
        <v>1</v>
      </c>
      <c r="S39" s="361">
        <f t="shared" si="2"/>
        <v>0.95</v>
      </c>
      <c r="V39" s="13"/>
    </row>
    <row r="40" spans="1:22">
      <c r="B40" t="s">
        <v>2119</v>
      </c>
      <c r="C40" s="233">
        <f>IF(B40="","",IF(LEN(B40)&gt;9,SUMIFS(Options!$H$3:$H$27,Options!$B$3:$B$27,Check!B40),SUMIFS('Master P&amp;L'!$H$11:$H$80,'Master P&amp;L'!$B$11:$B$80,Check!B40)))</f>
        <v>-20</v>
      </c>
      <c r="D40" s="233">
        <f>IF(B40="","",SUMIFS(Input_APM!N:N,Input_APM!L:L,Check!B40,Input_APM!M:M,Check!$F$1))</f>
        <v>-19</v>
      </c>
      <c r="E40" s="219">
        <f t="shared" si="5"/>
        <v>0</v>
      </c>
      <c r="F40" s="233">
        <f>IF(B40="","",SUMIFS(Input_APM!N:N,Input_APM!M:M,Check!$F$1,Input_APM!L:L,Check!B40))</f>
        <v>-19</v>
      </c>
      <c r="G40" s="233">
        <f>IF(B40="","",SUMIFS(Input_APM!N:N,Input_APM!M:M,Check!$G$1,Input_APM!L:L,Check!B40))</f>
        <v>0</v>
      </c>
      <c r="H40" s="217">
        <f t="shared" si="0"/>
        <v>-19</v>
      </c>
      <c r="I40" s="217">
        <f>SUMIFS(Input_APM!N:N,Input_APM!L:L,Check!B40)</f>
        <v>-19</v>
      </c>
      <c r="J40" s="219">
        <f t="shared" si="3"/>
        <v>0</v>
      </c>
      <c r="K40" s="22">
        <f>IF(B40="","",SUMIFS('Input_APM (Zenith)'!N:N,'Input_APM (Zenith)'!L:L,Check!B40,'Input_APM (Zenith)'!M:M,Check!$F$1))</f>
        <v>-1</v>
      </c>
      <c r="L40" s="22">
        <f>IF(B40="","",SUMIFS('Input_APM (Zenith)'!N:N,'Input_APM (Zenith)'!L:L,Check!B40,'Input_APM (Zenith)'!M:M,Check!$G$1))</f>
        <v>0</v>
      </c>
      <c r="M40" s="240">
        <f t="shared" si="4"/>
        <v>-20</v>
      </c>
      <c r="O40" t="s">
        <v>138</v>
      </c>
      <c r="P40" s="217">
        <f>IF(O40="","",IF(OR(LEFT(O40,4)="Cash",LEFT(O40,4)="Prov"),0,SUMIFS(Input_APM!N:N,Input_APM!L:L,Check!O40)))</f>
        <v>-46</v>
      </c>
      <c r="Q40" s="22">
        <f>IF(O40="","",IF(LEN(O40)&gt;9,SUMIFS(Options!$H$3:$H$27,Options!$B$3:$B$27,Check!O40),SUMIFS('Master P&amp;L'!$H$11:$H$80,'Master P&amp;L'!$B$11:$B$80,Check!O40)))</f>
        <v>-49</v>
      </c>
      <c r="R40" s="217">
        <f t="shared" si="1"/>
        <v>3</v>
      </c>
      <c r="S40" s="361">
        <f t="shared" si="2"/>
        <v>0.93877551020408168</v>
      </c>
      <c r="V40" s="13"/>
    </row>
    <row r="41" spans="1:22">
      <c r="B41" t="s">
        <v>2120</v>
      </c>
      <c r="C41" s="233">
        <f>IF(B41="","",IF(LEN(B41)&gt;9,SUMIFS(Options!$H$3:$H$27,Options!$B$3:$B$27,Check!B41),SUMIFS('Master P&amp;L'!$H$11:$H$80,'Master P&amp;L'!$B$11:$B$80,Check!B41)))</f>
        <v>20</v>
      </c>
      <c r="D41" s="233">
        <f>IF(B41="","",SUMIFS(Input_APM!N:N,Input_APM!L:L,Check!B41,Input_APM!M:M,Check!$F$1))</f>
        <v>19</v>
      </c>
      <c r="E41" s="217">
        <f t="shared" si="5"/>
        <v>0</v>
      </c>
      <c r="F41" s="233">
        <f>IF(B41="","",SUMIFS(Input_APM!N:N,Input_APM!M:M,Check!$F$1,Input_APM!L:L,Check!B41))</f>
        <v>19</v>
      </c>
      <c r="G41" s="233">
        <f>IF(B41="","",SUMIFS(Input_APM!N:N,Input_APM!M:M,Check!$G$1,Input_APM!L:L,Check!B41))</f>
        <v>0</v>
      </c>
      <c r="H41" s="217">
        <f t="shared" si="0"/>
        <v>19</v>
      </c>
      <c r="I41" s="217">
        <f>SUMIFS(Input_APM!N:N,Input_APM!L:L,Check!B41)</f>
        <v>19</v>
      </c>
      <c r="J41" s="219">
        <f t="shared" si="3"/>
        <v>0</v>
      </c>
      <c r="K41" s="22">
        <f>IF(B41="","",SUMIFS('Input_APM (Zenith)'!N:N,'Input_APM (Zenith)'!L:L,Check!B41,'Input_APM (Zenith)'!M:M,Check!$F$1))</f>
        <v>1</v>
      </c>
      <c r="L41" s="22">
        <f>IF(B41="","",SUMIFS('Input_APM (Zenith)'!N:N,'Input_APM (Zenith)'!L:L,Check!B41,'Input_APM (Zenith)'!M:M,Check!$G$1))</f>
        <v>0</v>
      </c>
      <c r="M41" s="240">
        <f t="shared" si="4"/>
        <v>20</v>
      </c>
      <c r="O41" t="s">
        <v>2336</v>
      </c>
      <c r="P41" s="217">
        <f>IF(O41="","",IF(OR(LEFT(O41,4)="Cash",LEFT(O41,4)="Prov"),0,SUMIFS(Input_APM!N:N,Input_APM!L:L,Check!O41)))</f>
        <v>-141</v>
      </c>
      <c r="Q41" s="22">
        <f>IF(O41="","",IF(LEN(O41)&gt;9,SUMIFS(Options!$H$3:$H$27,Options!$B$3:$B$27,Check!O41),SUMIFS('Master P&amp;L'!$H$11:$H$80,'Master P&amp;L'!$B$11:$B$80,Check!O41)))</f>
        <v>-150</v>
      </c>
      <c r="R41" s="217">
        <f t="shared" si="1"/>
        <v>9</v>
      </c>
      <c r="S41" s="361">
        <f t="shared" si="2"/>
        <v>0.94</v>
      </c>
      <c r="V41" s="13"/>
    </row>
    <row r="42" spans="1:22">
      <c r="B42" t="s">
        <v>2106</v>
      </c>
      <c r="C42" s="233">
        <f>IF(B42="","",IF(LEN(B42)&gt;9,SUMIFS(Options!$H$3:$H$27,Options!$B$3:$B$27,Check!B42),SUMIFS('Master P&amp;L'!$H$11:$H$80,'Master P&amp;L'!$B$11:$B$80,Check!B42)))</f>
        <v>200</v>
      </c>
      <c r="D42" s="233">
        <f>IF(B42="","",SUMIFS(Input_APM!N:N,Input_APM!L:L,Check!B42,Input_APM!M:M,Check!$F$1))</f>
        <v>186</v>
      </c>
      <c r="E42" s="219">
        <f t="shared" si="5"/>
        <v>0</v>
      </c>
      <c r="F42" s="233">
        <f>IF(B42="","",SUMIFS(Input_APM!N:N,Input_APM!M:M,Check!$F$1,Input_APM!L:L,Check!B42))</f>
        <v>186</v>
      </c>
      <c r="G42" s="233">
        <f>IF(B42="","",SUMIFS(Input_APM!N:N,Input_APM!M:M,Check!$G$1,Input_APM!L:L,Check!B42))</f>
        <v>0</v>
      </c>
      <c r="H42" s="217">
        <f t="shared" si="0"/>
        <v>186</v>
      </c>
      <c r="I42" s="217">
        <f>SUMIFS(Input_APM!N:N,Input_APM!L:L,Check!B42)</f>
        <v>186</v>
      </c>
      <c r="J42" s="219">
        <f t="shared" si="3"/>
        <v>0</v>
      </c>
      <c r="K42" s="22">
        <f>IF(B42="","",SUMIFS('Input_APM (Zenith)'!N:N,'Input_APM (Zenith)'!L:L,Check!B42,'Input_APM (Zenith)'!M:M,Check!$F$1))</f>
        <v>14</v>
      </c>
      <c r="L42" s="22">
        <f>IF(B42="","",SUMIFS('Input_APM (Zenith)'!N:N,'Input_APM (Zenith)'!L:L,Check!B42,'Input_APM (Zenith)'!M:M,Check!$G$1))</f>
        <v>0</v>
      </c>
      <c r="M42" s="240">
        <f t="shared" si="4"/>
        <v>200</v>
      </c>
      <c r="O42" t="s">
        <v>2107</v>
      </c>
      <c r="P42" s="217">
        <f>IF(O42="","",IF(OR(LEFT(O42,4)="Cash",LEFT(O42,4)="Prov"),0,SUMIFS(Input_APM!N:N,Input_APM!L:L,Check!O42)))</f>
        <v>-188</v>
      </c>
      <c r="Q42" s="22">
        <f>IF(O42="","",IF(LEN(O42)&gt;9,SUMIFS(Options!$H$3:$H$27,Options!$B$3:$B$27,Check!O42),SUMIFS('Master P&amp;L'!$H$11:$H$80,'Master P&amp;L'!$B$11:$B$80,Check!O42)))</f>
        <v>-200</v>
      </c>
      <c r="R42" s="217">
        <f t="shared" si="1"/>
        <v>12</v>
      </c>
      <c r="S42" s="361">
        <f t="shared" si="2"/>
        <v>0.94</v>
      </c>
      <c r="V42" s="13"/>
    </row>
    <row r="43" spans="1:22">
      <c r="A43" t="s">
        <v>1770</v>
      </c>
      <c r="B43" t="s">
        <v>2107</v>
      </c>
      <c r="C43" s="233">
        <f>IF(B43="","",IF(LEN(B43)&gt;9,SUMIFS(Options!$H$3:$H$27,Options!$B$3:$B$27,Check!B43),SUMIFS('Master P&amp;L'!$H$11:$H$80,'Master P&amp;L'!$B$11:$B$80,Check!B43)))</f>
        <v>-200</v>
      </c>
      <c r="D43" s="233">
        <f>IF(B43="","",SUMIFS(Input_APM!N:N,Input_APM!L:L,Check!B43,Input_APM!M:M,Check!$F$1))</f>
        <v>-188</v>
      </c>
      <c r="E43" s="217">
        <f t="shared" si="5"/>
        <v>0</v>
      </c>
      <c r="F43" s="233">
        <f>IF(B43="","",SUMIFS(Input_APM!N:N,Input_APM!M:M,Check!$F$1,Input_APM!L:L,Check!B43))</f>
        <v>-188</v>
      </c>
      <c r="G43" s="233">
        <f>IF(B43="","",SUMIFS(Input_APM!N:N,Input_APM!M:M,Check!$G$1,Input_APM!L:L,Check!B43))</f>
        <v>0</v>
      </c>
      <c r="H43" s="217">
        <f t="shared" si="0"/>
        <v>-188</v>
      </c>
      <c r="I43" s="217">
        <f>SUMIFS(Input_APM!N:N,Input_APM!L:L,Check!B43)</f>
        <v>-188</v>
      </c>
      <c r="J43" s="219">
        <f t="shared" si="3"/>
        <v>0</v>
      </c>
      <c r="K43" s="22">
        <f>IF(B43="","",SUMIFS('Input_APM (Zenith)'!N:N,'Input_APM (Zenith)'!L:L,Check!B43,'Input_APM (Zenith)'!M:M,Check!$F$1))</f>
        <v>-12</v>
      </c>
      <c r="L43" s="22">
        <f>IF(B43="","",SUMIFS('Input_APM (Zenith)'!N:N,'Input_APM (Zenith)'!L:L,Check!B43,'Input_APM (Zenith)'!M:M,Check!$G$1))</f>
        <v>0</v>
      </c>
      <c r="M43" s="217">
        <f t="shared" si="4"/>
        <v>-200</v>
      </c>
      <c r="O43" t="s">
        <v>2067</v>
      </c>
      <c r="P43" s="217">
        <f>IF(O43="","",IF(OR(LEFT(O43,4)="Cash",LEFT(O43,4)="Prov"),0,SUMIFS(Input_APM!N:N,Input_APM!L:L,Check!O43)))</f>
        <v>141</v>
      </c>
      <c r="Q43" s="22">
        <f>IF(O43="","",IF(LEN(O43)&gt;9,SUMIFS(Options!$H$3:$H$27,Options!$B$3:$B$27,Check!O43),SUMIFS('Master P&amp;L'!$H$11:$H$80,'Master P&amp;L'!$B$11:$B$80,Check!O43)))</f>
        <v>150</v>
      </c>
      <c r="R43" s="217">
        <f t="shared" si="1"/>
        <v>-9</v>
      </c>
      <c r="S43" s="361">
        <f t="shared" si="2"/>
        <v>0.94</v>
      </c>
      <c r="V43" s="13"/>
    </row>
    <row r="44" spans="1:22">
      <c r="B44" t="s">
        <v>2067</v>
      </c>
      <c r="C44" s="233">
        <f>IF(B44="","",IF(LEN(B44)&gt;9,SUMIFS(Options!$H$3:$H$27,Options!$B$3:$B$27,Check!B44),SUMIFS('Master P&amp;L'!$H$11:$H$80,'Master P&amp;L'!$B$11:$B$80,Check!B44)))</f>
        <v>150</v>
      </c>
      <c r="D44" s="233">
        <f>IF(B44="","",SUMIFS(Input_APM!N:N,Input_APM!L:L,Check!B44,Input_APM!M:M,Check!$F$1))</f>
        <v>141</v>
      </c>
      <c r="E44" s="217">
        <f>IF(B44="","",C44-M44)</f>
        <v>0</v>
      </c>
      <c r="F44" s="233">
        <f>IF(B44="","",SUMIFS(Input_APM!N:N,Input_APM!M:M,Check!$F$1,Input_APM!L:L,Check!B44))</f>
        <v>141</v>
      </c>
      <c r="G44" s="233">
        <f>IF(B44="","",SUMIFS(Input_APM!N:N,Input_APM!M:M,Check!$G$1,Input_APM!L:L,Check!B44))</f>
        <v>0</v>
      </c>
      <c r="H44" s="217">
        <f t="shared" si="0"/>
        <v>141</v>
      </c>
      <c r="I44" s="217">
        <f>SUMIFS(Input_APM!N:N,Input_APM!L:L,Check!B44)</f>
        <v>141</v>
      </c>
      <c r="J44" s="219">
        <f t="shared" si="3"/>
        <v>0</v>
      </c>
      <c r="K44" s="22">
        <f>IF(B44="","",SUMIFS('Input_APM (Zenith)'!N:N,'Input_APM (Zenith)'!L:L,Check!B44,'Input_APM (Zenith)'!M:M,Check!$F$1))</f>
        <v>9</v>
      </c>
      <c r="L44" s="22">
        <f>IF(B44="","",SUMIFS('Input_APM (Zenith)'!N:N,'Input_APM (Zenith)'!L:L,Check!B44,'Input_APM (Zenith)'!M:M,Check!$G$1))</f>
        <v>0</v>
      </c>
      <c r="M44" s="217">
        <f t="shared" si="4"/>
        <v>150</v>
      </c>
      <c r="O44" t="s">
        <v>2106</v>
      </c>
      <c r="P44" s="217">
        <f>IF(O44="","",IF(OR(LEFT(O44,4)="Cash",LEFT(O44,4)="Prov"),0,SUMIFS(Input_APM!N:N,Input_APM!L:L,Check!O44)))</f>
        <v>186</v>
      </c>
      <c r="Q44" s="22">
        <f>IF(O44="","",IF(LEN(O44)&gt;9,SUMIFS(Options!$H$3:$H$27,Options!$B$3:$B$27,Check!O44),SUMIFS('Master P&amp;L'!$H$11:$H$80,'Master P&amp;L'!$B$11:$B$80,Check!O44)))</f>
        <v>200</v>
      </c>
      <c r="R44" s="217">
        <f t="shared" si="1"/>
        <v>-14</v>
      </c>
      <c r="S44" s="361">
        <f t="shared" si="2"/>
        <v>0.93</v>
      </c>
      <c r="V44" s="13"/>
    </row>
    <row r="45" spans="1:22">
      <c r="B45" t="s">
        <v>2336</v>
      </c>
      <c r="C45" s="233">
        <f>IF(B45="","",IF(LEN(B45)&gt;9,SUMIFS(Options!$H$3:$H$27,Options!$B$3:$B$27,Check!B45),SUMIFS('Master P&amp;L'!$H$11:$H$80,'Master P&amp;L'!$B$11:$B$80,Check!B45)))</f>
        <v>-150</v>
      </c>
      <c r="D45" s="233">
        <f>IF(B45="","",SUMIFS(Input_APM!N:N,Input_APM!L:L,Check!B45,Input_APM!M:M,Check!$F$1))</f>
        <v>-141</v>
      </c>
      <c r="E45" s="217">
        <f t="shared" si="5"/>
        <v>0</v>
      </c>
      <c r="F45" s="233">
        <f>IF(B45="","",SUMIFS(Input_APM!N:N,Input_APM!M:M,Check!$F$1,Input_APM!L:L,Check!B45))</f>
        <v>-141</v>
      </c>
      <c r="G45" s="233">
        <f>IF(B45="","",SUMIFS(Input_APM!N:N,Input_APM!M:M,Check!$G$1,Input_APM!L:L,Check!B45))</f>
        <v>0</v>
      </c>
      <c r="H45" s="217">
        <f t="shared" si="0"/>
        <v>-141</v>
      </c>
      <c r="I45" s="217">
        <f>SUMIFS(Input_APM!N:N,Input_APM!L:L,Check!B45)</f>
        <v>-141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-150</v>
      </c>
      <c r="O45" t="s">
        <v>90</v>
      </c>
      <c r="P45" s="217">
        <f>IF(O45="","",IF(OR(LEFT(O45,4)="Cash",LEFT(O45,4)="Prov"),0,SUMIFS(Input_APM!N:N,Input_APM!L:L,Check!O45)))</f>
        <v>3270</v>
      </c>
      <c r="Q45" s="22">
        <f>IF(O45="","",IF(LEN(O45)&gt;9,SUMIFS(Options!$H$3:$H$27,Options!$B$3:$B$27,Check!O45),SUMIFS('Master P&amp;L'!$H$11:$H$80,'Master P&amp;L'!$B$11:$B$80,Check!O45)))</f>
        <v>3500</v>
      </c>
      <c r="R45" s="217">
        <f t="shared" si="1"/>
        <v>-230</v>
      </c>
      <c r="S45" s="361">
        <f t="shared" si="2"/>
        <v>0.93428571428571427</v>
      </c>
      <c r="V45" s="13"/>
    </row>
    <row r="46" spans="1:22">
      <c r="B46" t="s">
        <v>2058</v>
      </c>
      <c r="C46" s="233">
        <f>IF(B46="","",IF(LEN(B46)&gt;9,SUMIFS(Options!$H$3:$H$27,Options!$B$3:$B$27,Check!B46),SUMIFS('Master P&amp;L'!$H$11:$H$80,'Master P&amp;L'!$B$11:$B$80,Check!B46)))</f>
        <v>-50</v>
      </c>
      <c r="D46" s="233">
        <f>IF(B46="","",SUMIFS(Input_APM!N:N,Input_APM!L:L,Check!B46,Input_APM!M:M,Check!$F$1))</f>
        <v>-46</v>
      </c>
      <c r="E46" s="219">
        <f t="shared" si="5"/>
        <v>0</v>
      </c>
      <c r="F46" s="233">
        <f>IF(B46="","",SUMIFS(Input_APM!N:N,Input_APM!M:M,Check!$F$1,Input_APM!L:L,Check!B46))</f>
        <v>-46</v>
      </c>
      <c r="G46" s="233">
        <f>IF(B46="","",SUMIFS(Input_APM!N:N,Input_APM!M:M,Check!$G$1,Input_APM!L:L,Check!B46))</f>
        <v>0</v>
      </c>
      <c r="H46" s="217">
        <f t="shared" si="0"/>
        <v>-46</v>
      </c>
      <c r="I46" s="217">
        <f>SUMIFS(Input_APM!N:N,Input_APM!L:L,Check!B46)</f>
        <v>-46</v>
      </c>
      <c r="J46" s="219">
        <f t="shared" si="3"/>
        <v>0</v>
      </c>
      <c r="K46" s="22">
        <f>IF(B46="","",SUMIFS('Input_APM (Zenith)'!N:N,'Input_APM (Zenith)'!L:L,Check!B46,'Input_APM (Zenith)'!M:M,Check!$F$1))</f>
        <v>-4</v>
      </c>
      <c r="L46" s="22">
        <f>IF(B46="","",SUMIFS('Input_APM (Zenith)'!N:N,'Input_APM (Zenith)'!L:L,Check!B46,'Input_APM (Zenith)'!M:M,Check!$G$1))</f>
        <v>0</v>
      </c>
      <c r="M46" s="217">
        <f t="shared" si="4"/>
        <v>-50</v>
      </c>
      <c r="O46" t="s">
        <v>2057</v>
      </c>
      <c r="P46" s="217">
        <f>IF(O46="","",IF(OR(LEFT(O46,4)="Cash",LEFT(O46,4)="Prov"),0,SUMIFS(Input_APM!N:N,Input_APM!L:L,Check!O46)))</f>
        <v>0</v>
      </c>
      <c r="Q46" s="22">
        <f>IF(O46="","",IF(LEN(O46)&gt;9,SUMIFS(Options!$H$3:$H$27,Options!$B$3:$B$27,Check!O46),SUMIFS('Master P&amp;L'!$H$11:$H$80,'Master P&amp;L'!$B$11:$B$80,Check!O46)))</f>
        <v>0</v>
      </c>
      <c r="R46" s="217">
        <f t="shared" si="1"/>
        <v>0</v>
      </c>
      <c r="S46" s="361" t="str">
        <f t="shared" si="2"/>
        <v>Ok</v>
      </c>
      <c r="V46" s="13"/>
    </row>
    <row r="47" spans="1:22">
      <c r="B47" t="s">
        <v>2333</v>
      </c>
      <c r="C47" s="233">
        <f>IF(B47="","",IF(LEN(B47)&gt;9,SUMIFS(Options!$H$3:$H$27,Options!$B$3:$B$27,Check!B47),SUMIFS('Master P&amp;L'!$H$11:$H$80,'Master P&amp;L'!$B$11:$B$80,Check!B47)))</f>
        <v>10</v>
      </c>
      <c r="D47" s="233">
        <f>IF(B47="","",SUMIFS(Input_APM!N:N,Input_APM!L:L,Check!B47,Input_APM!M:M,Check!$F$1))</f>
        <v>9</v>
      </c>
      <c r="E47" s="219">
        <f t="shared" si="5"/>
        <v>0</v>
      </c>
      <c r="F47" s="233">
        <f>IF(B47="","",SUMIFS(Input_APM!N:N,Input_APM!M:M,Check!$F$1,Input_APM!L:L,Check!B47))</f>
        <v>9</v>
      </c>
      <c r="G47" s="233">
        <f>IF(B47="","",SUMIFS(Input_APM!N:N,Input_APM!M:M,Check!$G$1,Input_APM!L:L,Check!B47))</f>
        <v>0</v>
      </c>
      <c r="H47" s="217">
        <f t="shared" si="0"/>
        <v>9</v>
      </c>
      <c r="I47" s="217">
        <f>SUMIFS(Input_APM!N:N,Input_APM!L:L,Check!B47)</f>
        <v>9</v>
      </c>
      <c r="J47" s="219">
        <f t="shared" si="3"/>
        <v>0</v>
      </c>
      <c r="K47" s="22">
        <f>IF(B47="","",SUMIFS('Input_APM (Zenith)'!N:N,'Input_APM (Zenith)'!L:L,Check!B47,'Input_APM (Zenith)'!M:M,Check!$F$1))</f>
        <v>1</v>
      </c>
      <c r="L47" s="22">
        <f>IF(B47="","",SUMIFS('Input_APM (Zenith)'!N:N,'Input_APM (Zenith)'!L:L,Check!B47,'Input_APM (Zenith)'!M:M,Check!$G$1))</f>
        <v>0</v>
      </c>
      <c r="M47" s="217">
        <f t="shared" si="4"/>
        <v>10</v>
      </c>
      <c r="O47" t="s">
        <v>2058</v>
      </c>
      <c r="P47" s="217">
        <f>IF(O47="","",IF(OR(LEFT(O47,4)="Cash",LEFT(O47,4)="Prov"),0,SUMIFS(Input_APM!N:N,Input_APM!L:L,Check!O47)))</f>
        <v>-46</v>
      </c>
      <c r="Q47" s="22">
        <f>IF(O47="","",IF(LEN(O47)&gt;9,SUMIFS(Options!$H$3:$H$27,Options!$B$3:$B$27,Check!O47),SUMIFS('Master P&amp;L'!$H$11:$H$80,'Master P&amp;L'!$B$11:$B$80,Check!O47)))</f>
        <v>-50</v>
      </c>
      <c r="R47" s="217">
        <f t="shared" si="1"/>
        <v>4</v>
      </c>
      <c r="S47" s="361">
        <f t="shared" si="2"/>
        <v>0.92</v>
      </c>
    </row>
    <row r="48" spans="1:22">
      <c r="B48" t="s">
        <v>2351</v>
      </c>
      <c r="C48" s="233">
        <f>IF(B48="","",IF(LEN(B48)&gt;9,SUMIFS(Options!$H$3:$H$27,Options!$B$3:$B$27,Check!B48),SUMIFS('Master P&amp;L'!$H$11:$H$80,'Master P&amp;L'!$B$11:$B$80,Check!B48)))</f>
        <v>15</v>
      </c>
      <c r="D48" s="233">
        <f>IF(B48="","",SUMIFS(Input_APM!N:N,Input_APM!L:L,Check!B48,Input_APM!M:M,Check!$F$1))</f>
        <v>0</v>
      </c>
      <c r="E48" s="219">
        <f t="shared" si="5"/>
        <v>15</v>
      </c>
      <c r="F48" s="233">
        <f>IF(B48="","",SUMIFS(Input_APM!N:N,Input_APM!M:M,Check!$F$1,Input_APM!L:L,Check!B48))</f>
        <v>0</v>
      </c>
      <c r="G48" s="233">
        <f>IF(B48="","",SUMIFS(Input_APM!N:N,Input_APM!M:M,Check!$G$1,Input_APM!L:L,Check!B48))</f>
        <v>0</v>
      </c>
      <c r="H48" s="217">
        <f t="shared" si="0"/>
        <v>0</v>
      </c>
      <c r="I48" s="217">
        <f>SUMIFS(Input_APM!N:N,Input_APM!L:L,Check!B48)</f>
        <v>0</v>
      </c>
      <c r="J48" s="219">
        <f t="shared" si="3"/>
        <v>0</v>
      </c>
      <c r="K48" s="22">
        <f>IF(B48="","",SUMIFS('Input_APM (Zenith)'!N:N,'Input_APM (Zenith)'!L:L,Check!B48,'Input_APM (Zenith)'!M:M,Check!$F$1))</f>
        <v>0</v>
      </c>
      <c r="L48" s="22">
        <f>IF(B48="","",SUMIFS('Input_APM (Zenith)'!N:N,'Input_APM (Zenith)'!L:L,Check!B48,'Input_APM (Zenith)'!M:M,Check!$G$1))</f>
        <v>0</v>
      </c>
      <c r="M48" s="217">
        <f t="shared" si="4"/>
        <v>0</v>
      </c>
      <c r="O48" t="s">
        <v>94</v>
      </c>
      <c r="P48" s="217">
        <f>IF(O48="","",IF(OR(LEFT(O48,4)="Cash",LEFT(O48,4)="Prov"),0,SUMIFS(Input_APM!N:N,Input_APM!L:L,Check!O48)))</f>
        <v>21522</v>
      </c>
      <c r="Q48" s="22">
        <f>IF(O48="","",IF(LEN(O48)&gt;9,SUMIFS(Options!$H$3:$H$27,Options!$B$3:$B$27,Check!O48),SUMIFS('Master P&amp;L'!$H$11:$H$80,'Master P&amp;L'!$B$11:$B$80,Check!O48)))</f>
        <v>24508</v>
      </c>
      <c r="R48" s="217">
        <f t="shared" si="1"/>
        <v>-2986</v>
      </c>
      <c r="S48" s="361">
        <f t="shared" si="2"/>
        <v>0.87816223274032967</v>
      </c>
    </row>
    <row r="49" spans="1:19">
      <c r="B49" t="s">
        <v>2261</v>
      </c>
      <c r="C49" s="233">
        <f>IF(B49="","",IF(LEN(B49)&gt;9,SUMIFS(Options!$H$3:$H$27,Options!$B$3:$B$27,Check!B49),SUMIFS('Master P&amp;L'!$H$11:$H$80,'Master P&amp;L'!$B$11:$B$80,Check!B49)))</f>
        <v>1250</v>
      </c>
      <c r="D49" s="233">
        <f>IF(B49="","",SUMIFS(Input_APM!N:N,Input_APM!L:L,Check!B49,Input_APM!M:M,Check!$F$1))</f>
        <v>1172</v>
      </c>
      <c r="E49" s="219">
        <f t="shared" si="5"/>
        <v>0</v>
      </c>
      <c r="F49" s="233">
        <f>IF(B49="","",SUMIFS(Input_APM!N:N,Input_APM!M:M,Check!$F$1,Input_APM!L:L,Check!B49))</f>
        <v>1172</v>
      </c>
      <c r="G49" s="233">
        <f>IF(B49="","",SUMIFS(Input_APM!N:N,Input_APM!M:M,Check!$G$1,Input_APM!L:L,Check!B49))</f>
        <v>0</v>
      </c>
      <c r="H49" s="217">
        <f t="shared" si="0"/>
        <v>1172</v>
      </c>
      <c r="I49" s="217">
        <f>SUMIFS(Input_APM!N:N,Input_APM!L:L,Check!B49)</f>
        <v>1172</v>
      </c>
      <c r="J49" s="219">
        <f t="shared" si="3"/>
        <v>0</v>
      </c>
      <c r="K49" s="22">
        <f>IF(B49="","",SUMIFS('Input_APM (Zenith)'!N:N,'Input_APM (Zenith)'!L:L,Check!B49,'Input_APM (Zenith)'!M:M,Check!$F$1))</f>
        <v>78</v>
      </c>
      <c r="L49" s="22">
        <f>IF(B49="","",SUMIFS('Input_APM (Zenith)'!N:N,'Input_APM (Zenith)'!L:L,Check!B49,'Input_APM (Zenith)'!M:M,Check!$G$1))</f>
        <v>0</v>
      </c>
      <c r="M49" s="217">
        <f t="shared" si="4"/>
        <v>1250</v>
      </c>
      <c r="O49" t="s">
        <v>2361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IF(O49="","",IF(LEN(O49)&gt;9,SUMIFS(Options!$H$3:$H$27,Options!$B$3:$B$27,Check!O49),SUMIFS('Master P&amp;L'!$H$11:$H$80,'Master P&amp;L'!$B$11:$B$80,Check!O49)))</f>
        <v>0</v>
      </c>
      <c r="R49" s="217">
        <f t="shared" si="1"/>
        <v>0</v>
      </c>
      <c r="S49" s="361" t="str">
        <f t="shared" si="2"/>
        <v>Ok</v>
      </c>
    </row>
    <row r="50" spans="1:19">
      <c r="A50" t="s">
        <v>1770</v>
      </c>
      <c r="B50" t="s">
        <v>2262</v>
      </c>
      <c r="C50" s="233">
        <f>IF(B50="","",IF(LEN(B50)&gt;9,SUMIFS(Options!$H$3:$H$27,Options!$B$3:$B$27,Check!B50),SUMIFS('Master P&amp;L'!$H$11:$H$80,'Master P&amp;L'!$B$11:$B$80,Check!B50)))</f>
        <v>-1200</v>
      </c>
      <c r="D50" s="233">
        <f>IF(B50="","",SUMIFS(Input_APM!N:N,Input_APM!L:L,Check!B50,Input_APM!M:M,Check!$F$1))</f>
        <v>-1125</v>
      </c>
      <c r="E50" s="219">
        <f t="shared" si="5"/>
        <v>0</v>
      </c>
      <c r="F50" s="233">
        <f>IF(B50="","",SUMIFS(Input_APM!N:N,Input_APM!M:M,Check!$F$1,Input_APM!L:L,Check!B50))</f>
        <v>-1125</v>
      </c>
      <c r="G50" s="233">
        <f>IF(B50="","",SUMIFS(Input_APM!N:N,Input_APM!M:M,Check!$G$1,Input_APM!L:L,Check!B50))</f>
        <v>0</v>
      </c>
      <c r="H50" s="217">
        <f t="shared" si="0"/>
        <v>-1125</v>
      </c>
      <c r="I50" s="217">
        <f>SUMIFS(Input_APM!N:N,Input_APM!L:L,Check!B50)</f>
        <v>-1125</v>
      </c>
      <c r="J50" s="219">
        <f t="shared" si="3"/>
        <v>0</v>
      </c>
      <c r="K50" s="22">
        <f>IF(B50="","",SUMIFS('Input_APM (Zenith)'!N:N,'Input_APM (Zenith)'!L:L,Check!B50,'Input_APM (Zenith)'!M:M,Check!$F$1))</f>
        <v>-75</v>
      </c>
      <c r="L50" s="22">
        <f>IF(B50="","",SUMIFS('Input_APM (Zenith)'!N:N,'Input_APM (Zenith)'!L:L,Check!B50,'Input_APM (Zenith)'!M:M,Check!$G$1))</f>
        <v>0</v>
      </c>
      <c r="M50" s="217">
        <f t="shared" si="4"/>
        <v>-1200</v>
      </c>
      <c r="O50" t="s">
        <v>336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IF(O50="","",IF(LEN(O50)&gt;9,SUMIFS(Options!$H$3:$H$27,Options!$B$3:$B$27,Check!O50),SUMIFS('Master P&amp;L'!$H$11:$H$80,'Master P&amp;L'!$B$11:$B$80,Check!O50)))</f>
        <v>0</v>
      </c>
      <c r="R50" s="217">
        <f t="shared" si="1"/>
        <v>0</v>
      </c>
      <c r="S50" s="361" t="str">
        <f t="shared" si="2"/>
        <v>Ok</v>
      </c>
    </row>
    <row r="51" spans="1:19">
      <c r="B51" t="s">
        <v>2108</v>
      </c>
      <c r="C51" s="233">
        <f>IF(B51="","",IF(LEN(B51)&gt;9,SUMIFS(Options!$H$3:$H$27,Options!$B$3:$B$27,Check!B51),SUMIFS('Master P&amp;L'!$H$11:$H$80,'Master P&amp;L'!$B$11:$B$80,Check!B51)))</f>
        <v>50</v>
      </c>
      <c r="D51" s="233">
        <f>IF(B51="","",SUMIFS(Input_APM!N:N,Input_APM!L:L,Check!B51,Input_APM!M:M,Check!$F$1))</f>
        <v>45</v>
      </c>
      <c r="E51" s="219">
        <f t="shared" si="5"/>
        <v>0</v>
      </c>
      <c r="F51" s="233">
        <f>IF(B51="","",SUMIFS(Input_APM!N:N,Input_APM!M:M,Check!$F$1,Input_APM!L:L,Check!B51))</f>
        <v>45</v>
      </c>
      <c r="G51" s="233">
        <f>IF(B51="","",SUMIFS(Input_APM!N:N,Input_APM!M:M,Check!$G$1,Input_APM!L:L,Check!B51))</f>
        <v>0</v>
      </c>
      <c r="H51" s="217">
        <f t="shared" si="0"/>
        <v>45</v>
      </c>
      <c r="I51" s="217">
        <f>SUMIFS(Input_APM!N:N,Input_APM!L:L,Check!B51)</f>
        <v>45</v>
      </c>
      <c r="J51" s="219">
        <f t="shared" si="3"/>
        <v>0</v>
      </c>
      <c r="K51" s="22">
        <f>IF(B51="","",SUMIFS('Input_APM (Zenith)'!N:N,'Input_APM (Zenith)'!L:L,Check!B51,'Input_APM (Zenith)'!M:M,Check!$F$1))</f>
        <v>5</v>
      </c>
      <c r="L51" s="22">
        <f>IF(B51="","",SUMIFS('Input_APM (Zenith)'!N:N,'Input_APM (Zenith)'!L:L,Check!B51,'Input_APM (Zenith)'!M:M,Check!$G$1))</f>
        <v>0</v>
      </c>
      <c r="M51" s="217">
        <f t="shared" si="4"/>
        <v>50</v>
      </c>
      <c r="O51" t="s">
        <v>306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IF(O51="","",IF(LEN(O51)&gt;9,SUMIFS(Options!$H$3:$H$27,Options!$B$3:$B$27,Check!O51),SUMIFS('Master P&amp;L'!$H$11:$H$80,'Master P&amp;L'!$B$11:$B$80,Check!O51)))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IF(B52="","",IF(LEN(B52)&gt;9,SUMIFS(Options!$H$3:$H$27,Options!$B$3:$B$27,Check!B52),SUMIFS('Master P&amp;L'!$H$11:$H$80,'Master P&amp;L'!$B$11:$B$80,Check!B52)))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2330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IF(O52="","",IF(LEN(O52)&gt;9,SUMIFS(Options!$H$3:$H$27,Options!$B$3:$B$27,Check!O52),SUMIFS('Master P&amp;L'!$H$11:$H$80,'Master P&amp;L'!$B$11:$B$80,Check!O52)))</f>
        <v>0</v>
      </c>
      <c r="R52" s="217">
        <f t="shared" si="1"/>
        <v>0</v>
      </c>
      <c r="S52" s="361" t="str">
        <f t="shared" si="2"/>
        <v>Ok</v>
      </c>
    </row>
    <row r="53" spans="1:19">
      <c r="B53"/>
      <c r="C53" s="233" t="str">
        <f>IF(B53="","",IF(LEN(B53)&gt;9,SUMIFS(Options!$H$3:$H$27,Options!$B$3:$B$27,Check!B53),SUMIFS('Master P&amp;L'!$H$11:$H$80,'Master P&amp;L'!$B$11:$B$80,Check!B53)))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1666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IF(O53="","",IF(LEN(O53)&gt;9,SUMIFS(Options!$H$3:$H$27,Options!$B$3:$B$27,Check!O53),SUMIFS('Master P&amp;L'!$H$11:$H$80,'Master P&amp;L'!$B$11:$B$80,Check!O53)))</f>
        <v>0</v>
      </c>
      <c r="R53" s="217">
        <f t="shared" si="1"/>
        <v>0</v>
      </c>
      <c r="S53" s="361" t="str">
        <f t="shared" si="2"/>
        <v>Ok</v>
      </c>
    </row>
    <row r="54" spans="1:19">
      <c r="B54"/>
      <c r="C54" s="233" t="str">
        <f>IF(B54="","",IF(LEN(B54)&gt;9,SUMIFS(Options!$H$3:$H$27,Options!$B$3:$B$27,Check!B54),SUMIFS('Master P&amp;L'!$H$11:$H$80,'Master P&amp;L'!$B$11:$B$80,Check!B54)))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2331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IF(O54="","",IF(LEN(O54)&gt;9,SUMIFS(Options!$H$3:$H$27,Options!$B$3:$B$27,Check!O54),SUMIFS('Master P&amp;L'!$H$11:$H$80,'Master P&amp;L'!$B$11:$B$80,Check!O54)))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IF(B55="","",IF(LEN(B55)&gt;9,SUMIFS(Options!$H$3:$H$27,Options!$B$3:$B$27,Check!B55),SUMIFS('Master P&amp;L'!$H$11:$H$80,'Master P&amp;L'!$B$11:$B$80,Check!B55)))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337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IF(O55="","",IF(LEN(O55)&gt;9,SUMIFS(Options!$H$3:$H$27,Options!$B$3:$B$27,Check!O55),SUMIFS('Master P&amp;L'!$H$11:$H$80,'Master P&amp;L'!$B$11:$B$80,Check!O55)))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IF(B56="","",IF(LEN(B56)&gt;9,SUMIFS(Options!$H$3:$H$27,Options!$B$3:$B$27,Check!B56),SUMIFS('Master P&amp;L'!$H$11:$H$80,'Master P&amp;L'!$B$11:$B$80,Check!B56)))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307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IF(O56="","",IF(LEN(O56)&gt;9,SUMIFS(Options!$H$3:$H$27,Options!$B$3:$B$27,Check!O56),SUMIFS('Master P&amp;L'!$H$11:$H$80,'Master P&amp;L'!$B$11:$B$80,Check!O56)))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IF(B57="","",IF(LEN(B57)&gt;9,SUMIFS(Options!$H$3:$H$27,Options!$B$3:$B$27,Check!B57),SUMIFS('Master P&amp;L'!$H$11:$H$80,'Master P&amp;L'!$B$11:$B$80,Check!B57)))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2146</v>
      </c>
      <c r="P57" s="217">
        <f>IF(O57="","",IF(OR(LEFT(O57,4)="Cash",LEFT(O57,4)="Prov"),0,SUMIFS(Input_APM!N:N,Input_APM!L:L,Check!O57)))</f>
        <v>22528</v>
      </c>
      <c r="Q57" s="22">
        <f>IF(O57="","",IF(LEN(O57)&gt;9,SUMIFS(Options!$H$3:$H$27,Options!$B$3:$B$27,Check!O57),SUMIFS('Master P&amp;L'!$H$11:$H$80,'Master P&amp;L'!$B$11:$B$80,Check!O57)))</f>
        <v>24092</v>
      </c>
      <c r="R57" s="217">
        <f t="shared" si="1"/>
        <v>-1564</v>
      </c>
      <c r="S57" s="361">
        <f t="shared" si="2"/>
        <v>0.93508218495766227</v>
      </c>
    </row>
    <row r="58" spans="1:19">
      <c r="B58"/>
      <c r="C58" s="233" t="str">
        <f>IF(B58="","",IF(LEN(B58)&gt;9,SUMIFS(Options!$H$3:$H$27,Options!$B$3:$B$27,Check!B58),SUMIFS('Master P&amp;L'!$H$11:$H$80,'Master P&amp;L'!$B$11:$B$80,Check!B58)))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2333</v>
      </c>
      <c r="P58" s="217">
        <f>IF(O58="","",IF(OR(LEFT(O58,4)="Cash",LEFT(O58,4)="Prov"),0,SUMIFS(Input_APM!N:N,Input_APM!L:L,Check!O58)))</f>
        <v>9</v>
      </c>
      <c r="Q58" s="22">
        <f>IF(O58="","",IF(LEN(O58)&gt;9,SUMIFS(Options!$H$3:$H$27,Options!$B$3:$B$27,Check!O58),SUMIFS('Master P&amp;L'!$H$11:$H$80,'Master P&amp;L'!$B$11:$B$80,Check!O58)))</f>
        <v>10</v>
      </c>
      <c r="R58" s="217">
        <f t="shared" si="1"/>
        <v>-1</v>
      </c>
      <c r="S58" s="361">
        <f t="shared" si="2"/>
        <v>0.9</v>
      </c>
    </row>
    <row r="59" spans="1:19">
      <c r="B59"/>
      <c r="C59" s="233" t="str">
        <f>IF(B59="","",IF(LEN(B59)&gt;9,SUMIFS(Options!$H$3:$H$27,Options!$B$3:$B$27,Check!B59),SUMIFS('Master P&amp;L'!$H$11:$H$80,'Master P&amp;L'!$B$11:$B$80,Check!B59)))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2138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IF(O59="","",IF(LEN(O59)&gt;9,SUMIFS(Options!$H$3:$H$27,Options!$B$3:$B$27,Check!O59),SUMIFS('Master P&amp;L'!$H$11:$H$80,'Master P&amp;L'!$B$11:$B$80,Check!O59)))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IF(B60="","",IF(LEN(B60)&gt;9,SUMIFS(Options!$H$3:$H$27,Options!$B$3:$B$27,Check!B60),SUMIFS('Master P&amp;L'!$H$11:$H$80,'Master P&amp;L'!$B$11:$B$80,Check!B60)))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2362</v>
      </c>
      <c r="P60" s="217">
        <f>IF(O60="","",IF(OR(LEFT(O60,4)="Cash",LEFT(O60,4)="Prov"),0,SUMIFS(Input_APM!N:N,Input_APM!L:L,Check!O60)))</f>
        <v>843</v>
      </c>
      <c r="Q60" s="22">
        <f>IF(O60="","",IF(LEN(O60)&gt;9,SUMIFS(Options!$H$3:$H$27,Options!$B$3:$B$27,Check!O60),SUMIFS('Master P&amp;L'!$H$11:$H$80,'Master P&amp;L'!$B$11:$B$80,Check!O60)))</f>
        <v>0</v>
      </c>
      <c r="R60" s="217">
        <f t="shared" si="1"/>
        <v>843</v>
      </c>
      <c r="S60" s="361" t="str">
        <f t="shared" si="2"/>
        <v>Erro</v>
      </c>
    </row>
    <row r="61" spans="1:19">
      <c r="B61"/>
      <c r="C61" s="233" t="str">
        <f>IF(B61="","",IF(LEN(B61)&gt;9,SUMIFS(Options!$H$3:$H$27,Options!$B$3:$B$27,Check!B61),SUMIFS('Master P&amp;L'!$H$11:$H$80,'Master P&amp;L'!$B$11:$B$80,Check!B61)))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1761</v>
      </c>
      <c r="P61" s="217">
        <f>IF(O61="","",IF(OR(LEFT(O61,4)="Cash",LEFT(O61,4)="Prov"),0,SUMIFS(Input_APM!N:N,Input_APM!L:L,Check!O61)))</f>
        <v>1400</v>
      </c>
      <c r="Q61" s="22">
        <f>IF(O61="","",IF(LEN(O61)&gt;9,SUMIFS(Options!$H$3:$H$27,Options!$B$3:$B$27,Check!O61),SUMIFS('Master P&amp;L'!$H$11:$H$80,'Master P&amp;L'!$B$11:$B$80,Check!O61)))</f>
        <v>0</v>
      </c>
      <c r="R61" s="217">
        <f t="shared" si="1"/>
        <v>1400</v>
      </c>
      <c r="S61" s="361" t="str">
        <f t="shared" si="2"/>
        <v>Erro</v>
      </c>
    </row>
    <row r="62" spans="1:19">
      <c r="B62"/>
      <c r="C62" s="233" t="str">
        <f>IF(B62="","",IF(LEN(B62)&gt;9,SUMIFS(Options!$H$3:$H$27,Options!$B$3:$B$27,Check!B62),SUMIFS('Master P&amp;L'!$H$11:$H$80,'Master P&amp;L'!$B$11:$B$80,Check!B62)))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2316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IF(O62="","",IF(LEN(O62)&gt;9,SUMIFS(Options!$H$3:$H$27,Options!$B$3:$B$27,Check!O62),SUMIFS('Master P&amp;L'!$H$11:$H$80,'Master P&amp;L'!$B$11:$B$80,Check!O62)))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IF(B63="","",IF(LEN(B63)&gt;9,SUMIFS(Options!$H$3:$H$27,Options!$B$3:$B$27,Check!B63),SUMIFS('Master P&amp;L'!$H$11:$H$80,'Master P&amp;L'!$B$11:$B$80,Check!B63)))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8871</v>
      </c>
      <c r="Q63" s="22">
        <f>IF(O63="","",IF(LEN(O63)&gt;9,SUMIFS(Options!$H$3:$H$27,Options!$B$3:$B$27,Check!O63),SUMIFS('Master P&amp;L'!$H$11:$H$80,'Master P&amp;L'!$B$11:$B$80,Check!O63)))</f>
        <v>9500</v>
      </c>
      <c r="R63" s="217">
        <f t="shared" si="1"/>
        <v>-629</v>
      </c>
      <c r="S63" s="361">
        <f t="shared" si="2"/>
        <v>0.9337894736842105</v>
      </c>
    </row>
    <row r="64" spans="1:19">
      <c r="B64"/>
      <c r="C64" s="233" t="str">
        <f>IF(B64="","",IF(LEN(B64)&gt;9,SUMIFS(Options!$H$3:$H$27,Options!$B$3:$B$27,Check!B64),SUMIFS('Master P&amp;L'!$H$11:$H$80,'Master P&amp;L'!$B$11:$B$80,Check!B64)))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2108</v>
      </c>
      <c r="P64" s="217">
        <f>IF(O64="","",IF(OR(LEFT(O64,4)="Cash",LEFT(O64,4)="Prov"),0,SUMIFS(Input_APM!N:N,Input_APM!L:L,Check!O64)))</f>
        <v>45</v>
      </c>
      <c r="Q64" s="22">
        <f>IF(O64="","",IF(LEN(O64)&gt;9,SUMIFS(Options!$H$3:$H$27,Options!$B$3:$B$27,Check!O64),SUMIFS('Master P&amp;L'!$H$11:$H$80,'Master P&amp;L'!$B$11:$B$80,Check!O64)))</f>
        <v>50</v>
      </c>
      <c r="R64" s="217">
        <f t="shared" si="1"/>
        <v>-5</v>
      </c>
      <c r="S64" s="361">
        <f t="shared" si="2"/>
        <v>0.9</v>
      </c>
    </row>
    <row r="65" spans="2:19">
      <c r="B65"/>
      <c r="C65" s="233" t="str">
        <f>IF(B65="","",IF(LEN(B65)&gt;9,SUMIFS(Options!$H$3:$H$27,Options!$B$3:$B$27,Check!B65),SUMIFS('Master P&amp;L'!$H$11:$H$80,'Master P&amp;L'!$B$11:$B$80,Check!B65)))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2261</v>
      </c>
      <c r="P65" s="217">
        <f>IF(O65="","",IF(OR(LEFT(O65,4)="Cash",LEFT(O65,4)="Prov"),0,SUMIFS(Input_APM!N:N,Input_APM!L:L,Check!O65)))</f>
        <v>1172</v>
      </c>
      <c r="Q65" s="22">
        <f>IF(O65="","",IF(LEN(O65)&gt;9,SUMIFS(Options!$H$3:$H$27,Options!$B$3:$B$27,Check!O65),SUMIFS('Master P&amp;L'!$H$11:$H$80,'Master P&amp;L'!$B$11:$B$80,Check!O65)))</f>
        <v>1250</v>
      </c>
      <c r="R65" s="217">
        <f t="shared" si="1"/>
        <v>-78</v>
      </c>
      <c r="S65" s="361">
        <f t="shared" si="2"/>
        <v>0.93759999999999999</v>
      </c>
    </row>
    <row r="66" spans="2:19">
      <c r="B66"/>
      <c r="C66" s="233" t="str">
        <f>IF(B66="","",IF(LEN(B66)&gt;9,SUMIFS(Options!$H$3:$H$27,Options!$B$3:$B$27,Check!B66),SUMIFS('Master P&amp;L'!$H$11:$H$80,'Master P&amp;L'!$B$11:$B$80,Check!B66)))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2262</v>
      </c>
      <c r="P66" s="217">
        <f>IF(O66="","",IF(OR(LEFT(O66,4)="Cash",LEFT(O66,4)="Prov"),0,SUMIFS(Input_APM!N:N,Input_APM!L:L,Check!O66)))</f>
        <v>-1125</v>
      </c>
      <c r="Q66" s="22">
        <f>IF(O66="","",IF(LEN(O66)&gt;9,SUMIFS(Options!$H$3:$H$27,Options!$B$3:$B$27,Check!O66),SUMIFS('Master P&amp;L'!$H$11:$H$80,'Master P&amp;L'!$B$11:$B$80,Check!O66)))</f>
        <v>-1200</v>
      </c>
      <c r="R66" s="217">
        <f t="shared" si="1"/>
        <v>75</v>
      </c>
      <c r="S66" s="361">
        <f t="shared" si="2"/>
        <v>0.9375</v>
      </c>
    </row>
    <row r="67" spans="2:19">
      <c r="B67"/>
      <c r="C67" s="233" t="str">
        <f>IF(B67="","",IF(LEN(B67)&gt;9,SUMIFS(Options!$H$3:$H$27,Options!$B$3:$B$27,Check!B67),SUMIFS('Master P&amp;L'!$H$11:$H$80,'Master P&amp;L'!$B$11:$B$80,Check!B67)))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88</v>
      </c>
      <c r="P67" s="217">
        <f>IF(O67="","",IF(OR(LEFT(O67,4)="Cash",LEFT(O67,4)="Prov"),0,SUMIFS(Input_APM!N:N,Input_APM!L:L,Check!O67)))</f>
        <v>42865</v>
      </c>
      <c r="Q67" s="22">
        <f>IF(O67="","",IF(LEN(O67)&gt;9,SUMIFS(Options!$H$3:$H$27,Options!$B$3:$B$27,Check!O67),SUMIFS('Master P&amp;L'!$H$11:$H$80,'Master P&amp;L'!$B$11:$B$80,Check!O67)))</f>
        <v>45750</v>
      </c>
      <c r="R67" s="217">
        <f t="shared" si="1"/>
        <v>-2885</v>
      </c>
      <c r="S67" s="361">
        <f t="shared" si="2"/>
        <v>0.93693989071038253</v>
      </c>
    </row>
    <row r="68" spans="2:19">
      <c r="B68"/>
      <c r="C68" s="233" t="str">
        <f>IF(B68="","",IF(LEN(B68)&gt;9,SUMIFS(Options!$H$3:$H$27,Options!$B$3:$B$27,Check!B68),SUMIFS('Master P&amp;L'!$H$11:$H$80,'Master P&amp;L'!$B$11:$B$80,Check!B68)))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4</v>
      </c>
      <c r="P68" s="217">
        <f>IF(O68="","",IF(OR(LEFT(O68,4)="Cash",LEFT(O68,4)="Prov"),0,SUMIFS(Input_APM!N:N,Input_APM!L:L,Check!O68)))</f>
        <v>-25765</v>
      </c>
      <c r="Q68" s="22">
        <f>IF(O68="","",IF(LEN(O68)&gt;9,SUMIFS(Options!$H$3:$H$27,Options!$B$3:$B$27,Check!O68),SUMIFS('Master P&amp;L'!$H$11:$H$80,'Master P&amp;L'!$B$11:$B$80,Check!O68)))</f>
        <v>-27500</v>
      </c>
      <c r="R68" s="217">
        <f t="shared" si="1"/>
        <v>1735</v>
      </c>
      <c r="S68" s="361">
        <f t="shared" si="2"/>
        <v>0.93690909090909091</v>
      </c>
    </row>
    <row r="69" spans="2:19">
      <c r="B69"/>
      <c r="C69" s="233" t="str">
        <f>IF(B69="","",IF(LEN(B69)&gt;9,SUMIFS(Options!$H$3:$H$27,Options!$B$3:$B$27,Check!B69),SUMIFS('Master P&amp;L'!$H$11:$H$80,'Master P&amp;L'!$B$11:$B$80,Check!B69)))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311</v>
      </c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IF(O69="","",IF(LEN(O69)&gt;9,SUMIFS(Options!$H$3:$H$27,Options!$B$3:$B$27,Check!O69),SUMIFS('Master P&amp;L'!$H$11:$H$80,'Master P&amp;L'!$B$11:$B$80,Check!O69)))</f>
        <v/>
      </c>
      <c r="R69" s="217" t="str">
        <f t="shared" si="1"/>
        <v/>
      </c>
      <c r="S69" s="361" t="str">
        <f t="shared" si="2"/>
        <v/>
      </c>
    </row>
    <row r="70" spans="2:19">
      <c r="B70"/>
      <c r="C70" s="233" t="str">
        <f>IF(B70="","",IF(LEN(B70)&gt;9,SUMIFS(Options!$H$3:$H$27,Options!$B$3:$B$27,Check!B70),SUMIFS('Master P&amp;L'!$H$11:$H$80,'Master P&amp;L'!$B$11:$B$80,Check!B70)))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IF(O70="","",IF(LEN(O70)&gt;9,SUMIFS(Options!$H$3:$H$27,Options!$B$3:$B$27,Check!O70),SUMIFS('Master P&amp;L'!$H$11:$H$80,'Master P&amp;L'!$B$11:$B$80,Check!O70)))</f>
        <v/>
      </c>
      <c r="R70" s="217" t="str">
        <f t="shared" ref="R70:R99" si="10">IF(O70="","",P70-Q70)</f>
        <v/>
      </c>
      <c r="S70" s="361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IF(B71="","",IF(LEN(B71)&gt;9,SUMIFS(Options!$H$3:$H$27,Options!$B$3:$B$27,Check!B71),SUMIFS('Master P&amp;L'!$H$11:$H$80,'Master P&amp;L'!$B$11:$B$80,Check!B71)))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IF(O71="","",IF(LEN(O71)&gt;9,SUMIFS(Options!$H$3:$H$27,Options!$B$3:$B$27,Check!O71),SUMIFS('Master P&amp;L'!$H$11:$H$80,'Master P&amp;L'!$B$11:$B$80,Check!O71)))</f>
        <v/>
      </c>
      <c r="R71" s="217" t="str">
        <f t="shared" si="10"/>
        <v/>
      </c>
      <c r="S71" s="361" t="str">
        <f t="shared" si="11"/>
        <v/>
      </c>
    </row>
    <row r="72" spans="2:19">
      <c r="B72"/>
      <c r="C72" s="233" t="str">
        <f>IF(B72="","",IF(LEN(B72)&gt;9,SUMIFS(Options!$H$3:$H$27,Options!$B$3:$B$27,Check!B72),SUMIFS('Master P&amp;L'!$H$11:$H$80,'Master P&amp;L'!$B$11:$B$80,Check!B72)))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IF(O72="","",IF(LEN(O72)&gt;9,SUMIFS(Options!$H$3:$H$27,Options!$B$3:$B$27,Check!O72),SUMIFS('Master P&amp;L'!$H$11:$H$80,'Master P&amp;L'!$B$11:$B$80,Check!O72)))</f>
        <v/>
      </c>
      <c r="R72" s="217" t="str">
        <f t="shared" si="10"/>
        <v/>
      </c>
      <c r="S72" s="361" t="str">
        <f t="shared" si="11"/>
        <v/>
      </c>
    </row>
    <row r="73" spans="2:19">
      <c r="B73"/>
      <c r="C73" s="233" t="str">
        <f>IF(B73="","",IF(LEN(B73)&gt;9,SUMIFS(Options!$H$3:$H$27,Options!$B$3:$B$27,Check!B73),SUMIFS('Master P&amp;L'!$H$11:$H$80,'Master P&amp;L'!$B$11:$B$80,Check!B73)))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IF(O73="","",IF(LEN(O73)&gt;9,SUMIFS(Options!$H$3:$H$27,Options!$B$3:$B$27,Check!O73),SUMIFS('Master P&amp;L'!$H$11:$H$80,'Master P&amp;L'!$B$11:$B$80,Check!O73)))</f>
        <v/>
      </c>
      <c r="R73" s="217" t="str">
        <f t="shared" si="10"/>
        <v/>
      </c>
      <c r="S73" s="361" t="str">
        <f t="shared" si="11"/>
        <v/>
      </c>
    </row>
    <row r="74" spans="2:19">
      <c r="B74"/>
      <c r="C74" s="233" t="str">
        <f>IF(B74="","",IF(LEN(B74)&gt;9,SUMIFS(Options!$H$3:$H$27,Options!$B$3:$B$27,Check!B74),SUMIFS('Master P&amp;L'!$H$11:$H$80,'Master P&amp;L'!$B$11:$B$80,Check!B74)))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IF(O74="","",IF(LEN(O74)&gt;9,SUMIFS(Options!$H$3:$H$27,Options!$B$3:$B$27,Check!O74),SUMIFS('Master P&amp;L'!$H$11:$H$80,'Master P&amp;L'!$B$11:$B$80,Check!O74)))</f>
        <v/>
      </c>
      <c r="R74" s="217" t="str">
        <f t="shared" si="10"/>
        <v/>
      </c>
      <c r="S74" s="361" t="str">
        <f t="shared" si="11"/>
        <v/>
      </c>
    </row>
    <row r="75" spans="2:19">
      <c r="B75"/>
      <c r="C75" s="233" t="str">
        <f>IF(B75="","",IF(LEN(B75)&gt;9,SUMIFS(Options!$H$3:$H$27,Options!$B$3:$B$27,Check!B75),SUMIFS('Master P&amp;L'!$H$11:$H$80,'Master P&amp;L'!$B$11:$B$80,Check!B75)))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IF(O75="","",IF(LEN(O75)&gt;9,SUMIFS(Options!$H$3:$H$27,Options!$B$3:$B$27,Check!O75),SUMIFS('Master P&amp;L'!$H$11:$H$80,'Master P&amp;L'!$B$11:$B$80,Check!O75)))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IF(B76="","",IF(LEN(B76)&gt;9,SUMIFS(Options!$H$3:$H$27,Options!$B$3:$B$27,Check!B76),SUMIFS('Master P&amp;L'!$H$11:$H$80,'Master P&amp;L'!$B$11:$B$80,Check!B76)))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IF(O76="","",IF(LEN(O76)&gt;9,SUMIFS(Options!$H$3:$H$27,Options!$B$3:$B$27,Check!O76),SUMIFS('Master P&amp;L'!$H$11:$H$80,'Master P&amp;L'!$B$11:$B$80,Check!O76)))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IF(B77="","",IF(LEN(B77)&gt;9,SUMIFS(Options!$H$3:$H$27,Options!$B$3:$B$27,Check!B77),SUMIFS('Master P&amp;L'!$H$11:$H$80,'Master P&amp;L'!$B$11:$B$80,Check!B77)))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IF(O77="","",IF(LEN(O77)&gt;9,SUMIFS(Options!$H$3:$H$27,Options!$B$3:$B$27,Check!O77),SUMIFS('Master P&amp;L'!$H$11:$H$80,'Master P&amp;L'!$B$11:$B$80,Check!O77)))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IF(B78="","",IF(LEN(B78)&gt;9,SUMIFS(Options!$H$3:$H$27,Options!$B$3:$B$27,Check!B78),SUMIFS('Master P&amp;L'!$H$11:$H$80,'Master P&amp;L'!$B$11:$B$80,Check!B78)))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IF(O78="","",IF(LEN(O78)&gt;9,SUMIFS(Options!$H$3:$H$27,Options!$B$3:$B$27,Check!O78),SUMIFS('Master P&amp;L'!$H$11:$H$80,'Master P&amp;L'!$B$11:$B$80,Check!O78)))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IF(B79="","",IF(LEN(B79)&gt;9,SUMIFS(Options!$H$3:$H$27,Options!$B$3:$B$27,Check!B79),SUMIFS('Master P&amp;L'!$H$11:$H$80,'Master P&amp;L'!$B$11:$B$80,Check!B79)))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IF(O79="","",IF(LEN(O79)&gt;9,SUMIFS(Options!$H$3:$H$27,Options!$B$3:$B$27,Check!O79),SUMIFS('Master P&amp;L'!$H$11:$H$80,'Master P&amp;L'!$B$11:$B$80,Check!O79)))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IF(B80="","",IF(LEN(B80)&gt;9,SUMIFS(Options!$H$3:$H$27,Options!$B$3:$B$27,Check!B80),SUMIFS('Master P&amp;L'!$H$11:$H$80,'Master P&amp;L'!$B$11:$B$80,Check!B80)))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IF(O80="","",IF(LEN(O80)&gt;9,SUMIFS(Options!$H$3:$H$27,Options!$B$3:$B$27,Check!O80),SUMIFS('Master P&amp;L'!$H$11:$H$80,'Master P&amp;L'!$B$11:$B$80,Check!O80)))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IF(B81="","",IF(LEN(B81)&gt;9,SUMIFS(Options!$H$3:$H$27,Options!$B$3:$B$27,Check!B81),SUMIFS('Master P&amp;L'!$H$11:$H$80,'Master P&amp;L'!$B$11:$B$80,Check!B81)))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IF(O81="","",IF(LEN(O81)&gt;9,SUMIFS(Options!$H$3:$H$27,Options!$B$3:$B$27,Check!O81),SUMIFS('Master P&amp;L'!$H$11:$H$80,'Master P&amp;L'!$B$11:$B$80,Check!O81)))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IF(B82="","",IF(LEN(B82)&gt;9,SUMIFS(Options!$H$3:$H$27,Options!$B$3:$B$27,Check!B82),SUMIFS('Master P&amp;L'!$H$11:$H$80,'Master P&amp;L'!$B$11:$B$80,Check!B82)))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IF(O82="","",IF(LEN(O82)&gt;9,SUMIFS(Options!$H$3:$H$27,Options!$B$3:$B$27,Check!O82),SUMIFS('Master P&amp;L'!$H$11:$H$80,'Master P&amp;L'!$B$11:$B$80,Check!O82)))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IF(B83="","",IF(LEN(B83)&gt;9,SUMIFS(Options!$H$3:$H$27,Options!$B$3:$B$27,Check!B83),SUMIFS('Master P&amp;L'!$H$11:$H$80,'Master P&amp;L'!$B$11:$B$80,Check!B83)))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IF(O83="","",IF(LEN(O83)&gt;9,SUMIFS(Options!$H$3:$H$27,Options!$B$3:$B$27,Check!O83),SUMIFS('Master P&amp;L'!$H$11:$H$80,'Master P&amp;L'!$B$11:$B$80,Check!O83)))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IF(B84="","",IF(LEN(B84)&gt;9,SUMIFS(Options!$H$3:$H$27,Options!$B$3:$B$27,Check!B84),SUMIFS('Master P&amp;L'!$H$11:$H$80,'Master P&amp;L'!$B$11:$B$80,Check!B84)))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IF(O84="","",IF(LEN(O84)&gt;9,SUMIFS(Options!$H$3:$H$27,Options!$B$3:$B$27,Check!O84),SUMIFS('Master P&amp;L'!$H$11:$H$80,'Master P&amp;L'!$B$11:$B$80,Check!O84)))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IF(B85="","",IF(LEN(B85)&gt;9,SUMIFS(Options!$H$3:$H$27,Options!$B$3:$B$27,Check!B85),SUMIFS('Master P&amp;L'!$H$11:$H$80,'Master P&amp;L'!$B$11:$B$80,Check!B85)))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IF(O85="","",IF(LEN(O85)&gt;9,SUMIFS(Options!$H$3:$H$27,Options!$B$3:$B$27,Check!O85),SUMIFS('Master P&amp;L'!$H$11:$H$80,'Master P&amp;L'!$B$11:$B$80,Check!O85)))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IF(B86="","",IF(LEN(B86)&gt;9,SUMIFS(Options!$H$3:$H$27,Options!$B$3:$B$27,Check!B86),SUMIFS('Master P&amp;L'!$H$11:$H$80,'Master P&amp;L'!$B$11:$B$80,Check!B86)))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IF(O86="","",IF(LEN(O86)&gt;9,SUMIFS(Options!$H$3:$H$27,Options!$B$3:$B$27,Check!O86),SUMIFS('Master P&amp;L'!$H$11:$H$80,'Master P&amp;L'!$B$11:$B$80,Check!O86)))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IF(B87="","",IF(LEN(B87)&gt;9,SUMIFS(Options!$H$3:$H$27,Options!$B$3:$B$27,Check!B87),SUMIFS('Master P&amp;L'!$H$11:$H$80,'Master P&amp;L'!$B$11:$B$80,Check!B87)))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IF(O87="","",IF(LEN(O87)&gt;9,SUMIFS(Options!$H$3:$H$27,Options!$B$3:$B$27,Check!O87),SUMIFS('Master P&amp;L'!$H$11:$H$80,'Master P&amp;L'!$B$11:$B$80,Check!O87)))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IF(B88="","",IF(LEN(B88)&gt;9,SUMIFS(Options!$H$3:$H$27,Options!$B$3:$B$27,Check!B88),SUMIFS('Master P&amp;L'!$H$11:$H$80,'Master P&amp;L'!$B$11:$B$80,Check!B88)))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IF(O88="","",IF(LEN(O88)&gt;9,SUMIFS(Options!$H$3:$H$27,Options!$B$3:$B$27,Check!O88),SUMIFS('Master P&amp;L'!$H$11:$H$80,'Master P&amp;L'!$B$11:$B$80,Check!O88)))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IF(B89="","",IF(LEN(B89)&gt;9,SUMIFS(Options!$H$3:$H$27,Options!$B$3:$B$27,Check!B89),SUMIFS('Master P&amp;L'!$H$11:$H$80,'Master P&amp;L'!$B$11:$B$80,Check!B89)))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IF(O89="","",IF(LEN(O89)&gt;9,SUMIFS(Options!$H$3:$H$27,Options!$B$3:$B$27,Check!O89),SUMIFS('Master P&amp;L'!$H$11:$H$80,'Master P&amp;L'!$B$11:$B$80,Check!O89)))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IF(B90="","",IF(LEN(B90)&gt;9,SUMIFS(Options!$H$3:$H$27,Options!$B$3:$B$27,Check!B90),SUMIFS('Master P&amp;L'!$H$11:$H$80,'Master P&amp;L'!$B$11:$B$80,Check!B90)))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IF(O90="","",IF(LEN(O90)&gt;9,SUMIFS(Options!$H$3:$H$27,Options!$B$3:$B$27,Check!O90),SUMIFS('Master P&amp;L'!$H$11:$H$80,'Master P&amp;L'!$B$11:$B$80,Check!O90)))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IF(B91="","",IF(LEN(B91)&gt;9,SUMIFS(Options!$H$3:$H$27,Options!$B$3:$B$27,Check!B91),SUMIFS('Master P&amp;L'!$H$11:$H$80,'Master P&amp;L'!$B$11:$B$80,Check!B91)))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IF(O91="","",IF(LEN(O91)&gt;9,SUMIFS(Options!$H$3:$H$27,Options!$B$3:$B$27,Check!O91),SUMIFS('Master P&amp;L'!$H$11:$H$80,'Master P&amp;L'!$B$11:$B$80,Check!O91)))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IF(B92="","",IF(LEN(B92)&gt;9,SUMIFS(Options!$H$3:$H$27,Options!$B$3:$B$27,Check!B92),SUMIFS('Master P&amp;L'!$H$11:$H$80,'Master P&amp;L'!$B$11:$B$80,Check!B92)))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IF(O92="","",IF(LEN(O92)&gt;9,SUMIFS(Options!$H$3:$H$27,Options!$B$3:$B$27,Check!O92),SUMIFS('Master P&amp;L'!$H$11:$H$80,'Master P&amp;L'!$B$11:$B$80,Check!O92)))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IF(B93="","",IF(LEN(B93)&gt;9,SUMIFS(Options!$H$3:$H$27,Options!$B$3:$B$27,Check!B93),SUMIFS('Master P&amp;L'!$H$11:$H$80,'Master P&amp;L'!$B$11:$B$80,Check!B93)))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IF(O93="","",IF(LEN(O93)&gt;9,SUMIFS(Options!$H$3:$H$27,Options!$B$3:$B$27,Check!O93),SUMIFS('Master P&amp;L'!$H$11:$H$80,'Master P&amp;L'!$B$11:$B$80,Check!O93)))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IF(B94="","",IF(LEN(B94)&gt;9,SUMIFS(Options!$H$3:$H$27,Options!$B$3:$B$27,Check!B94),SUMIFS('Master P&amp;L'!$H$11:$H$80,'Master P&amp;L'!$B$11:$B$80,Check!B94)))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IF(O94="","",IF(LEN(O94)&gt;9,SUMIFS(Options!$H$3:$H$27,Options!$B$3:$B$27,Check!O94),SUMIFS('Master P&amp;L'!$H$11:$H$80,'Master P&amp;L'!$B$11:$B$80,Check!O94)))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IF(B95="","",IF(LEN(B95)&gt;9,SUMIFS(Options!$H$3:$H$27,Options!$B$3:$B$27,Check!B95),SUMIFS('Master P&amp;L'!$H$11:$H$80,'Master P&amp;L'!$B$11:$B$80,Check!B95)))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IF(O95="","",IF(LEN(O95)&gt;9,SUMIFS(Options!$H$3:$H$27,Options!$B$3:$B$27,Check!O95),SUMIFS('Master P&amp;L'!$H$11:$H$80,'Master P&amp;L'!$B$11:$B$80,Check!O95)))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IF(B96="","",IF(LEN(B96)&gt;9,SUMIFS(Options!$H$3:$H$27,Options!$B$3:$B$27,Check!B96),SUMIFS('Master P&amp;L'!$H$11:$H$80,'Master P&amp;L'!$B$11:$B$80,Check!B96)))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IF(O96="","",IF(LEN(O96)&gt;9,SUMIFS(Options!$H$3:$H$27,Options!$B$3:$B$27,Check!O96),SUMIFS('Master P&amp;L'!$H$11:$H$80,'Master P&amp;L'!$B$11:$B$80,Check!O96)))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IF(B97="","",IF(LEN(B97)&gt;9,SUMIFS(Options!$H$3:$H$27,Options!$B$3:$B$27,Check!B97),SUMIFS('Master P&amp;L'!$H$11:$H$80,'Master P&amp;L'!$B$11:$B$80,Check!B97)))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IF(O97="","",IF(LEN(O97)&gt;9,SUMIFS(Options!$H$3:$H$27,Options!$B$3:$B$27,Check!O97),SUMIFS('Master P&amp;L'!$H$11:$H$80,'Master P&amp;L'!$B$11:$B$80,Check!O97)))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IF(B98="","",IF(LEN(B98)&gt;9,SUMIFS(Options!$H$3:$H$27,Options!$B$3:$B$27,Check!B98),SUMIFS('Master P&amp;L'!$H$11:$H$80,'Master P&amp;L'!$B$11:$B$80,Check!B98)))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IF(O98="","",IF(LEN(O98)&gt;9,SUMIFS(Options!$H$3:$H$27,Options!$B$3:$B$27,Check!O98),SUMIFS('Master P&amp;L'!$H$11:$H$80,'Master P&amp;L'!$B$11:$B$80,Check!O98)))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IF(B99="","",IF(LEN(B99)&gt;9,SUMIFS(Options!$H$3:$H$27,Options!$B$3:$B$27,Check!B99),SUMIFS('Master P&amp;L'!$H$11:$H$80,'Master P&amp;L'!$B$11:$B$80,Check!B99)))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IF(O99="","",IF(LEN(O99)&gt;9,SUMIFS(Options!$H$3:$H$27,Options!$B$3:$B$27,Check!O99),SUMIFS('Master P&amp;L'!$H$11:$H$80,'Master P&amp;L'!$B$11:$B$80,Check!O99)))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IF(B100="","",IF(LEN(B100)&gt;9,SUMIFS(Options!$H$3:$H$27,Options!$B$3:$B$27,Check!B100),SUMIFS('Master P&amp;L'!$H$11:$H$80,'Master P&amp;L'!$B$11:$B$80,Check!B100)))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IF(O100="","",IF(LEN(O100)&gt;9,SUMIFS(Options!$H$3:$H$27,Options!$B$3:$B$27,Check!O100),SUMIFS('Master P&amp;L'!$H$11:$H$80,'Master P&amp;L'!$B$11:$B$80,Check!O100)))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IF(B101="","",IF(LEN(B101)&gt;9,SUMIFS(Options!$H$3:$H$27,Options!$B$3:$B$27,Check!B101),SUMIFS('Master P&amp;L'!$H$11:$H$80,'Master P&amp;L'!$B$11:$B$80,Check!B101)))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IF(O101="","",IF(LEN(O101)&gt;9,SUMIFS(Options!$H$3:$H$27,Options!$B$3:$B$27,Check!O101),SUMIFS('Master P&amp;L'!$H$11:$H$80,'Master P&amp;L'!$B$11:$B$80,Check!O101)))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IF(B102="","",IF(LEN(B102)&gt;9,SUMIFS(Options!$H$3:$H$27,Options!$B$3:$B$27,Check!B102),SUMIFS('Master P&amp;L'!$H$11:$H$80,'Master P&amp;L'!$B$11:$B$80,Check!B102)))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IF(O102="","",IF(LEN(O102)&gt;9,SUMIFS(Options!$H$3:$H$27,Options!$B$3:$B$27,Check!O102),SUMIFS('Master P&amp;L'!$H$11:$H$80,'Master P&amp;L'!$B$11:$B$80,Check!O102)))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IF(B103="","",IF(LEN(B103)&gt;9,SUMIFS(Options!$H$3:$H$27,Options!$B$3:$B$27,Check!B103),SUMIFS('Master P&amp;L'!$H$11:$H$80,'Master P&amp;L'!$B$11:$B$80,Check!B103)))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IF(O103="","",IF(LEN(O103)&gt;9,SUMIFS(Options!$H$3:$H$27,Options!$B$3:$B$27,Check!O103),SUMIFS('Master P&amp;L'!$H$11:$H$80,'Master P&amp;L'!$B$11:$B$80,Check!O103)))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IF(B104="","",IF(LEN(B104)&gt;9,SUMIFS(Options!$H$3:$H$27,Options!$B$3:$B$27,Check!B104),SUMIFS('Master P&amp;L'!$H$11:$H$80,'Master P&amp;L'!$B$11:$B$80,Check!B104)))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IF(O104="","",IF(LEN(O104)&gt;9,SUMIFS(Options!$H$3:$H$27,Options!$B$3:$B$27,Check!O104),SUMIFS('Master P&amp;L'!$H$11:$H$80,'Master P&amp;L'!$B$11:$B$80,Check!O104)))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IF(B105="","",IF(LEN(B105)&gt;9,SUMIFS(Options!$H$3:$H$27,Options!$B$3:$B$27,Check!B105),SUMIFS('Master P&amp;L'!$H$11:$H$80,'Master P&amp;L'!$B$11:$B$80,Check!B105)))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IF(O105="","",IF(LEN(O105)&gt;9,SUMIFS(Options!$H$3:$H$27,Options!$B$3:$B$27,Check!O105),SUMIFS('Master P&amp;L'!$H$11:$H$80,'Master P&amp;L'!$B$11:$B$80,Check!O105)))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IF(B106="","",IF(LEN(B106)&gt;9,SUMIFS(Options!$H$3:$H$27,Options!$B$3:$B$27,Check!B106),SUMIFS('Master P&amp;L'!$H$11:$H$80,'Master P&amp;L'!$B$11:$B$80,Check!B106)))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IF(O106="","",IF(LEN(O106)&gt;9,SUMIFS(Options!$H$3:$H$27,Options!$B$3:$B$27,Check!O106),SUMIFS('Master P&amp;L'!$H$11:$H$80,'Master P&amp;L'!$B$11:$B$80,Check!O106)))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IF(B107="","",IF(LEN(B107)&gt;9,SUMIFS(Options!$H$3:$H$27,Options!$B$3:$B$27,Check!B107),SUMIFS('Master P&amp;L'!$H$11:$H$80,'Master P&amp;L'!$B$11:$B$80,Check!B107)))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IF(O107="","",IF(LEN(O107)&gt;9,SUMIFS(Options!$H$3:$H$27,Options!$B$3:$B$27,Check!O107),SUMIFS('Master P&amp;L'!$H$11:$H$80,'Master P&amp;L'!$B$11:$B$80,Check!O107)))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IF(B108="","",IF(LEN(B108)&gt;9,SUMIFS(Options!$H$3:$H$27,Options!$B$3:$B$27,Check!B108),SUMIFS('Master P&amp;L'!$H$11:$H$80,'Master P&amp;L'!$B$11:$B$80,Check!B108)))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IF(O108="","",IF(LEN(O108)&gt;9,SUMIFS(Options!$H$3:$H$27,Options!$B$3:$B$27,Check!O108),SUMIFS('Master P&amp;L'!$H$11:$H$80,'Master P&amp;L'!$B$11:$B$80,Check!O108)))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IF(B109="","",IF(LEN(B109)&gt;9,SUMIFS(Options!$H$3:$H$27,Options!$B$3:$B$27,Check!B109),SUMIFS('Master P&amp;L'!$H$11:$H$80,'Master P&amp;L'!$B$11:$B$80,Check!B109)))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IF(O109="","",IF(LEN(O109)&gt;9,SUMIFS(Options!$H$3:$H$27,Options!$B$3:$B$27,Check!O109),SUMIFS('Master P&amp;L'!$H$11:$H$80,'Master P&amp;L'!$B$11:$B$80,Check!O109)))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IF(B110="","",IF(LEN(B110)&gt;9,SUMIFS(Options!$H$3:$H$27,Options!$B$3:$B$27,Check!B110),SUMIFS('Master P&amp;L'!$H$11:$H$80,'Master P&amp;L'!$B$11:$B$80,Check!B110)))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IF(O110="","",IF(LEN(O110)&gt;9,SUMIFS(Options!$H$3:$H$27,Options!$B$3:$B$27,Check!O110),SUMIFS('Master P&amp;L'!$H$11:$H$80,'Master P&amp;L'!$B$11:$B$80,Check!O110)))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IF(B111="","",IF(LEN(B111)&gt;9,SUMIFS(Options!$H$3:$H$27,Options!$B$3:$B$27,Check!B111),SUMIFS('Master P&amp;L'!$H$11:$H$80,'Master P&amp;L'!$B$11:$B$80,Check!B111)))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IF(O111="","",IF(LEN(O111)&gt;9,SUMIFS(Options!$H$3:$H$27,Options!$B$3:$B$27,Check!O111),SUMIFS('Master P&amp;L'!$H$11:$H$80,'Master P&amp;L'!$B$11:$B$80,Check!O111)))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IF(B112="","",IF(LEN(B112)&gt;9,SUMIFS(Options!$H$3:$H$27,Options!$B$3:$B$27,Check!B112),SUMIFS('Master P&amp;L'!$H$11:$H$80,'Master P&amp;L'!$B$11:$B$80,Check!B112)))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IF(O112="","",IF(LEN(O112)&gt;9,SUMIFS(Options!$H$3:$H$27,Options!$B$3:$B$27,Check!O112),SUMIFS('Master P&amp;L'!$H$11:$H$80,'Master P&amp;L'!$B$11:$B$80,Check!O112)))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IF(B113="","",IF(LEN(B113)&gt;9,SUMIFS(Options!$H$3:$H$27,Options!$B$3:$B$27,Check!B113),SUMIFS('Master P&amp;L'!$H$11:$H$80,'Master P&amp;L'!$B$11:$B$80,Check!B113)))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IF(O113="","",IF(LEN(O113)&gt;9,SUMIFS(Options!$H$3:$H$27,Options!$B$3:$B$27,Check!O113),SUMIFS('Master P&amp;L'!$H$11:$H$80,'Master P&amp;L'!$B$11:$B$80,Check!O113)))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IF(B114="","",IF(LEN(B114)&gt;9,SUMIFS(Options!$H$3:$H$27,Options!$B$3:$B$27,Check!B114),SUMIFS('Master P&amp;L'!$H$11:$H$80,'Master P&amp;L'!$B$11:$B$80,Check!B114)))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IF(O114="","",IF(LEN(O114)&gt;9,SUMIFS(Options!$H$3:$H$27,Options!$B$3:$B$27,Check!O114),SUMIFS('Master P&amp;L'!$H$11:$H$80,'Master P&amp;L'!$B$11:$B$80,Check!O114)))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IF(B115="","",IF(LEN(B115)&gt;9,SUMIFS(Options!$H$3:$H$27,Options!$B$3:$B$27,Check!B115),SUMIFS('Master P&amp;L'!$H$11:$H$80,'Master P&amp;L'!$B$11:$B$80,Check!B115)))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IF(O115="","",IF(LEN(O115)&gt;9,SUMIFS(Options!$H$3:$H$27,Options!$B$3:$B$27,Check!O115),SUMIFS('Master P&amp;L'!$H$11:$H$80,'Master P&amp;L'!$B$11:$B$80,Check!O115)))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IF(B116="","",IF(LEN(B116)&gt;9,SUMIFS(Options!$H$3:$H$27,Options!$B$3:$B$27,Check!B116),SUMIFS('Master P&amp;L'!$H$11:$H$80,'Master P&amp;L'!$B$11:$B$80,Check!B116)))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IF(O116="","",IF(LEN(O116)&gt;9,SUMIFS(Options!$H$3:$H$27,Options!$B$3:$B$27,Check!O116),SUMIFS('Master P&amp;L'!$H$11:$H$80,'Master P&amp;L'!$B$11:$B$80,Check!O116)))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IF(B117="","",IF(LEN(B117)&gt;9,SUMIFS(Options!$H$3:$H$27,Options!$B$3:$B$27,Check!B117),SUMIFS('Master P&amp;L'!$H$11:$H$80,'Master P&amp;L'!$B$11:$B$80,Check!B117)))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IF(O117="","",IF(LEN(O117)&gt;9,SUMIFS(Options!$H$3:$H$27,Options!$B$3:$B$27,Check!O117),SUMIFS('Master P&amp;L'!$H$11:$H$80,'Master P&amp;L'!$B$11:$B$80,Check!O117)))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IF(B118="","",IF(LEN(B118)&gt;9,SUMIFS(Options!$H$3:$H$27,Options!$B$3:$B$27,Check!B118),SUMIFS('Master P&amp;L'!$H$11:$H$80,'Master P&amp;L'!$B$11:$B$80,Check!B118)))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IF(O118="","",IF(LEN(O118)&gt;9,SUMIFS(Options!$H$3:$H$27,Options!$B$3:$B$27,Check!O118),SUMIFS('Master P&amp;L'!$H$11:$H$80,'Master P&amp;L'!$B$11:$B$80,Check!O118)))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IF(B119="","",IF(LEN(B119)&gt;9,SUMIFS(Options!$H$3:$H$27,Options!$B$3:$B$27,Check!B119),SUMIFS('Master P&amp;L'!$H$11:$H$80,'Master P&amp;L'!$B$11:$B$80,Check!B119)))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IF(O119="","",IF(LEN(O119)&gt;9,SUMIFS(Options!$H$3:$H$27,Options!$B$3:$B$27,Check!O119),SUMIFS('Master P&amp;L'!$H$11:$H$80,'Master P&amp;L'!$B$11:$B$80,Check!O119)))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IF(B120="","",IF(LEN(B120)&gt;9,SUMIFS(Options!$H$3:$H$27,Options!$B$3:$B$27,Check!B120),SUMIFS('Master P&amp;L'!$H$11:$H$80,'Master P&amp;L'!$B$11:$B$80,Check!B120)))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IF(O120="","",IF(LEN(O120)&gt;9,SUMIFS(Options!$H$3:$H$27,Options!$B$3:$B$27,Check!O120),SUMIFS('Master P&amp;L'!$H$11:$H$80,'Master P&amp;L'!$B$11:$B$80,Check!O120)))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IF(B121="","",IF(LEN(B121)&gt;9,SUMIFS(Options!$H$3:$H$27,Options!$B$3:$B$27,Check!B121),SUMIFS('Master P&amp;L'!$H$11:$H$80,'Master P&amp;L'!$B$11:$B$80,Check!B121)))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IF(O121="","",IF(LEN(O121)&gt;9,SUMIFS(Options!$H$3:$H$27,Options!$B$3:$B$27,Check!O121),SUMIFS('Master P&amp;L'!$H$11:$H$80,'Master P&amp;L'!$B$11:$B$80,Check!O121)))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IF(B122="","",IF(LEN(B122)&gt;9,SUMIFS(Options!$H$3:$H$27,Options!$B$3:$B$27,Check!B122),SUMIFS('Master P&amp;L'!$H$11:$H$80,'Master P&amp;L'!$B$11:$B$80,Check!B122)))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IF(O122="","",IF(LEN(O122)&gt;9,SUMIFS(Options!$H$3:$H$27,Options!$B$3:$B$27,Check!O122),SUMIFS('Master P&amp;L'!$H$11:$H$80,'Master P&amp;L'!$B$11:$B$80,Check!O122)))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IF(B123="","",IF(LEN(B123)&gt;9,SUMIFS(Options!$H$3:$H$27,Options!$B$3:$B$27,Check!B123),SUMIFS('Master P&amp;L'!$H$11:$H$80,'Master P&amp;L'!$B$11:$B$80,Check!B123)))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IF(O123="","",IF(LEN(O123)&gt;9,SUMIFS(Options!$H$3:$H$27,Options!$B$3:$B$27,Check!O123),SUMIFS('Master P&amp;L'!$H$11:$H$80,'Master P&amp;L'!$B$11:$B$80,Check!O123)))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IF(B124="","",IF(LEN(B124)&gt;9,SUMIFS(Options!$H$3:$H$27,Options!$B$3:$B$27,Check!B124),SUMIFS('Master P&amp;L'!$H$11:$H$80,'Master P&amp;L'!$B$11:$B$80,Check!B124)))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IF(O124="","",IF(LEN(O124)&gt;9,SUMIFS(Options!$H$3:$H$27,Options!$B$3:$B$27,Check!O124),SUMIFS('Master P&amp;L'!$H$11:$H$80,'Master P&amp;L'!$B$11:$B$80,Check!O124)))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IF(B125="","",IF(LEN(B125)&gt;9,SUMIFS(Options!$H$3:$H$27,Options!$B$3:$B$27,Check!B125),SUMIFS('Master P&amp;L'!$H$11:$H$80,'Master P&amp;L'!$B$11:$B$80,Check!B125)))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IF(O125="","",IF(LEN(O125)&gt;9,SUMIFS(Options!$H$3:$H$27,Options!$B$3:$B$27,Check!O125),SUMIFS('Master P&amp;L'!$H$11:$H$80,'Master P&amp;L'!$B$11:$B$80,Check!O125)))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IF(B126="","",IF(LEN(B126)&gt;9,SUMIFS(Options!$H$3:$H$27,Options!$B$3:$B$27,Check!B126),SUMIFS('Master P&amp;L'!$H$11:$H$80,'Master P&amp;L'!$B$11:$B$80,Check!B126)))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IF(O126="","",IF(LEN(O126)&gt;9,SUMIFS(Options!$H$3:$H$27,Options!$B$3:$B$27,Check!O126),SUMIFS('Master P&amp;L'!$H$11:$H$80,'Master P&amp;L'!$B$11:$B$80,Check!O126)))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IF(B127="","",IF(LEN(B127)&gt;9,SUMIFS(Options!$H$3:$H$27,Options!$B$3:$B$27,Check!B127),SUMIFS('Master P&amp;L'!$H$11:$H$80,'Master P&amp;L'!$B$11:$B$80,Check!B127)))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IF(O127="","",IF(LEN(O127)&gt;9,SUMIFS(Options!$H$3:$H$27,Options!$B$3:$B$27,Check!O127),SUMIFS('Master P&amp;L'!$H$11:$H$80,'Master P&amp;L'!$B$11:$B$80,Check!O127)))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IF(B128="","",IF(LEN(B128)&gt;9,SUMIFS(Options!$H$3:$H$27,Options!$B$3:$B$27,Check!B128),SUMIFS('Master P&amp;L'!$H$11:$H$80,'Master P&amp;L'!$B$11:$B$80,Check!B128)))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IF(O128="","",IF(LEN(O128)&gt;9,SUMIFS(Options!$H$3:$H$27,Options!$B$3:$B$27,Check!O128),SUMIFS('Master P&amp;L'!$H$11:$H$80,'Master P&amp;L'!$B$11:$B$80,Check!O128)))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IF(B129="","",IF(LEN(B129)&gt;9,SUMIFS(Options!$H$3:$H$27,Options!$B$3:$B$27,Check!B129),SUMIFS('Master P&amp;L'!$H$11:$H$80,'Master P&amp;L'!$B$11:$B$80,Check!B129)))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IF(O129="","",IF(LEN(O129)&gt;9,SUMIFS(Options!$H$3:$H$27,Options!$B$3:$B$27,Check!O129),SUMIFS('Master P&amp;L'!$H$11:$H$80,'Master P&amp;L'!$B$11:$B$80,Check!O129)))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IF(B130="","",IF(LEN(B130)&gt;9,SUMIFS(Options!$H$3:$H$27,Options!$B$3:$B$27,Check!B130),SUMIFS('Master P&amp;L'!$H$11:$H$80,'Master P&amp;L'!$B$11:$B$80,Check!B130)))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IF(O130="","",IF(LEN(O130)&gt;9,SUMIFS(Options!$H$3:$H$27,Options!$B$3:$B$27,Check!O130),SUMIFS('Master P&amp;L'!$H$11:$H$80,'Master P&amp;L'!$B$11:$B$80,Check!O130)))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IF(B131="","",IF(LEN(B131)&gt;9,SUMIFS(Options!$H$3:$H$27,Options!$B$3:$B$27,Check!B131),SUMIFS('Master P&amp;L'!$H$11:$H$80,'Master P&amp;L'!$B$11:$B$80,Check!B131)))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IF(O131="","",IF(LEN(O131)&gt;9,SUMIFS(Options!$H$3:$H$27,Options!$B$3:$B$27,Check!O131),SUMIFS('Master P&amp;L'!$H$11:$H$80,'Master P&amp;L'!$B$11:$B$80,Check!O131)))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IF(B132="","",IF(LEN(B132)&gt;9,SUMIFS(Options!$H$3:$H$27,Options!$B$3:$B$27,Check!B132),SUMIFS('Master P&amp;L'!$H$11:$H$80,'Master P&amp;L'!$B$11:$B$80,Check!B132)))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IF(O132="","",IF(LEN(O132)&gt;9,SUMIFS(Options!$H$3:$H$27,Options!$B$3:$B$27,Check!O132),SUMIFS('Master P&amp;L'!$H$11:$H$80,'Master P&amp;L'!$B$11:$B$80,Check!O132)))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IF(B133="","",IF(LEN(B133)&gt;9,SUMIFS(Options!$H$3:$H$27,Options!$B$3:$B$27,Check!B133),SUMIFS('Master P&amp;L'!$H$11:$H$80,'Master P&amp;L'!$B$11:$B$80,Check!B133)))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IF(O133="","",IF(LEN(O133)&gt;9,SUMIFS(Options!$H$3:$H$27,Options!$B$3:$B$27,Check!O133),SUMIFS('Master P&amp;L'!$H$11:$H$80,'Master P&amp;L'!$B$11:$B$80,Check!O133)))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IF(B134="","",IF(LEN(B134)&gt;9,SUMIFS(Options!$H$3:$H$27,Options!$B$3:$B$27,Check!B134),SUMIFS('Master P&amp;L'!$H$11:$H$80,'Master P&amp;L'!$B$11:$B$80,Check!B134)))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IF(O134="","",IF(LEN(O134)&gt;9,SUMIFS(Options!$H$3:$H$27,Options!$B$3:$B$27,Check!O134),SUMIFS('Master P&amp;L'!$H$11:$H$80,'Master P&amp;L'!$B$11:$B$80,Check!O134)))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IF(B135="","",IF(LEN(B135)&gt;9,SUMIFS(Options!$H$3:$H$27,Options!$B$3:$B$27,Check!B135),SUMIFS('Master P&amp;L'!$H$11:$H$80,'Master P&amp;L'!$B$11:$B$80,Check!B135)))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IF(O135="","",IF(LEN(O135)&gt;9,SUMIFS(Options!$H$3:$H$27,Options!$B$3:$B$27,Check!O135),SUMIFS('Master P&amp;L'!$H$11:$H$80,'Master P&amp;L'!$B$11:$B$80,Check!O135)))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IF(B136="","",IF(LEN(B136)&gt;9,SUMIFS(Options!$H$3:$H$27,Options!$B$3:$B$27,Check!B136),SUMIFS('Master P&amp;L'!$H$11:$H$80,'Master P&amp;L'!$B$11:$B$80,Check!B136)))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IF(O136="","",IF(LEN(O136)&gt;9,SUMIFS(Options!$H$3:$H$27,Options!$B$3:$B$27,Check!O136),SUMIFS('Master P&amp;L'!$H$11:$H$80,'Master P&amp;L'!$B$11:$B$80,Check!O136)))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IF(B137="","",IF(LEN(B137)&gt;9,SUMIFS(Options!$H$3:$H$27,Options!$B$3:$B$27,Check!B137),SUMIFS('Master P&amp;L'!$H$11:$H$80,'Master P&amp;L'!$B$11:$B$80,Check!B137)))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IF(O137="","",IF(LEN(O137)&gt;9,SUMIFS(Options!$H$3:$H$27,Options!$B$3:$B$27,Check!O137),SUMIFS('Master P&amp;L'!$H$11:$H$80,'Master P&amp;L'!$B$11:$B$80,Check!O137)))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IF(B138="","",IF(LEN(B138)&gt;9,SUMIFS(Options!$H$3:$H$27,Options!$B$3:$B$27,Check!B138),SUMIFS('Master P&amp;L'!$H$11:$H$80,'Master P&amp;L'!$B$11:$B$80,Check!B138)))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IF(O138="","",IF(LEN(O138)&gt;9,SUMIFS(Options!$H$3:$H$27,Options!$B$3:$B$27,Check!O138),SUMIFS('Master P&amp;L'!$H$11:$H$80,'Master P&amp;L'!$B$11:$B$80,Check!O138)))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IF(B139="","",IF(LEN(B139)&gt;9,SUMIFS(Options!$H$3:$H$27,Options!$B$3:$B$27,Check!B139),SUMIFS('Master P&amp;L'!$H$11:$H$80,'Master P&amp;L'!$B$11:$B$80,Check!B139)))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IF(O139="","",IF(LEN(O139)&gt;9,SUMIFS(Options!$H$3:$H$27,Options!$B$3:$B$27,Check!O139),SUMIFS('Master P&amp;L'!$H$11:$H$80,'Master P&amp;L'!$B$11:$B$80,Check!O139)))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IF(B140="","",IF(LEN(B140)&gt;9,SUMIFS(Options!$H$3:$H$27,Options!$B$3:$B$27,Check!B140),SUMIFS('Master P&amp;L'!$H$11:$H$80,'Master P&amp;L'!$B$11:$B$80,Check!B140)))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IF(O140="","",IF(LEN(O140)&gt;9,SUMIFS(Options!$H$3:$H$27,Options!$B$3:$B$27,Check!O140),SUMIFS('Master P&amp;L'!$H$11:$H$80,'Master P&amp;L'!$B$11:$B$80,Check!O140)))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IF(B141="","",IF(LEN(B141)&gt;9,SUMIFS(Options!$H$3:$H$27,Options!$B$3:$B$27,Check!B141),SUMIFS('Master P&amp;L'!$H$11:$H$80,'Master P&amp;L'!$B$11:$B$80,Check!B141)))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IF(O141="","",IF(LEN(O141)&gt;9,SUMIFS(Options!$H$3:$H$27,Options!$B$3:$B$27,Check!O141),SUMIFS('Master P&amp;L'!$H$11:$H$80,'Master P&amp;L'!$B$11:$B$80,Check!O141)))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IF(B142="","",IF(LEN(B142)&gt;9,SUMIFS(Options!$H$3:$H$27,Options!$B$3:$B$27,Check!B142),SUMIFS('Master P&amp;L'!$H$11:$H$80,'Master P&amp;L'!$B$11:$B$80,Check!B142)))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IF(O142="","",IF(LEN(O142)&gt;9,SUMIFS(Options!$H$3:$H$27,Options!$B$3:$B$27,Check!O142),SUMIFS('Master P&amp;L'!$H$11:$H$80,'Master P&amp;L'!$B$11:$B$80,Check!O142)))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IF(B143="","",IF(LEN(B143)&gt;9,SUMIFS(Options!$H$3:$H$27,Options!$B$3:$B$27,Check!B143),SUMIFS('Master P&amp;L'!$H$11:$H$80,'Master P&amp;L'!$B$11:$B$80,Check!B143)))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IF(O143="","",IF(LEN(O143)&gt;9,SUMIFS(Options!$H$3:$H$27,Options!$B$3:$B$27,Check!O143),SUMIFS('Master P&amp;L'!$H$11:$H$80,'Master P&amp;L'!$B$11:$B$80,Check!O143)))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IF(B144="","",IF(LEN(B144)&gt;9,SUMIFS(Options!$H$3:$H$27,Options!$B$3:$B$27,Check!B144),SUMIFS('Master P&amp;L'!$H$11:$H$80,'Master P&amp;L'!$B$11:$B$80,Check!B144)))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IF(O144="","",IF(LEN(O144)&gt;9,SUMIFS(Options!$H$3:$H$27,Options!$B$3:$B$27,Check!O144),SUMIFS('Master P&amp;L'!$H$11:$H$80,'Master P&amp;L'!$B$11:$B$80,Check!O144)))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IF(B145="","",IF(LEN(B145)&gt;9,SUMIFS(Options!$H$3:$H$27,Options!$B$3:$B$27,Check!B145),SUMIFS('Master P&amp;L'!$H$11:$H$80,'Master P&amp;L'!$B$11:$B$80,Check!B145)))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IF(O145="","",IF(LEN(O145)&gt;9,SUMIFS(Options!$H$3:$H$27,Options!$B$3:$B$27,Check!O145),SUMIFS('Master P&amp;L'!$H$11:$H$80,'Master P&amp;L'!$B$11:$B$80,Check!O145)))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IF(B146="","",IF(LEN(B146)&gt;9,SUMIFS(Options!$H$3:$H$27,Options!$B$3:$B$27,Check!B146),SUMIFS('Master P&amp;L'!$H$11:$H$80,'Master P&amp;L'!$B$11:$B$80,Check!B146)))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IF(O146="","",IF(LEN(O146)&gt;9,SUMIFS(Options!$H$3:$H$27,Options!$B$3:$B$27,Check!O146),SUMIFS('Master P&amp;L'!$H$11:$H$80,'Master P&amp;L'!$B$11:$B$80,Check!O146)))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IF(B147="","",IF(LEN(B147)&gt;9,SUMIFS(Options!$H$3:$H$27,Options!$B$3:$B$27,Check!B147),SUMIFS('Master P&amp;L'!$H$11:$H$80,'Master P&amp;L'!$B$11:$B$80,Check!B147)))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IF(O147="","",IF(LEN(O147)&gt;9,SUMIFS(Options!$H$3:$H$27,Options!$B$3:$B$27,Check!O147),SUMIFS('Master P&amp;L'!$H$11:$H$80,'Master P&amp;L'!$B$11:$B$80,Check!O147)))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IF(B148="","",IF(LEN(B148)&gt;9,SUMIFS(Options!$H$3:$H$27,Options!$B$3:$B$27,Check!B148),SUMIFS('Master P&amp;L'!$H$11:$H$80,'Master P&amp;L'!$B$11:$B$80,Check!B148)))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IF(O148="","",IF(LEN(O148)&gt;9,SUMIFS(Options!$H$3:$H$27,Options!$B$3:$B$27,Check!O148),SUMIFS('Master P&amp;L'!$H$11:$H$80,'Master P&amp;L'!$B$11:$B$80,Check!O148)))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IF(B149="","",IF(LEN(B149)&gt;9,SUMIFS(Options!$H$3:$H$27,Options!$B$3:$B$27,Check!B149),SUMIFS('Master P&amp;L'!$H$11:$H$80,'Master P&amp;L'!$B$11:$B$80,Check!B149)))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IF(O149="","",IF(LEN(O149)&gt;9,SUMIFS(Options!$H$3:$H$27,Options!$B$3:$B$27,Check!O149),SUMIFS('Master P&amp;L'!$H$11:$H$80,'Master P&amp;L'!$B$11:$B$80,Check!O149)))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IF(B150="","",IF(LEN(B150)&gt;9,SUMIFS(Options!$H$3:$H$27,Options!$B$3:$B$27,Check!B150),SUMIFS('Master P&amp;L'!$H$11:$H$80,'Master P&amp;L'!$B$11:$B$80,Check!B150)))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IF(O150="","",IF(LEN(O150)&gt;9,SUMIFS(Options!$H$3:$H$27,Options!$B$3:$B$27,Check!O150),SUMIFS('Master P&amp;L'!$H$11:$H$80,'Master P&amp;L'!$B$11:$B$80,Check!O150)))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IF(B151="","",IF(LEN(B151)&gt;9,SUMIFS(Options!$H$3:$H$27,Options!$B$3:$B$27,Check!B151),SUMIFS('Master P&amp;L'!$H$11:$H$80,'Master P&amp;L'!$B$11:$B$80,Check!B151)))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IF(O151="","",IF(LEN(O151)&gt;9,SUMIFS(Options!$H$3:$H$27,Options!$B$3:$B$27,Check!O151),SUMIFS('Master P&amp;L'!$H$11:$H$80,'Master P&amp;L'!$B$11:$B$80,Check!O151)))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IF(B152="","",IF(LEN(B152)&gt;9,SUMIFS(Options!$H$3:$H$27,Options!$B$3:$B$27,Check!B152),SUMIFS('Master P&amp;L'!$H$11:$H$80,'Master P&amp;L'!$B$11:$B$80,Check!B152)))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IF(O152="","",IF(LEN(O152)&gt;9,SUMIFS(Options!$H$3:$H$27,Options!$B$3:$B$27,Check!O152),SUMIFS('Master P&amp;L'!$H$11:$H$80,'Master P&amp;L'!$B$11:$B$80,Check!O152)))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IF(B153="","",IF(LEN(B153)&gt;9,SUMIFS(Options!$H$3:$H$27,Options!$B$3:$B$27,Check!B153),SUMIFS('Master P&amp;L'!$H$11:$H$80,'Master P&amp;L'!$B$11:$B$80,Check!B153)))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IF(O153="","",IF(LEN(O153)&gt;9,SUMIFS(Options!$H$3:$H$27,Options!$B$3:$B$27,Check!O153),SUMIFS('Master P&amp;L'!$H$11:$H$80,'Master P&amp;L'!$B$11:$B$80,Check!O153)))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IF(B154="","",IF(LEN(B154)&gt;9,SUMIFS(Options!$H$3:$H$27,Options!$B$3:$B$27,Check!B154),SUMIFS('Master P&amp;L'!$H$11:$H$80,'Master P&amp;L'!$B$11:$B$80,Check!B154)))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IF(O154="","",IF(LEN(O154)&gt;9,SUMIFS(Options!$H$3:$H$27,Options!$B$3:$B$27,Check!O154),SUMIFS('Master P&amp;L'!$H$11:$H$80,'Master P&amp;L'!$B$11:$B$80,Check!O154)))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IF(B155="","",IF(LEN(B155)&gt;9,SUMIFS(Options!$H$3:$H$27,Options!$B$3:$B$27,Check!B155),SUMIFS('Master P&amp;L'!$H$11:$H$80,'Master P&amp;L'!$B$11:$B$80,Check!B155)))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IF(O155="","",IF(LEN(O155)&gt;9,SUMIFS(Options!$H$3:$H$27,Options!$B$3:$B$27,Check!O155),SUMIFS('Master P&amp;L'!$H$11:$H$80,'Master P&amp;L'!$B$11:$B$80,Check!O155)))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IF(B156="","",IF(LEN(B156)&gt;9,SUMIFS(Options!$H$3:$H$27,Options!$B$3:$B$27,Check!B156),SUMIFS('Master P&amp;L'!$H$11:$H$80,'Master P&amp;L'!$B$11:$B$80,Check!B156)))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IF(O156="","",IF(LEN(O156)&gt;9,SUMIFS(Options!$H$3:$H$27,Options!$B$3:$B$27,Check!O156),SUMIFS('Master P&amp;L'!$H$11:$H$80,'Master P&amp;L'!$B$11:$B$80,Check!O156)))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IF(B157="","",IF(LEN(B157)&gt;9,SUMIFS(Options!$H$3:$H$27,Options!$B$3:$B$27,Check!B157),SUMIFS('Master P&amp;L'!$H$11:$H$80,'Master P&amp;L'!$B$11:$B$80,Check!B157)))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IF(O157="","",IF(LEN(O157)&gt;9,SUMIFS(Options!$H$3:$H$27,Options!$B$3:$B$27,Check!O157),SUMIFS('Master P&amp;L'!$H$11:$H$80,'Master P&amp;L'!$B$11:$B$80,Check!O157)))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IF(B158="","",IF(LEN(B158)&gt;9,SUMIFS(Options!$H$3:$H$27,Options!$B$3:$B$27,Check!B158),SUMIFS('Master P&amp;L'!$H$11:$H$80,'Master P&amp;L'!$B$11:$B$80,Check!B158)))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IF(O158="","",IF(LEN(O158)&gt;9,SUMIFS(Options!$H$3:$H$27,Options!$B$3:$B$27,Check!O158),SUMIFS('Master P&amp;L'!$H$11:$H$80,'Master P&amp;L'!$B$11:$B$80,Check!O158)))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IF(B159="","",IF(LEN(B159)&gt;9,SUMIFS(Options!$H$3:$H$27,Options!$B$3:$B$27,Check!B159),SUMIFS('Master P&amp;L'!$H$11:$H$80,'Master P&amp;L'!$B$11:$B$80,Check!B159)))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IF(O159="","",IF(LEN(O159)&gt;9,SUMIFS(Options!$H$3:$H$27,Options!$B$3:$B$27,Check!O159),SUMIFS('Master P&amp;L'!$H$11:$H$80,'Master P&amp;L'!$B$11:$B$80,Check!O159)))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IF(B160="","",IF(LEN(B160)&gt;9,SUMIFS(Options!$H$3:$H$27,Options!$B$3:$B$27,Check!B160),SUMIFS('Master P&amp;L'!$H$11:$H$80,'Master P&amp;L'!$B$11:$B$80,Check!B160)))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IF(O160="","",IF(LEN(O160)&gt;9,SUMIFS(Options!$H$3:$H$27,Options!$B$3:$B$27,Check!O160),SUMIFS('Master P&amp;L'!$H$11:$H$80,'Master P&amp;L'!$B$11:$B$80,Check!O160)))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IF(B161="","",IF(LEN(B161)&gt;9,SUMIFS(Options!$H$3:$H$27,Options!$B$3:$B$27,Check!B161),SUMIFS('Master P&amp;L'!$H$11:$H$80,'Master P&amp;L'!$B$11:$B$80,Check!B161)))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IF(O161="","",IF(LEN(O161)&gt;9,SUMIFS(Options!$H$3:$H$27,Options!$B$3:$B$27,Check!O161),SUMIFS('Master P&amp;L'!$H$11:$H$80,'Master P&amp;L'!$B$11:$B$80,Check!O161)))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IF(B162="","",IF(LEN(B162)&gt;9,SUMIFS(Options!$H$3:$H$27,Options!$B$3:$B$27,Check!B162),SUMIFS('Master P&amp;L'!$H$11:$H$80,'Master P&amp;L'!$B$11:$B$80,Check!B162)))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IF(O162="","",IF(LEN(O162)&gt;9,SUMIFS(Options!$H$3:$H$27,Options!$B$3:$B$27,Check!O162),SUMIFS('Master P&amp;L'!$H$11:$H$80,'Master P&amp;L'!$B$11:$B$80,Check!O162)))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IF(B163="","",IF(LEN(B163)&gt;9,SUMIFS(Options!$H$3:$H$27,Options!$B$3:$B$27,Check!B163),SUMIFS('Master P&amp;L'!$H$11:$H$80,'Master P&amp;L'!$B$11:$B$80,Check!B163)))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IF(O163="","",IF(LEN(O163)&gt;9,SUMIFS(Options!$H$3:$H$27,Options!$B$3:$B$27,Check!O163),SUMIFS('Master P&amp;L'!$H$11:$H$80,'Master P&amp;L'!$B$11:$B$80,Check!O163)))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IF(B164="","",IF(LEN(B164)&gt;9,SUMIFS(Options!$H$3:$H$27,Options!$B$3:$B$27,Check!B164),SUMIFS('Master P&amp;L'!$H$11:$H$80,'Master P&amp;L'!$B$11:$B$80,Check!B164)))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IF(O164="","",IF(LEN(O164)&gt;9,SUMIFS(Options!$H$3:$H$27,Options!$B$3:$B$27,Check!O164),SUMIFS('Master P&amp;L'!$H$11:$H$80,'Master P&amp;L'!$B$11:$B$80,Check!O164)))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IF(B165="","",IF(LEN(B165)&gt;9,SUMIFS(Options!$H$3:$H$27,Options!$B$3:$B$27,Check!B165),SUMIFS('Master P&amp;L'!$H$11:$H$80,'Master P&amp;L'!$B$11:$B$80,Check!B165)))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IF(O165="","",IF(LEN(O165)&gt;9,SUMIFS(Options!$H$3:$H$27,Options!$B$3:$B$27,Check!O165),SUMIFS('Master P&amp;L'!$H$11:$H$80,'Master P&amp;L'!$B$11:$B$80,Check!O165)))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IF(B166="","",IF(LEN(B166)&gt;9,SUMIFS(Options!$H$3:$H$27,Options!$B$3:$B$27,Check!B166),SUMIFS('Master P&amp;L'!$H$11:$H$80,'Master P&amp;L'!$B$11:$B$80,Check!B166)))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IF(O166="","",IF(LEN(O166)&gt;9,SUMIFS(Options!$H$3:$H$27,Options!$B$3:$B$27,Check!O166),SUMIFS('Master P&amp;L'!$H$11:$H$80,'Master P&amp;L'!$B$11:$B$80,Check!O166)))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IF(B167="","",IF(LEN(B167)&gt;9,SUMIFS(Options!$H$3:$H$27,Options!$B$3:$B$27,Check!B167),SUMIFS('Master P&amp;L'!$H$11:$H$80,'Master P&amp;L'!$B$11:$B$80,Check!B167)))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IF(O167="","",IF(LEN(O167)&gt;9,SUMIFS(Options!$H$3:$H$27,Options!$B$3:$B$27,Check!O167),SUMIFS('Master P&amp;L'!$H$11:$H$80,'Master P&amp;L'!$B$11:$B$80,Check!O167)))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IF(B168="","",IF(LEN(B168)&gt;9,SUMIFS(Options!$H$3:$H$27,Options!$B$3:$B$27,Check!B168),SUMIFS('Master P&amp;L'!$H$11:$H$80,'Master P&amp;L'!$B$11:$B$80,Check!B168)))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IF(O168="","",IF(LEN(O168)&gt;9,SUMIFS(Options!$H$3:$H$27,Options!$B$3:$B$27,Check!O168),SUMIFS('Master P&amp;L'!$H$11:$H$80,'Master P&amp;L'!$B$11:$B$80,Check!O168)))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IF(B169="","",IF(LEN(B169)&gt;9,SUMIFS(Options!$H$3:$H$27,Options!$B$3:$B$27,Check!B169),SUMIFS('Master P&amp;L'!$H$11:$H$80,'Master P&amp;L'!$B$11:$B$80,Check!B169)))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IF(O169="","",IF(LEN(O169)&gt;9,SUMIFS(Options!$H$3:$H$27,Options!$B$3:$B$27,Check!O169),SUMIFS('Master P&amp;L'!$H$11:$H$80,'Master P&amp;L'!$B$11:$B$80,Check!O169)))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IF(B170="","",IF(LEN(B170)&gt;9,SUMIFS(Options!$H$3:$H$27,Options!$B$3:$B$27,Check!B170),SUMIFS('Master P&amp;L'!$H$11:$H$80,'Master P&amp;L'!$B$11:$B$80,Check!B170)))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IF(O170="","",IF(LEN(O170)&gt;9,SUMIFS(Options!$H$3:$H$27,Options!$B$3:$B$27,Check!O170),SUMIFS('Master P&amp;L'!$H$11:$H$80,'Master P&amp;L'!$B$11:$B$80,Check!O170)))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IF(B171="","",IF(LEN(B171)&gt;9,SUMIFS(Options!$H$3:$H$27,Options!$B$3:$B$27,Check!B171),SUMIFS('Master P&amp;L'!$H$11:$H$80,'Master P&amp;L'!$B$11:$B$80,Check!B171)))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IF(O171="","",IF(LEN(O171)&gt;9,SUMIFS(Options!$H$3:$H$27,Options!$B$3:$B$27,Check!O171),SUMIFS('Master P&amp;L'!$H$11:$H$80,'Master P&amp;L'!$B$11:$B$80,Check!O171)))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IF(B172="","",IF(LEN(B172)&gt;9,SUMIFS(Options!$H$3:$H$27,Options!$B$3:$B$27,Check!B172),SUMIFS('Master P&amp;L'!$H$11:$H$80,'Master P&amp;L'!$B$11:$B$80,Check!B172)))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IF(O172="","",IF(LEN(O172)&gt;9,SUMIFS(Options!$H$3:$H$27,Options!$B$3:$B$27,Check!O172),SUMIFS('Master P&amp;L'!$H$11:$H$80,'Master P&amp;L'!$B$11:$B$80,Check!O172)))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IF(B173="","",IF(LEN(B173)&gt;9,SUMIFS(Options!$H$3:$H$27,Options!$B$3:$B$27,Check!B173),SUMIFS('Master P&amp;L'!$H$11:$H$80,'Master P&amp;L'!$B$11:$B$80,Check!B173)))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IF(O173="","",IF(LEN(O173)&gt;9,SUMIFS(Options!$H$3:$H$27,Options!$B$3:$B$27,Check!O173),SUMIFS('Master P&amp;L'!$H$11:$H$80,'Master P&amp;L'!$B$11:$B$80,Check!O173)))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IF(B174="","",IF(LEN(B174)&gt;9,SUMIFS(Options!$H$3:$H$27,Options!$B$3:$B$27,Check!B174),SUMIFS('Master P&amp;L'!$H$11:$H$80,'Master P&amp;L'!$B$11:$B$80,Check!B174)))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IF(O174="","",IF(LEN(O174)&gt;9,SUMIFS(Options!$H$3:$H$27,Options!$B$3:$B$27,Check!O174),SUMIFS('Master P&amp;L'!$H$11:$H$80,'Master P&amp;L'!$B$11:$B$80,Check!O174)))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IF(B175="","",IF(LEN(B175)&gt;9,SUMIFS(Options!$H$3:$H$27,Options!$B$3:$B$27,Check!B175),SUMIFS('Master P&amp;L'!$H$11:$H$80,'Master P&amp;L'!$B$11:$B$80,Check!B175)))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IF(O175="","",IF(LEN(O175)&gt;9,SUMIFS(Options!$H$3:$H$27,Options!$B$3:$B$27,Check!O175),SUMIFS('Master P&amp;L'!$H$11:$H$80,'Master P&amp;L'!$B$11:$B$80,Check!O175)))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IF(B176="","",IF(LEN(B176)&gt;9,SUMIFS(Options!$H$3:$H$27,Options!$B$3:$B$27,Check!B176),SUMIFS('Master P&amp;L'!$H$11:$H$80,'Master P&amp;L'!$B$11:$B$80,Check!B176)))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IF(O176="","",IF(LEN(O176)&gt;9,SUMIFS(Options!$H$3:$H$27,Options!$B$3:$B$27,Check!O176),SUMIFS('Master P&amp;L'!$H$11:$H$80,'Master P&amp;L'!$B$11:$B$80,Check!O176)))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IF(B177="","",IF(LEN(B177)&gt;9,SUMIFS(Options!$H$3:$H$27,Options!$B$3:$B$27,Check!B177),SUMIFS('Master P&amp;L'!$H$11:$H$80,'Master P&amp;L'!$B$11:$B$80,Check!B177)))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IF(O177="","",IF(LEN(O177)&gt;9,SUMIFS(Options!$H$3:$H$27,Options!$B$3:$B$27,Check!O177),SUMIFS('Master P&amp;L'!$H$11:$H$80,'Master P&amp;L'!$B$11:$B$80,Check!O177)))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IF(B178="","",IF(LEN(B178)&gt;9,SUMIFS(Options!$H$3:$H$27,Options!$B$3:$B$27,Check!B178),SUMIFS('Master P&amp;L'!$H$11:$H$80,'Master P&amp;L'!$B$11:$B$80,Check!B178)))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IF(O178="","",IF(LEN(O178)&gt;9,SUMIFS(Options!$H$3:$H$27,Options!$B$3:$B$27,Check!O178),SUMIFS('Master P&amp;L'!$H$11:$H$80,'Master P&amp;L'!$B$11:$B$80,Check!O178)))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IF(B179="","",IF(LEN(B179)&gt;9,SUMIFS(Options!$H$3:$H$27,Options!$B$3:$B$27,Check!B179),SUMIFS('Master P&amp;L'!$H$11:$H$80,'Master P&amp;L'!$B$11:$B$80,Check!B179)))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IF(O179="","",IF(LEN(O179)&gt;9,SUMIFS(Options!$H$3:$H$27,Options!$B$3:$B$27,Check!O179),SUMIFS('Master P&amp;L'!$H$11:$H$80,'Master P&amp;L'!$B$11:$B$80,Check!O179)))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IF(B180="","",IF(LEN(B180)&gt;9,SUMIFS(Options!$H$3:$H$27,Options!$B$3:$B$27,Check!B180),SUMIFS('Master P&amp;L'!$H$11:$H$80,'Master P&amp;L'!$B$11:$B$80,Check!B180)))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IF(O180="","",IF(LEN(O180)&gt;9,SUMIFS(Options!$H$3:$H$27,Options!$B$3:$B$27,Check!O180),SUMIFS('Master P&amp;L'!$H$11:$H$80,'Master P&amp;L'!$B$11:$B$80,Check!O180)))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IF(B181="","",IF(LEN(B181)&gt;9,SUMIFS(Options!$H$3:$H$27,Options!$B$3:$B$27,Check!B181),SUMIFS('Master P&amp;L'!$H$11:$H$80,'Master P&amp;L'!$B$11:$B$80,Check!B181)))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IF(O181="","",IF(LEN(O181)&gt;9,SUMIFS(Options!$H$3:$H$27,Options!$B$3:$B$27,Check!O181),SUMIFS('Master P&amp;L'!$H$11:$H$80,'Master P&amp;L'!$B$11:$B$80,Check!O181)))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IF(B182="","",IF(LEN(B182)&gt;9,SUMIFS(Options!$H$3:$H$27,Options!$B$3:$B$27,Check!B182),SUMIFS('Master P&amp;L'!$H$11:$H$80,'Master P&amp;L'!$B$11:$B$80,Check!B182)))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IF(O182="","",IF(LEN(O182)&gt;9,SUMIFS(Options!$H$3:$H$27,Options!$B$3:$B$27,Check!O182),SUMIFS('Master P&amp;L'!$H$11:$H$80,'Master P&amp;L'!$B$11:$B$80,Check!O182)))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IF(B183="","",IF(LEN(B183)&gt;9,SUMIFS(Options!$H$3:$H$27,Options!$B$3:$B$27,Check!B183),SUMIFS('Master P&amp;L'!$H$11:$H$80,'Master P&amp;L'!$B$11:$B$80,Check!B183)))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IF(O183="","",IF(LEN(O183)&gt;9,SUMIFS(Options!$H$3:$H$27,Options!$B$3:$B$27,Check!O183),SUMIFS('Master P&amp;L'!$H$11:$H$80,'Master P&amp;L'!$B$11:$B$80,Check!O183)))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IF(B184="","",IF(LEN(B184)&gt;9,SUMIFS(Options!$H$3:$H$27,Options!$B$3:$B$27,Check!B184),SUMIFS('Master P&amp;L'!$H$11:$H$80,'Master P&amp;L'!$B$11:$B$80,Check!B184)))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IF(O184="","",IF(LEN(O184)&gt;9,SUMIFS(Options!$H$3:$H$27,Options!$B$3:$B$27,Check!O184),SUMIFS('Master P&amp;L'!$H$11:$H$80,'Master P&amp;L'!$B$11:$B$80,Check!O184)))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IF(B185="","",IF(LEN(B185)&gt;9,SUMIFS(Options!$H$3:$H$27,Options!$B$3:$B$27,Check!B185),SUMIFS('Master P&amp;L'!$H$11:$H$80,'Master P&amp;L'!$B$11:$B$80,Check!B185)))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IF(O185="","",IF(LEN(O185)&gt;9,SUMIFS(Options!$H$3:$H$27,Options!$B$3:$B$27,Check!O185),SUMIFS('Master P&amp;L'!$H$11:$H$80,'Master P&amp;L'!$B$11:$B$80,Check!O185)))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IF(B186="","",IF(LEN(B186)&gt;9,SUMIFS(Options!$H$3:$H$27,Options!$B$3:$B$27,Check!B186),SUMIFS('Master P&amp;L'!$H$11:$H$80,'Master P&amp;L'!$B$11:$B$80,Check!B186)))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IF(O186="","",IF(LEN(O186)&gt;9,SUMIFS(Options!$H$3:$H$27,Options!$B$3:$B$27,Check!O186),SUMIFS('Master P&amp;L'!$H$11:$H$80,'Master P&amp;L'!$B$11:$B$80,Check!O186)))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IF(B187="","",IF(LEN(B187)&gt;9,SUMIFS(Options!$H$3:$H$27,Options!$B$3:$B$27,Check!B187),SUMIFS('Master P&amp;L'!$H$11:$H$80,'Master P&amp;L'!$B$11:$B$80,Check!B187)))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IF(O187="","",IF(LEN(O187)&gt;9,SUMIFS(Options!$H$3:$H$27,Options!$B$3:$B$27,Check!O187),SUMIFS('Master P&amp;L'!$H$11:$H$80,'Master P&amp;L'!$B$11:$B$80,Check!O187)))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IF(B188="","",IF(LEN(B188)&gt;9,SUMIFS(Options!$H$3:$H$27,Options!$B$3:$B$27,Check!B188),SUMIFS('Master P&amp;L'!$H$11:$H$80,'Master P&amp;L'!$B$11:$B$80,Check!B188)))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IF(O188="","",IF(LEN(O188)&gt;9,SUMIFS(Options!$H$3:$H$27,Options!$B$3:$B$27,Check!O188),SUMIFS('Master P&amp;L'!$H$11:$H$80,'Master P&amp;L'!$B$11:$B$80,Check!O188)))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IF(B189="","",IF(LEN(B189)&gt;9,SUMIFS(Options!$H$3:$H$27,Options!$B$3:$B$27,Check!B189),SUMIFS('Master P&amp;L'!$H$11:$H$80,'Master P&amp;L'!$B$11:$B$80,Check!B189)))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IF(O189="","",IF(LEN(O189)&gt;9,SUMIFS(Options!$H$3:$H$27,Options!$B$3:$B$27,Check!O189),SUMIFS('Master P&amp;L'!$H$11:$H$80,'Master P&amp;L'!$B$11:$B$80,Check!O189)))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IF(B190="","",IF(LEN(B190)&gt;9,SUMIFS(Options!$H$3:$H$27,Options!$B$3:$B$27,Check!B190),SUMIFS('Master P&amp;L'!$H$11:$H$80,'Master P&amp;L'!$B$11:$B$80,Check!B190)))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IF(O190="","",IF(LEN(O190)&gt;9,SUMIFS(Options!$H$3:$H$27,Options!$B$3:$B$27,Check!O190),SUMIFS('Master P&amp;L'!$H$11:$H$80,'Master P&amp;L'!$B$11:$B$80,Check!O190)))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IF(B191="","",IF(LEN(B191)&gt;9,SUMIFS(Options!$H$3:$H$27,Options!$B$3:$B$27,Check!B191),SUMIFS('Master P&amp;L'!$H$11:$H$80,'Master P&amp;L'!$B$11:$B$80,Check!B191)))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IF(O191="","",IF(LEN(O191)&gt;9,SUMIFS(Options!$H$3:$H$27,Options!$B$3:$B$27,Check!O191),SUMIFS('Master P&amp;L'!$H$11:$H$80,'Master P&amp;L'!$B$11:$B$80,Check!O191)))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IF(O192="","",IF(LEN(O192)&gt;9,SUMIFS(Options!$H$3:$H$27,Options!$B$3:$B$27,Check!O192),SUMIFS('Master P&amp;L'!$H$11:$H$80,'Master P&amp;L'!$B$11:$B$80,Check!O192)))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IF(O193="","",IF(LEN(O193)&gt;9,SUMIFS(Options!$H$3:$H$27,Options!$B$3:$B$27,Check!O193),SUMIFS('Master P&amp;L'!$H$11:$H$80,'Master P&amp;L'!$B$11:$B$80,Check!O193)))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IF(O194="","",IF(LEN(O194)&gt;9,SUMIFS(Options!$H$3:$H$27,Options!$B$3:$B$27,Check!O194),SUMIFS('Master P&amp;L'!$H$11:$H$80,'Master P&amp;L'!$B$11:$B$80,Check!O194)))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IF(O195="","",IF(LEN(O195)&gt;9,SUMIFS(Options!$H$3:$H$27,Options!$B$3:$B$27,Check!O195),SUMIFS('Master P&amp;L'!$H$11:$H$80,'Master P&amp;L'!$B$11:$B$80,Check!O195)))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IF(O196="","",IF(LEN(O196)&gt;9,SUMIFS(Options!$H$3:$H$27,Options!$B$3:$B$27,Check!O196),SUMIFS('Master P&amp;L'!$H$11:$H$80,'Master P&amp;L'!$B$11:$B$80,Check!O196)))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IF(O197="","",IF(LEN(O197)&gt;9,SUMIFS(Options!$H$3:$H$27,Options!$B$3:$B$27,Check!O197),SUMIFS('Master P&amp;L'!$H$11:$H$80,'Master P&amp;L'!$B$11:$B$80,Check!O197)))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IF(O198="","",IF(LEN(O198)&gt;9,SUMIFS(Options!$H$3:$H$27,Options!$B$3:$B$27,Check!O198),SUMIFS('Master P&amp;L'!$H$11:$H$80,'Master P&amp;L'!$B$11:$B$80,Check!O198)))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IF(O199="","",IF(LEN(O199)&gt;9,SUMIFS(Options!$H$3:$H$27,Options!$B$3:$B$27,Check!O199),SUMIFS('Master P&amp;L'!$H$11:$H$80,'Master P&amp;L'!$B$11:$B$80,Check!O199)))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IF(O200="","",IF(LEN(O200)&gt;9,SUMIFS(Options!$H$3:$H$27,Options!$B$3:$B$27,Check!O200),SUMIFS('Master P&amp;L'!$H$11:$H$80,'Master P&amp;L'!$B$11:$B$80,Check!O200)))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IF(O201="","",IF(LEN(O201)&gt;9,SUMIFS(Options!$H$3:$H$27,Options!$B$3:$B$27,Check!O201),SUMIFS('Master P&amp;L'!$H$11:$H$80,'Master P&amp;L'!$B$11:$B$80,Check!O201)))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IF(O202="","",IF(LEN(O202)&gt;9,SUMIFS(Options!$H$3:$H$27,Options!$B$3:$B$27,Check!O202),SUMIFS('Master P&amp;L'!$H$11:$H$80,'Master P&amp;L'!$B$11:$B$80,Check!O202)))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IF(O203="","",IF(LEN(O203)&gt;9,SUMIFS(Options!$H$3:$H$27,Options!$B$3:$B$27,Check!O203),SUMIFS('Master P&amp;L'!$H$11:$H$80,'Master P&amp;L'!$B$11:$B$80,Check!O203)))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IF(O204="","",IF(LEN(O204)&gt;9,SUMIFS(Options!$H$3:$H$27,Options!$B$3:$B$27,Check!O204),SUMIFS('Master P&amp;L'!$H$11:$H$80,'Master P&amp;L'!$B$11:$B$80,Check!O204)))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IF(O205="","",IF(LEN(O205)&gt;9,SUMIFS(Options!$H$3:$H$27,Options!$B$3:$B$27,Check!O205),SUMIFS('Master P&amp;L'!$H$11:$H$80,'Master P&amp;L'!$B$11:$B$80,Check!O205)))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IF(O206="","",IF(LEN(O206)&gt;9,SUMIFS(Options!$H$3:$H$27,Options!$B$3:$B$27,Check!O206),SUMIFS('Master P&amp;L'!$H$11:$H$80,'Master P&amp;L'!$B$11:$B$80,Check!O206)))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0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9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85546875" style="213" bestFit="1" customWidth="1" outlineLevel="1"/>
    <col min="10" max="10" width="9.140625" style="213"/>
    <col min="11" max="11" width="28.5703125" style="213" bestFit="1" customWidth="1"/>
    <col min="12" max="12" width="48.4257812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2328</v>
      </c>
      <c r="F2" s="213" t="s">
        <v>2314</v>
      </c>
      <c r="G2" s="213" t="s">
        <v>282</v>
      </c>
      <c r="H2" s="213">
        <v>8</v>
      </c>
      <c r="I2" s="213">
        <v>27</v>
      </c>
      <c r="K2" s="214" t="str">
        <f>IF(E2="","",E2)</f>
        <v>NASDAQ-100 E-mini Options - CME</v>
      </c>
      <c r="L2" s="214" t="str">
        <f>IF(E2="","",IF(COUNTIFS(Table2[[#All],[De (Lote)]],Input_APM!F2)&gt;0,INDEX(Table2[[#All],[Para (Ticker Daniel)]],MATCH(Input_APM!F2,Table2[[#All],[De (Lote)]],0)),Input_APM!F2))</f>
        <v>1OG6P 25000</v>
      </c>
      <c r="M2" s="214" t="str">
        <f>IF(E2="","",G2)</f>
        <v>EQTY.IntlUS.off</v>
      </c>
      <c r="N2" s="215">
        <f>IF(E2="","",H2)</f>
        <v>8</v>
      </c>
      <c r="O2" s="215">
        <f>IF(E2="","",I2)</f>
        <v>27</v>
      </c>
    </row>
    <row r="3" spans="5:15">
      <c r="E3" s="213" t="s">
        <v>319</v>
      </c>
      <c r="F3" s="213" t="s">
        <v>2287</v>
      </c>
      <c r="G3" s="213" t="s">
        <v>282</v>
      </c>
      <c r="H3" s="213">
        <v>-23</v>
      </c>
      <c r="I3" s="213">
        <v>-23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-23</v>
      </c>
      <c r="O3" s="215">
        <f t="shared" ref="O3:O66" si="3">IF(E3="","",I3)</f>
        <v>-23</v>
      </c>
    </row>
    <row r="4" spans="5:15">
      <c r="E4" s="213" t="s">
        <v>319</v>
      </c>
      <c r="F4" s="213" t="s">
        <v>2288</v>
      </c>
      <c r="G4" s="213" t="s">
        <v>282</v>
      </c>
      <c r="H4" s="213">
        <v>117</v>
      </c>
      <c r="I4" s="213">
        <v>117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P290</v>
      </c>
      <c r="M4" s="214" t="str">
        <f t="shared" si="1"/>
        <v>EQTY.IntlUS.off</v>
      </c>
      <c r="N4" s="215">
        <f t="shared" si="2"/>
        <v>117</v>
      </c>
      <c r="O4" s="215">
        <f t="shared" si="3"/>
        <v>117</v>
      </c>
    </row>
    <row r="5" spans="5:15">
      <c r="E5" s="213" t="s">
        <v>317</v>
      </c>
      <c r="F5" s="213" t="s">
        <v>399</v>
      </c>
      <c r="G5" s="213" t="s">
        <v>282</v>
      </c>
      <c r="H5" s="213">
        <v>10709</v>
      </c>
      <c r="I5" s="213">
        <v>10709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AMZN</v>
      </c>
      <c r="M5" s="214" t="str">
        <f t="shared" si="1"/>
        <v>EQTY.IntlUS.off</v>
      </c>
      <c r="N5" s="215">
        <f t="shared" si="2"/>
        <v>10709</v>
      </c>
      <c r="O5" s="215">
        <f t="shared" si="3"/>
        <v>10709</v>
      </c>
    </row>
    <row r="6" spans="5:15">
      <c r="E6" s="213" t="s">
        <v>324</v>
      </c>
      <c r="F6" s="213" t="s">
        <v>2260</v>
      </c>
      <c r="G6" s="213" t="s">
        <v>282</v>
      </c>
      <c r="H6" s="213">
        <v>1874</v>
      </c>
      <c r="I6" s="213">
        <v>1405</v>
      </c>
      <c r="K6" s="214" t="str">
        <f t="shared" si="0"/>
        <v>ETF Options</v>
      </c>
      <c r="L6" s="214" t="str">
        <f>IF(E6="","",IF(COUNTIFS(Table2[[#All],[De (Lote)]],Input_APM!F6)&gt;0,INDEX(Table2[[#All],[Para (Ticker Daniel)]],MATCH(Input_APM!F6,Table2[[#All],[De (Lote)]],0)),Input_APM!F6))</f>
        <v>ASHR US 02/20/26 C35</v>
      </c>
      <c r="M6" s="214" t="str">
        <f t="shared" si="1"/>
        <v>EQTY.IntlUS.off</v>
      </c>
      <c r="N6" s="215">
        <f t="shared" si="2"/>
        <v>1874</v>
      </c>
      <c r="O6" s="215">
        <f t="shared" si="3"/>
        <v>1405</v>
      </c>
    </row>
    <row r="7" spans="5:15">
      <c r="E7" s="213" t="s">
        <v>317</v>
      </c>
      <c r="F7" s="213" t="s">
        <v>137</v>
      </c>
      <c r="G7" s="213" t="s">
        <v>282</v>
      </c>
      <c r="H7" s="213">
        <v>6718</v>
      </c>
      <c r="I7" s="213">
        <v>11404</v>
      </c>
      <c r="K7" s="214" t="str">
        <f t="shared" si="0"/>
        <v>US Equity</v>
      </c>
      <c r="L7" s="214" t="str">
        <f>IF(E7="","",IF(COUNTIFS(Table2[[#All],[De (Lote)]],Input_APM!F7)&gt;0,INDEX(Table2[[#All],[Para (Ticker Daniel)]],MATCH(Input_APM!F7,Table2[[#All],[De (Lote)]],0)),Input_APM!F7))</f>
        <v>AVGO</v>
      </c>
      <c r="M7" s="214" t="str">
        <f t="shared" si="1"/>
        <v>EQTY.IntlUS.off</v>
      </c>
      <c r="N7" s="215">
        <f t="shared" si="2"/>
        <v>6718</v>
      </c>
      <c r="O7" s="215">
        <f t="shared" si="3"/>
        <v>11404</v>
      </c>
    </row>
    <row r="8" spans="5:15">
      <c r="E8" s="213" t="s">
        <v>319</v>
      </c>
      <c r="F8" s="213" t="s">
        <v>2116</v>
      </c>
      <c r="G8" s="213" t="s">
        <v>282</v>
      </c>
      <c r="H8" s="213">
        <v>48</v>
      </c>
      <c r="I8" s="213">
        <v>48</v>
      </c>
      <c r="K8" s="214" t="str">
        <f t="shared" si="0"/>
        <v>US Equity Options</v>
      </c>
      <c r="L8" s="214" t="str">
        <f>IF(E8="","",IF(COUNTIFS(Table2[[#All],[De (Lote)]],Input_APM!F8)&gt;0,INDEX(Table2[[#All],[Para (Ticker Daniel)]],MATCH(Input_APM!F8,Table2[[#All],[De (Lote)]],0)),Input_APM!F8))</f>
        <v>AVGO US 06/18/26 C350</v>
      </c>
      <c r="M8" s="214" t="str">
        <f t="shared" si="1"/>
        <v>EQTY.IntlUS.off</v>
      </c>
      <c r="N8" s="215">
        <f t="shared" si="2"/>
        <v>48</v>
      </c>
      <c r="O8" s="215">
        <f t="shared" si="3"/>
        <v>48</v>
      </c>
    </row>
    <row r="9" spans="5:15">
      <c r="E9" s="213" t="s">
        <v>319</v>
      </c>
      <c r="F9" s="213" t="s">
        <v>2118</v>
      </c>
      <c r="G9" s="213" t="s">
        <v>282</v>
      </c>
      <c r="H9" s="213">
        <v>-25</v>
      </c>
      <c r="I9" s="213">
        <v>-39</v>
      </c>
      <c r="K9" s="214" t="str">
        <f t="shared" si="0"/>
        <v>US Equity Options</v>
      </c>
      <c r="L9" s="214" t="str">
        <f>IF(E9="","",IF(COUNTIFS(Table2[[#All],[De (Lote)]],Input_APM!F9)&gt;0,INDEX(Table2[[#All],[Para (Ticker Daniel)]],MATCH(Input_APM!F9,Table2[[#All],[De (Lote)]],0)),Input_APM!F9))</f>
        <v>AVGO US 06/18/26 C410</v>
      </c>
      <c r="M9" s="214" t="str">
        <f t="shared" si="1"/>
        <v>EQTY.IntlUS.off</v>
      </c>
      <c r="N9" s="215">
        <f t="shared" si="2"/>
        <v>-25</v>
      </c>
      <c r="O9" s="215">
        <f t="shared" si="3"/>
        <v>-39</v>
      </c>
    </row>
    <row r="10" spans="5:15">
      <c r="E10" s="213" t="s">
        <v>39</v>
      </c>
      <c r="F10" s="213" t="s">
        <v>461</v>
      </c>
      <c r="G10" s="213" t="s">
        <v>282</v>
      </c>
      <c r="H10" s="213">
        <v>3163</v>
      </c>
      <c r="I10" s="213">
        <v>3163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BABA</v>
      </c>
      <c r="M10" s="214" t="str">
        <f t="shared" si="1"/>
        <v>EQTY.IntlUS.off</v>
      </c>
      <c r="N10" s="215">
        <f t="shared" si="2"/>
        <v>3163</v>
      </c>
      <c r="O10" s="215">
        <f t="shared" si="3"/>
        <v>3163</v>
      </c>
    </row>
    <row r="11" spans="5:15">
      <c r="E11" s="213" t="s">
        <v>39</v>
      </c>
      <c r="F11" s="213" t="s">
        <v>2162</v>
      </c>
      <c r="G11" s="213" t="s">
        <v>282</v>
      </c>
      <c r="H11" s="213">
        <v>3285</v>
      </c>
      <c r="I11" s="213">
        <v>3285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BIDU</v>
      </c>
      <c r="M11" s="214" t="str">
        <f t="shared" si="1"/>
        <v>EQTY.IntlUS.off</v>
      </c>
      <c r="N11" s="215">
        <f t="shared" si="2"/>
        <v>3285</v>
      </c>
      <c r="O11" s="215">
        <f t="shared" si="3"/>
        <v>3285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-0.28999999999999998</v>
      </c>
      <c r="I12" s="213">
        <v>-0.28999999999999998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CAD</v>
      </c>
      <c r="M12" s="214" t="str">
        <f t="shared" si="1"/>
        <v>EQTY.IntlUS.off</v>
      </c>
      <c r="N12" s="215">
        <f t="shared" si="2"/>
        <v>-0.28999999999999998</v>
      </c>
      <c r="O12" s="215">
        <f t="shared" si="3"/>
        <v>-0.28999999999999998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0.39</v>
      </c>
      <c r="I13" s="213">
        <v>0.39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EQTY.InternacionalUS2.off</v>
      </c>
      <c r="N13" s="215">
        <f t="shared" si="2"/>
        <v>0.39</v>
      </c>
      <c r="O13" s="215">
        <f t="shared" si="3"/>
        <v>0.39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-34454.449999999997</v>
      </c>
      <c r="I14" s="213">
        <v>-34454.449999999997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EQTY.IntlUS.off</v>
      </c>
      <c r="N14" s="215">
        <f t="shared" si="2"/>
        <v>-34454.449999999997</v>
      </c>
      <c r="O14" s="215">
        <f t="shared" si="3"/>
        <v>-34454.449999999997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-0.36</v>
      </c>
      <c r="I15" s="213">
        <v>-0.36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CNH</v>
      </c>
      <c r="M15" s="214" t="str">
        <f t="shared" si="1"/>
        <v>EQTY.IntlUS.off</v>
      </c>
      <c r="N15" s="215">
        <f t="shared" si="2"/>
        <v>-0.36</v>
      </c>
      <c r="O15" s="215">
        <f t="shared" si="3"/>
        <v>-0.36</v>
      </c>
    </row>
    <row r="16" spans="5:15">
      <c r="E16" s="213" t="s">
        <v>321</v>
      </c>
      <c r="F16" s="213" t="s">
        <v>2137</v>
      </c>
      <c r="G16" s="213" t="s">
        <v>283</v>
      </c>
      <c r="H16" s="213">
        <v>-0.19</v>
      </c>
      <c r="I16" s="213">
        <v>-0.19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EQTY.InternacionalUS2.off</v>
      </c>
      <c r="N16" s="215">
        <f t="shared" si="2"/>
        <v>-0.19</v>
      </c>
      <c r="O16" s="215">
        <f t="shared" si="3"/>
        <v>-0.19</v>
      </c>
    </row>
    <row r="17" spans="5:15">
      <c r="E17" s="213" t="s">
        <v>321</v>
      </c>
      <c r="F17" s="213" t="s">
        <v>2137</v>
      </c>
      <c r="G17" s="213" t="s">
        <v>282</v>
      </c>
      <c r="H17" s="213">
        <v>-143145.81</v>
      </c>
      <c r="I17" s="213">
        <v>-143145.81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EQTY.IntlUS.off</v>
      </c>
      <c r="N17" s="215">
        <f t="shared" si="2"/>
        <v>-143145.81</v>
      </c>
      <c r="O17" s="215">
        <f t="shared" si="3"/>
        <v>-143145.81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-0.15</v>
      </c>
      <c r="I18" s="213">
        <v>-0.15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EQTY.InternacionalUS2.off</v>
      </c>
      <c r="N18" s="215">
        <f t="shared" si="2"/>
        <v>-0.15</v>
      </c>
      <c r="O18" s="215">
        <f t="shared" si="3"/>
        <v>-0.15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-380395.33</v>
      </c>
      <c r="I19" s="213">
        <v>42629.42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EQTY.IntlUS.off</v>
      </c>
      <c r="N19" s="215">
        <f t="shared" si="2"/>
        <v>-380395.33</v>
      </c>
      <c r="O19" s="215">
        <f t="shared" si="3"/>
        <v>42629.42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-0.47</v>
      </c>
      <c r="I20" s="213">
        <v>-0.47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GBP</v>
      </c>
      <c r="M20" s="214" t="str">
        <f t="shared" si="1"/>
        <v>EQTY.IntlUS.off</v>
      </c>
      <c r="N20" s="215">
        <f t="shared" si="2"/>
        <v>-0.47</v>
      </c>
      <c r="O20" s="215">
        <f t="shared" si="3"/>
        <v>-0.47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0.2</v>
      </c>
      <c r="I21" s="213">
        <v>0.2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EQTY.InternacionalUS2.off</v>
      </c>
      <c r="N21" s="215">
        <f t="shared" si="2"/>
        <v>0.2</v>
      </c>
      <c r="O21" s="215">
        <f t="shared" si="3"/>
        <v>0.2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-341409.97</v>
      </c>
      <c r="I22" s="213">
        <v>-341409.97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EQTY.IntlUS.off</v>
      </c>
      <c r="N22" s="215">
        <f t="shared" si="2"/>
        <v>-341409.97</v>
      </c>
      <c r="O22" s="215">
        <f t="shared" si="3"/>
        <v>-341409.97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1.000005E-2</v>
      </c>
      <c r="I23" s="213">
        <v>1.000005E-2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KRW</v>
      </c>
      <c r="M23" s="214" t="str">
        <f t="shared" si="1"/>
        <v>EQTY.IntlUS.off</v>
      </c>
      <c r="N23" s="215">
        <f t="shared" si="2"/>
        <v>1.000005E-2</v>
      </c>
      <c r="O23" s="215">
        <f t="shared" si="3"/>
        <v>1.000005E-2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1157016.43435315</v>
      </c>
      <c r="I24" s="213">
        <v>4.3531500000000001E-3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USD</v>
      </c>
      <c r="M24" s="214" t="str">
        <f t="shared" si="1"/>
        <v>EQTY.IntlUS.off</v>
      </c>
      <c r="N24" s="215">
        <f t="shared" si="2"/>
        <v>1157016.43435315</v>
      </c>
      <c r="O24" s="215">
        <f t="shared" si="3"/>
        <v>4.3531500000000001E-3</v>
      </c>
    </row>
    <row r="25" spans="5:15">
      <c r="E25" s="213" t="s">
        <v>477</v>
      </c>
      <c r="F25" s="213" t="s">
        <v>1914</v>
      </c>
      <c r="G25" s="213" t="s">
        <v>282</v>
      </c>
      <c r="H25" s="213">
        <v>4625000</v>
      </c>
      <c r="I25" s="213">
        <v>4625000</v>
      </c>
      <c r="K25" s="214" t="str">
        <f t="shared" si="0"/>
        <v>CDS</v>
      </c>
      <c r="L25" s="214" t="str">
        <f>IF(E25="","",IF(COUNTIFS(Table2[[#All],[De (Lote)]],Input_APM!F25)&gt;0,INDEX(Table2[[#All],[Para (Ticker Daniel)]],MATCH(Input_APM!F25,Table2[[#All],[De (Lote)]],0)),Input_APM!F25))</f>
        <v>CHINAGOV 12/20/30</v>
      </c>
      <c r="M25" s="214" t="str">
        <f t="shared" si="1"/>
        <v>EQTY.IntlUS.off</v>
      </c>
      <c r="N25" s="215">
        <f t="shared" si="2"/>
        <v>4625000</v>
      </c>
      <c r="O25" s="215">
        <f t="shared" si="3"/>
        <v>4625000</v>
      </c>
    </row>
    <row r="26" spans="5:15">
      <c r="E26" s="213" t="s">
        <v>320</v>
      </c>
      <c r="F26" s="213" t="s">
        <v>484</v>
      </c>
      <c r="G26" s="213" t="s">
        <v>282</v>
      </c>
      <c r="H26" s="213">
        <v>5623</v>
      </c>
      <c r="I26" s="213">
        <v>0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COPX</v>
      </c>
      <c r="M26" s="214" t="str">
        <f t="shared" si="1"/>
        <v>EQTY.IntlUS.off</v>
      </c>
      <c r="N26" s="215">
        <f t="shared" si="2"/>
        <v>5623</v>
      </c>
      <c r="O26" s="215">
        <f t="shared" si="3"/>
        <v>0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39308</v>
      </c>
      <c r="I27" s="213">
        <v>39308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EWY</v>
      </c>
      <c r="M27" s="214" t="str">
        <f t="shared" si="1"/>
        <v>EQTY.IntlUS.off</v>
      </c>
      <c r="N27" s="215">
        <f t="shared" si="2"/>
        <v>39308</v>
      </c>
      <c r="O27" s="215">
        <f t="shared" si="3"/>
        <v>39308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13842</v>
      </c>
      <c r="I28" s="213">
        <v>11499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 xml:space="preserve">GDX </v>
      </c>
      <c r="M28" s="214" t="str">
        <f t="shared" si="1"/>
        <v>EQTY.IntlUS.off</v>
      </c>
      <c r="N28" s="215">
        <f t="shared" si="2"/>
        <v>13842</v>
      </c>
      <c r="O28" s="215">
        <f t="shared" si="3"/>
        <v>11499</v>
      </c>
    </row>
    <row r="29" spans="5:15">
      <c r="E29" s="213" t="s">
        <v>324</v>
      </c>
      <c r="F29" s="213" t="s">
        <v>2318</v>
      </c>
      <c r="G29" s="213" t="s">
        <v>282</v>
      </c>
      <c r="H29" s="213">
        <v>1031</v>
      </c>
      <c r="I29" s="213">
        <v>1031</v>
      </c>
      <c r="K29" s="214" t="str">
        <f t="shared" si="0"/>
        <v>ETF Options</v>
      </c>
      <c r="L29" s="214" t="str">
        <f>IF(E29="","",IF(COUNTIFS(Table2[[#All],[De (Lote)]],Input_APM!F29)&gt;0,INDEX(Table2[[#All],[Para (Ticker Daniel)]],MATCH(Input_APM!F29,Table2[[#All],[De (Lote)]],0)),Input_APM!F29))</f>
        <v>GDX US 09/18/26 C105</v>
      </c>
      <c r="M29" s="214" t="str">
        <f t="shared" si="1"/>
        <v>EQTY.IntlUS.off</v>
      </c>
      <c r="N29" s="215">
        <f t="shared" si="2"/>
        <v>1031</v>
      </c>
      <c r="O29" s="215">
        <f t="shared" si="3"/>
        <v>1031</v>
      </c>
    </row>
    <row r="30" spans="5:15">
      <c r="E30" s="213" t="s">
        <v>324</v>
      </c>
      <c r="F30" s="213" t="s">
        <v>2319</v>
      </c>
      <c r="G30" s="213" t="s">
        <v>282</v>
      </c>
      <c r="H30" s="213">
        <v>-1031</v>
      </c>
      <c r="I30" s="213">
        <v>-1031</v>
      </c>
      <c r="K30" s="214" t="str">
        <f t="shared" si="0"/>
        <v>ETF Options</v>
      </c>
      <c r="L30" s="214" t="str">
        <f>IF(E30="","",IF(COUNTIFS(Table2[[#All],[De (Lote)]],Input_APM!F30)&gt;0,INDEX(Table2[[#All],[Para (Ticker Daniel)]],MATCH(Input_APM!F30,Table2[[#All],[De (Lote)]],0)),Input_APM!F30))</f>
        <v>GDX US 09/18/26 C115</v>
      </c>
      <c r="M30" s="214" t="str">
        <f t="shared" si="1"/>
        <v>EQTY.IntlUS.off</v>
      </c>
      <c r="N30" s="215">
        <f t="shared" si="2"/>
        <v>-1031</v>
      </c>
      <c r="O30" s="215">
        <f t="shared" si="3"/>
        <v>-1031</v>
      </c>
    </row>
    <row r="31" spans="5:15">
      <c r="E31" s="213" t="s">
        <v>317</v>
      </c>
      <c r="F31" s="213" t="s">
        <v>2170</v>
      </c>
      <c r="G31" s="213" t="s">
        <v>282</v>
      </c>
      <c r="H31" s="213">
        <v>13873</v>
      </c>
      <c r="I31" s="213">
        <v>6937</v>
      </c>
      <c r="K31" s="214" t="str">
        <f t="shared" si="0"/>
        <v>US Equity</v>
      </c>
      <c r="L31" s="214" t="str">
        <f>IF(E31="","",IF(COUNTIFS(Table2[[#All],[De (Lote)]],Input_APM!F31)&gt;0,INDEX(Table2[[#All],[Para (Ticker Daniel)]],MATCH(Input_APM!F31,Table2[[#All],[De (Lote)]],0)),Input_APM!F31))</f>
        <v>GOOG</v>
      </c>
      <c r="M31" s="214" t="str">
        <f t="shared" si="1"/>
        <v>EQTY.IntlUS.off</v>
      </c>
      <c r="N31" s="215">
        <f t="shared" si="2"/>
        <v>13873</v>
      </c>
      <c r="O31" s="215">
        <f t="shared" si="3"/>
        <v>6937</v>
      </c>
    </row>
    <row r="32" spans="5:15">
      <c r="E32" s="213" t="s">
        <v>325</v>
      </c>
      <c r="F32" s="213" t="s">
        <v>1898</v>
      </c>
      <c r="G32" s="213" t="s">
        <v>282</v>
      </c>
      <c r="H32" s="213">
        <v>276451</v>
      </c>
      <c r="I32" s="213">
        <v>276451</v>
      </c>
      <c r="K32" s="214" t="str">
        <f t="shared" si="0"/>
        <v>Basket Index Options</v>
      </c>
      <c r="L32" s="214" t="str">
        <f>IF(E32="","",IF(COUNTIFS(Table2[[#All],[De (Lote)]],Input_APM!F32)&gt;0,INDEX(Table2[[#All],[Para (Ticker Daniel)]],MATCH(Input_APM!F32,Table2[[#All],[De (Lote)]],0)),Input_APM!F32))</f>
        <v>GSC1000P 03/20/26 C104</v>
      </c>
      <c r="M32" s="214" t="str">
        <f t="shared" si="1"/>
        <v>EQTY.IntlUS.off</v>
      </c>
      <c r="N32" s="215">
        <f t="shared" si="2"/>
        <v>276451</v>
      </c>
      <c r="O32" s="215">
        <f t="shared" si="3"/>
        <v>276451</v>
      </c>
    </row>
    <row r="33" spans="5:15">
      <c r="E33" s="213" t="s">
        <v>325</v>
      </c>
      <c r="F33" s="213" t="s">
        <v>1899</v>
      </c>
      <c r="G33" s="213" t="s">
        <v>282</v>
      </c>
      <c r="H33" s="213">
        <v>-276451</v>
      </c>
      <c r="I33" s="213">
        <v>-276451</v>
      </c>
      <c r="K33" s="214" t="str">
        <f t="shared" si="0"/>
        <v>Basket Index Options</v>
      </c>
      <c r="L33" s="214" t="str">
        <f>IF(E33="","",IF(COUNTIFS(Table2[[#All],[De (Lote)]],Input_APM!F33)&gt;0,INDEX(Table2[[#All],[Para (Ticker Daniel)]],MATCH(Input_APM!F33,Table2[[#All],[De (Lote)]],0)),Input_APM!F33))</f>
        <v>GSC1000P 03/20/26 C119</v>
      </c>
      <c r="M33" s="214" t="str">
        <f t="shared" si="1"/>
        <v>EQTY.IntlUS.off</v>
      </c>
      <c r="N33" s="215">
        <f t="shared" si="2"/>
        <v>-276451</v>
      </c>
      <c r="O33" s="215">
        <f t="shared" si="3"/>
        <v>-276451</v>
      </c>
    </row>
    <row r="34" spans="5:15">
      <c r="E34" s="213" t="s">
        <v>317</v>
      </c>
      <c r="F34" s="213" t="s">
        <v>2321</v>
      </c>
      <c r="G34" s="213" t="s">
        <v>282</v>
      </c>
      <c r="H34" s="213">
        <v>-9374</v>
      </c>
      <c r="I34" s="213">
        <v>-9374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KHC</v>
      </c>
      <c r="M34" s="214" t="str">
        <f t="shared" si="1"/>
        <v>EQTY.IntlUS.off</v>
      </c>
      <c r="N34" s="215">
        <f t="shared" si="2"/>
        <v>-9374</v>
      </c>
      <c r="O34" s="215">
        <f t="shared" si="3"/>
        <v>-9374</v>
      </c>
    </row>
    <row r="35" spans="5:15">
      <c r="E35" s="213" t="s">
        <v>317</v>
      </c>
      <c r="F35" s="213" t="s">
        <v>2072</v>
      </c>
      <c r="G35" s="213" t="s">
        <v>282</v>
      </c>
      <c r="H35" s="213">
        <v>1123</v>
      </c>
      <c r="I35" s="213">
        <v>-1760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LITE</v>
      </c>
      <c r="M35" s="214" t="str">
        <f t="shared" si="1"/>
        <v>EQTY.IntlUS.off</v>
      </c>
      <c r="N35" s="215">
        <f t="shared" si="2"/>
        <v>1123</v>
      </c>
      <c r="O35" s="215">
        <f t="shared" si="3"/>
        <v>-1760</v>
      </c>
    </row>
    <row r="36" spans="5:15">
      <c r="E36" s="213" t="s">
        <v>319</v>
      </c>
      <c r="F36" s="213" t="s">
        <v>2083</v>
      </c>
      <c r="G36" s="213" t="s">
        <v>282</v>
      </c>
      <c r="H36" s="213">
        <v>54</v>
      </c>
      <c r="I36" s="213">
        <v>84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LITE US 02/20/26 C400</v>
      </c>
      <c r="M36" s="214" t="str">
        <f t="shared" si="1"/>
        <v>EQTY.IntlUS.off</v>
      </c>
      <c r="N36" s="215">
        <f t="shared" si="2"/>
        <v>54</v>
      </c>
      <c r="O36" s="215">
        <f t="shared" si="3"/>
        <v>84</v>
      </c>
    </row>
    <row r="37" spans="5:15">
      <c r="E37" s="213" t="s">
        <v>317</v>
      </c>
      <c r="F37" s="213" t="s">
        <v>326</v>
      </c>
      <c r="G37" s="213" t="s">
        <v>282</v>
      </c>
      <c r="H37" s="213">
        <v>5618</v>
      </c>
      <c r="I37" s="213">
        <v>5618</v>
      </c>
      <c r="K37" s="214" t="str">
        <f t="shared" si="0"/>
        <v>US Equity</v>
      </c>
      <c r="L37" s="214" t="str">
        <f>IF(E37="","",IF(COUNTIFS(Table2[[#All],[De (Lote)]],Input_APM!F37)&gt;0,INDEX(Table2[[#All],[Para (Ticker Daniel)]],MATCH(Input_APM!F37,Table2[[#All],[De (Lote)]],0)),Input_APM!F37))</f>
        <v>META</v>
      </c>
      <c r="M37" s="214" t="str">
        <f t="shared" si="1"/>
        <v>EQTY.IntlUS.off</v>
      </c>
      <c r="N37" s="215">
        <f t="shared" si="2"/>
        <v>5618</v>
      </c>
      <c r="O37" s="215">
        <f t="shared" si="3"/>
        <v>5618</v>
      </c>
    </row>
    <row r="38" spans="5:15">
      <c r="E38" s="213" t="s">
        <v>319</v>
      </c>
      <c r="F38" s="213" t="s">
        <v>2077</v>
      </c>
      <c r="G38" s="213" t="s">
        <v>282</v>
      </c>
      <c r="H38" s="213">
        <v>57</v>
      </c>
      <c r="I38" s="213">
        <v>57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META US 04/17/26 C690</v>
      </c>
      <c r="M38" s="214" t="str">
        <f t="shared" si="1"/>
        <v>EQTY.IntlUS.off</v>
      </c>
      <c r="N38" s="215">
        <f t="shared" si="2"/>
        <v>57</v>
      </c>
      <c r="O38" s="215">
        <f t="shared" si="3"/>
        <v>57</v>
      </c>
    </row>
    <row r="39" spans="5:15">
      <c r="E39" s="213" t="s">
        <v>319</v>
      </c>
      <c r="F39" s="213" t="s">
        <v>2120</v>
      </c>
      <c r="G39" s="213" t="s">
        <v>282</v>
      </c>
      <c r="H39" s="213">
        <v>19</v>
      </c>
      <c r="I39" s="213">
        <v>19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META US 04/17/26 P570</v>
      </c>
      <c r="M39" s="214" t="str">
        <f t="shared" si="1"/>
        <v>EQTY.IntlUS.off</v>
      </c>
      <c r="N39" s="215">
        <f t="shared" si="2"/>
        <v>19</v>
      </c>
      <c r="O39" s="215">
        <f t="shared" si="3"/>
        <v>19</v>
      </c>
    </row>
    <row r="40" spans="5:15">
      <c r="E40" s="213" t="s">
        <v>319</v>
      </c>
      <c r="F40" s="213" t="s">
        <v>2119</v>
      </c>
      <c r="G40" s="213" t="s">
        <v>282</v>
      </c>
      <c r="H40" s="213">
        <v>-19</v>
      </c>
      <c r="I40" s="213">
        <v>-19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META US 04/17/26 P600</v>
      </c>
      <c r="M40" s="214" t="str">
        <f t="shared" si="1"/>
        <v>EQTY.IntlUS.off</v>
      </c>
      <c r="N40" s="215">
        <f t="shared" si="2"/>
        <v>-19</v>
      </c>
      <c r="O40" s="215">
        <f t="shared" si="3"/>
        <v>-19</v>
      </c>
    </row>
    <row r="41" spans="5:15">
      <c r="E41" s="213" t="s">
        <v>317</v>
      </c>
      <c r="F41" s="213" t="s">
        <v>138</v>
      </c>
      <c r="G41" s="213" t="s">
        <v>282</v>
      </c>
      <c r="H41" s="213">
        <v>-46</v>
      </c>
      <c r="I41" s="213">
        <v>-1406</v>
      </c>
      <c r="K41" s="214" t="str">
        <f t="shared" si="0"/>
        <v>US Equity</v>
      </c>
      <c r="L41" s="214" t="str">
        <f>IF(E41="","",IF(COUNTIFS(Table2[[#All],[De (Lote)]],Input_APM!F41)&gt;0,INDEX(Table2[[#All],[Para (Ticker Daniel)]],MATCH(Input_APM!F41,Table2[[#All],[De (Lote)]],0)),Input_APM!F41))</f>
        <v>MRVL</v>
      </c>
      <c r="M41" s="214" t="str">
        <f t="shared" si="1"/>
        <v>EQTY.IntlUS.off</v>
      </c>
      <c r="N41" s="215">
        <f t="shared" si="2"/>
        <v>-46</v>
      </c>
      <c r="O41" s="215">
        <f t="shared" si="3"/>
        <v>-1406</v>
      </c>
    </row>
    <row r="42" spans="5:15">
      <c r="E42" s="213" t="s">
        <v>319</v>
      </c>
      <c r="F42" s="213" t="s">
        <v>2336</v>
      </c>
      <c r="G42" s="213" t="s">
        <v>282</v>
      </c>
      <c r="H42" s="213">
        <v>-141</v>
      </c>
      <c r="I42" s="213">
        <v>0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P70</v>
      </c>
      <c r="M42" s="214" t="str">
        <f t="shared" si="1"/>
        <v>EQTY.IntlUS.off</v>
      </c>
      <c r="N42" s="215">
        <f t="shared" si="2"/>
        <v>-141</v>
      </c>
      <c r="O42" s="215">
        <f t="shared" si="3"/>
        <v>0</v>
      </c>
    </row>
    <row r="43" spans="5:15">
      <c r="E43" s="213" t="s">
        <v>319</v>
      </c>
      <c r="F43" s="213" t="s">
        <v>2107</v>
      </c>
      <c r="G43" s="213" t="s">
        <v>282</v>
      </c>
      <c r="H43" s="213">
        <v>-188</v>
      </c>
      <c r="I43" s="213">
        <v>-188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MRVL US 03/20/26 P75</v>
      </c>
      <c r="M43" s="214" t="str">
        <f t="shared" si="1"/>
        <v>EQTY.IntlUS.off</v>
      </c>
      <c r="N43" s="215">
        <f t="shared" si="2"/>
        <v>-188</v>
      </c>
      <c r="O43" s="215">
        <f t="shared" si="3"/>
        <v>-188</v>
      </c>
    </row>
    <row r="44" spans="5:15">
      <c r="E44" s="213" t="s">
        <v>319</v>
      </c>
      <c r="F44" s="213" t="s">
        <v>2067</v>
      </c>
      <c r="G44" s="213" t="s">
        <v>282</v>
      </c>
      <c r="H44" s="213">
        <v>141</v>
      </c>
      <c r="I44" s="213">
        <v>0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MRVL US 03/20/26 P80</v>
      </c>
      <c r="M44" s="214" t="str">
        <f t="shared" si="1"/>
        <v>EQTY.IntlUS.off</v>
      </c>
      <c r="N44" s="215">
        <f t="shared" si="2"/>
        <v>141</v>
      </c>
      <c r="O44" s="215">
        <f t="shared" si="3"/>
        <v>0</v>
      </c>
    </row>
    <row r="45" spans="5:15">
      <c r="E45" s="213" t="s">
        <v>319</v>
      </c>
      <c r="F45" s="213" t="s">
        <v>2106</v>
      </c>
      <c r="G45" s="213" t="s">
        <v>282</v>
      </c>
      <c r="H45" s="213">
        <v>186</v>
      </c>
      <c r="I45" s="213">
        <v>186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MRVL US 03/20/26 P85</v>
      </c>
      <c r="M45" s="214" t="str">
        <f t="shared" si="1"/>
        <v>EQTY.IntlUS.off</v>
      </c>
      <c r="N45" s="215">
        <f t="shared" si="2"/>
        <v>186</v>
      </c>
      <c r="O45" s="215">
        <f t="shared" si="3"/>
        <v>186</v>
      </c>
    </row>
    <row r="46" spans="5:15">
      <c r="E46" s="213" t="s">
        <v>317</v>
      </c>
      <c r="F46" s="213" t="s">
        <v>90</v>
      </c>
      <c r="G46" s="213" t="s">
        <v>282</v>
      </c>
      <c r="H46" s="213">
        <v>3270</v>
      </c>
      <c r="I46" s="213">
        <v>4310</v>
      </c>
      <c r="K46" s="214" t="str">
        <f t="shared" si="0"/>
        <v>US Equity</v>
      </c>
      <c r="L46" s="214" t="str">
        <f>IF(E46="","",IF(COUNTIFS(Table2[[#All],[De (Lote)]],Input_APM!F46)&gt;0,INDEX(Table2[[#All],[Para (Ticker Daniel)]],MATCH(Input_APM!F46,Table2[[#All],[De (Lote)]],0)),Input_APM!F46))</f>
        <v>MSFT</v>
      </c>
      <c r="M46" s="214" t="str">
        <f t="shared" si="1"/>
        <v>EQTY.IntlUS.off</v>
      </c>
      <c r="N46" s="215">
        <f t="shared" si="2"/>
        <v>3270</v>
      </c>
      <c r="O46" s="215">
        <f t="shared" si="3"/>
        <v>4310</v>
      </c>
    </row>
    <row r="47" spans="5:15">
      <c r="E47" s="213" t="s">
        <v>319</v>
      </c>
      <c r="F47" s="213" t="s">
        <v>2057</v>
      </c>
      <c r="G47" s="213" t="s">
        <v>282</v>
      </c>
      <c r="H47" s="213">
        <v>0</v>
      </c>
      <c r="I47" s="213">
        <v>118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MSFT US 03/20/26 C490</v>
      </c>
      <c r="M47" s="214" t="str">
        <f t="shared" si="1"/>
        <v>EQTY.IntlUS.off</v>
      </c>
      <c r="N47" s="215">
        <f t="shared" si="2"/>
        <v>0</v>
      </c>
      <c r="O47" s="215">
        <f t="shared" si="3"/>
        <v>118</v>
      </c>
    </row>
    <row r="48" spans="5:15">
      <c r="E48" s="213" t="s">
        <v>319</v>
      </c>
      <c r="F48" s="213" t="s">
        <v>2058</v>
      </c>
      <c r="G48" s="213" t="s">
        <v>282</v>
      </c>
      <c r="H48" s="213">
        <v>-46</v>
      </c>
      <c r="I48" s="213">
        <v>-46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MSFT US 03/20/26 P465</v>
      </c>
      <c r="M48" s="214" t="str">
        <f t="shared" si="1"/>
        <v>EQTY.IntlUS.off</v>
      </c>
      <c r="N48" s="215">
        <f t="shared" si="2"/>
        <v>-46</v>
      </c>
      <c r="O48" s="215">
        <f t="shared" si="3"/>
        <v>-46</v>
      </c>
    </row>
    <row r="49" spans="5:15">
      <c r="E49" s="213" t="s">
        <v>317</v>
      </c>
      <c r="F49" s="213" t="s">
        <v>94</v>
      </c>
      <c r="G49" s="213" t="s">
        <v>282</v>
      </c>
      <c r="H49" s="213">
        <v>21522</v>
      </c>
      <c r="I49" s="213">
        <v>23756</v>
      </c>
      <c r="K49" s="214" t="str">
        <f t="shared" si="0"/>
        <v>US Equity</v>
      </c>
      <c r="L49" s="214" t="str">
        <f>IF(E49="","",IF(COUNTIFS(Table2[[#All],[De (Lote)]],Input_APM!F49)&gt;0,INDEX(Table2[[#All],[Para (Ticker Daniel)]],MATCH(Input_APM!F49,Table2[[#All],[De (Lote)]],0)),Input_APM!F49))</f>
        <v>NVDA</v>
      </c>
      <c r="M49" s="214" t="str">
        <f t="shared" si="1"/>
        <v>EQTY.IntlUS.off</v>
      </c>
      <c r="N49" s="215">
        <f t="shared" si="2"/>
        <v>21522</v>
      </c>
      <c r="O49" s="215">
        <f t="shared" si="3"/>
        <v>23756</v>
      </c>
    </row>
    <row r="50" spans="5:15">
      <c r="E50" s="213" t="s">
        <v>318</v>
      </c>
      <c r="F50" s="213" t="s">
        <v>2361</v>
      </c>
      <c r="G50" s="213" t="s">
        <v>282</v>
      </c>
      <c r="H50" s="213">
        <v>175280</v>
      </c>
      <c r="I50" s="213">
        <v>-181550</v>
      </c>
      <c r="K50" s="214" t="str">
        <f t="shared" si="0"/>
        <v>Provisions and Costs</v>
      </c>
      <c r="L50" s="214" t="str">
        <f>IF(E50="","",IF(COUNTIFS(Table2[[#All],[De (Lote)]],Input_APM!F50)&gt;0,INDEX(Table2[[#All],[Para (Ticker Daniel)]],MATCH(Input_APM!F50,Table2[[#All],[De (Lote)]],0)),Input_APM!F50))</f>
        <v>Provision CME USD_</v>
      </c>
      <c r="M50" s="214" t="str">
        <f t="shared" si="1"/>
        <v>EQTY.IntlUS.off</v>
      </c>
      <c r="N50" s="215">
        <f t="shared" si="2"/>
        <v>175280</v>
      </c>
      <c r="O50" s="215">
        <f t="shared" si="3"/>
        <v>-181550</v>
      </c>
    </row>
    <row r="51" spans="5:15">
      <c r="E51" s="213" t="s">
        <v>318</v>
      </c>
      <c r="F51" s="213" t="s">
        <v>336</v>
      </c>
      <c r="G51" s="213" t="s">
        <v>282</v>
      </c>
      <c r="H51" s="213">
        <v>-14070</v>
      </c>
      <c r="I51" s="213">
        <v>-371160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Options USD_</v>
      </c>
      <c r="M51" s="214" t="str">
        <f t="shared" si="1"/>
        <v>EQTY.IntlUS.off</v>
      </c>
      <c r="N51" s="215">
        <f t="shared" si="2"/>
        <v>-14070</v>
      </c>
      <c r="O51" s="215">
        <f t="shared" si="3"/>
        <v>-371160</v>
      </c>
    </row>
    <row r="52" spans="5:15">
      <c r="E52" s="213" t="s">
        <v>318</v>
      </c>
      <c r="F52" s="213" t="s">
        <v>306</v>
      </c>
      <c r="G52" s="213" t="s">
        <v>282</v>
      </c>
      <c r="H52" s="213">
        <v>-931347.84000000102</v>
      </c>
      <c r="I52" s="213">
        <v>-169581.55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ETF USD_</v>
      </c>
      <c r="M52" s="214" t="str">
        <f t="shared" si="1"/>
        <v>EQTY.IntlUS.off</v>
      </c>
      <c r="N52" s="215">
        <f t="shared" si="2"/>
        <v>-931347.84000000102</v>
      </c>
      <c r="O52" s="215">
        <f t="shared" si="3"/>
        <v>-169581.55</v>
      </c>
    </row>
    <row r="53" spans="5:15">
      <c r="E53" s="213" t="s">
        <v>318</v>
      </c>
      <c r="F53" s="213" t="s">
        <v>2330</v>
      </c>
      <c r="G53" s="213" t="s">
        <v>282</v>
      </c>
      <c r="H53" s="213">
        <v>421125</v>
      </c>
      <c r="I53" s="213">
        <v>-1899.75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EUR Equity EUR_</v>
      </c>
      <c r="M53" s="214" t="str">
        <f t="shared" si="1"/>
        <v>EQTY.IntlUS.off</v>
      </c>
      <c r="N53" s="215">
        <f t="shared" si="2"/>
        <v>421125</v>
      </c>
      <c r="O53" s="215">
        <f t="shared" si="3"/>
        <v>-1899.75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-538494.27</v>
      </c>
      <c r="I54" s="213">
        <v>-1471969.68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NYSE USD_</v>
      </c>
      <c r="M54" s="214" t="str">
        <f t="shared" si="1"/>
        <v>EQTY.IntlUS.off</v>
      </c>
      <c r="N54" s="215">
        <f t="shared" si="2"/>
        <v>-538494.27</v>
      </c>
      <c r="O54" s="215">
        <f t="shared" si="3"/>
        <v>-1471969.68</v>
      </c>
    </row>
    <row r="55" spans="5:15">
      <c r="E55" s="213" t="s">
        <v>318</v>
      </c>
      <c r="F55" s="213" t="s">
        <v>2331</v>
      </c>
      <c r="G55" s="213" t="s">
        <v>282</v>
      </c>
      <c r="H55" s="213">
        <v>11296.11</v>
      </c>
      <c r="I55" s="213">
        <v>35609.699999999997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Total Return Swap USD_</v>
      </c>
      <c r="M55" s="214" t="str">
        <f t="shared" si="1"/>
        <v>EQTY.IntlUS.off</v>
      </c>
      <c r="N55" s="215">
        <f t="shared" si="2"/>
        <v>11296.11</v>
      </c>
      <c r="O55" s="215">
        <f t="shared" si="3"/>
        <v>35609.699999999997</v>
      </c>
    </row>
    <row r="56" spans="5:15">
      <c r="E56" s="213" t="s">
        <v>318</v>
      </c>
      <c r="F56" s="213" t="s">
        <v>337</v>
      </c>
      <c r="G56" s="213" t="s">
        <v>282</v>
      </c>
      <c r="H56" s="213">
        <v>52635</v>
      </c>
      <c r="I56" s="213">
        <v>-27615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US Equity Options USD_</v>
      </c>
      <c r="M56" s="214" t="str">
        <f t="shared" si="1"/>
        <v>EQTY.IntlUS.off</v>
      </c>
      <c r="N56" s="215">
        <f t="shared" si="2"/>
        <v>52635</v>
      </c>
      <c r="O56" s="215">
        <f t="shared" si="3"/>
        <v>-27615</v>
      </c>
    </row>
    <row r="57" spans="5:15">
      <c r="E57" s="213" t="s">
        <v>318</v>
      </c>
      <c r="F57" s="213" t="s">
        <v>307</v>
      </c>
      <c r="G57" s="213" t="s">
        <v>282</v>
      </c>
      <c r="H57" s="213">
        <v>-1025533.4399999999</v>
      </c>
      <c r="I57" s="213">
        <v>3343282.96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US Equity USD_</v>
      </c>
      <c r="M57" s="214" t="str">
        <f t="shared" si="1"/>
        <v>EQTY.IntlUS.off</v>
      </c>
      <c r="N57" s="215">
        <f t="shared" si="2"/>
        <v>-1025533.4399999999</v>
      </c>
      <c r="O57" s="215">
        <f t="shared" si="3"/>
        <v>3343282.96</v>
      </c>
    </row>
    <row r="58" spans="5:15">
      <c r="E58" s="213" t="s">
        <v>317</v>
      </c>
      <c r="F58" s="213" t="s">
        <v>2146</v>
      </c>
      <c r="G58" s="213" t="s">
        <v>282</v>
      </c>
      <c r="H58" s="213">
        <v>22528</v>
      </c>
      <c r="I58" s="213">
        <v>20567</v>
      </c>
      <c r="K58" s="214" t="str">
        <f t="shared" si="0"/>
        <v>US Equity</v>
      </c>
      <c r="L58" s="214" t="str">
        <f>IF(E58="","",IF(COUNTIFS(Table2[[#All],[De (Lote)]],Input_APM!F58)&gt;0,INDEX(Table2[[#All],[Para (Ticker Daniel)]],MATCH(Input_APM!F58,Table2[[#All],[De (Lote)]],0)),Input_APM!F58))</f>
        <v>RIOT</v>
      </c>
      <c r="M58" s="214" t="str">
        <f t="shared" si="1"/>
        <v>EQTY.IntlUS.off</v>
      </c>
      <c r="N58" s="215">
        <f t="shared" si="2"/>
        <v>22528</v>
      </c>
      <c r="O58" s="215">
        <f t="shared" si="3"/>
        <v>20567</v>
      </c>
    </row>
    <row r="59" spans="5:15">
      <c r="E59" s="213" t="s">
        <v>319</v>
      </c>
      <c r="F59" s="213" t="s">
        <v>2333</v>
      </c>
      <c r="G59" s="213" t="s">
        <v>282</v>
      </c>
      <c r="H59" s="213">
        <v>9</v>
      </c>
      <c r="I59" s="213">
        <v>0</v>
      </c>
      <c r="K59" s="214" t="str">
        <f t="shared" si="0"/>
        <v>US Equity Options</v>
      </c>
      <c r="L59" s="214" t="str">
        <f>IF(E59="","",IF(COUNTIFS(Table2[[#All],[De (Lote)]],Input_APM!F59)&gt;0,INDEX(Table2[[#All],[Para (Ticker Daniel)]],MATCH(Input_APM!F59,Table2[[#All],[De (Lote)]],0)),Input_APM!F59))</f>
        <v>SNDK US 02/20/26 C500</v>
      </c>
      <c r="M59" s="214" t="str">
        <f t="shared" si="1"/>
        <v>EQTY.IntlUS.off</v>
      </c>
      <c r="N59" s="215">
        <f t="shared" si="2"/>
        <v>9</v>
      </c>
      <c r="O59" s="215">
        <f t="shared" si="3"/>
        <v>0</v>
      </c>
    </row>
    <row r="60" spans="5:15">
      <c r="E60" s="213" t="s">
        <v>318</v>
      </c>
      <c r="F60" s="213" t="s">
        <v>2138</v>
      </c>
      <c r="G60" s="213" t="s">
        <v>283</v>
      </c>
      <c r="H60" s="213">
        <v>-0.01</v>
      </c>
      <c r="I60" s="213">
        <v>-0.01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SPY DIVIDEND_</v>
      </c>
      <c r="M60" s="214" t="str">
        <f t="shared" si="1"/>
        <v>EQTY.InternacionalUS2.off</v>
      </c>
      <c r="N60" s="215">
        <f t="shared" si="2"/>
        <v>-0.01</v>
      </c>
      <c r="O60" s="215">
        <f t="shared" si="3"/>
        <v>-0.01</v>
      </c>
    </row>
    <row r="61" spans="5:15">
      <c r="E61" s="213" t="s">
        <v>318</v>
      </c>
      <c r="F61" s="213" t="s">
        <v>2138</v>
      </c>
      <c r="G61" s="213" t="s">
        <v>282</v>
      </c>
      <c r="H61" s="213">
        <v>0.01</v>
      </c>
      <c r="I61" s="213">
        <v>0.01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SPY DIVIDEND_</v>
      </c>
      <c r="M61" s="214" t="str">
        <f t="shared" si="1"/>
        <v>EQTY.IntlUS.off</v>
      </c>
      <c r="N61" s="215">
        <f t="shared" si="2"/>
        <v>0.01</v>
      </c>
      <c r="O61" s="215">
        <f t="shared" si="3"/>
        <v>0.01</v>
      </c>
    </row>
    <row r="62" spans="5:15">
      <c r="E62" s="213" t="s">
        <v>2148</v>
      </c>
      <c r="F62" s="213" t="s">
        <v>2362</v>
      </c>
      <c r="G62" s="213" t="s">
        <v>282</v>
      </c>
      <c r="H62" s="213">
        <v>843</v>
      </c>
      <c r="I62" s="213">
        <v>0</v>
      </c>
      <c r="K62" s="214" t="str">
        <f t="shared" si="0"/>
        <v>Equity Total Return Swap</v>
      </c>
      <c r="L62" s="214" t="str">
        <f>IF(E62="","",IF(COUNTIFS(Table2[[#All],[De (Lote)]],Input_APM!F62)&gt;0,INDEX(Table2[[#All],[Para (Ticker Daniel)]],MATCH(Input_APM!F62,Table2[[#All],[De (Lote)]],0)),Input_APM!F62))</f>
        <v>SWAP 000660 KP 23JAN2026 25JAN2027 509.6192</v>
      </c>
      <c r="M62" s="214" t="str">
        <f t="shared" si="1"/>
        <v>EQTY.IntlUS.off</v>
      </c>
      <c r="N62" s="215">
        <f t="shared" si="2"/>
        <v>843</v>
      </c>
      <c r="O62" s="215">
        <f t="shared" si="3"/>
        <v>0</v>
      </c>
    </row>
    <row r="63" spans="5:15">
      <c r="E63" s="213" t="s">
        <v>2148</v>
      </c>
      <c r="F63" s="213" t="s">
        <v>2149</v>
      </c>
      <c r="G63" s="213" t="s">
        <v>282</v>
      </c>
      <c r="H63" s="213">
        <v>1400</v>
      </c>
      <c r="I63" s="213">
        <v>1400</v>
      </c>
      <c r="K63" s="214" t="str">
        <f t="shared" si="0"/>
        <v>Equity Total Return Swap</v>
      </c>
      <c r="L63" s="214" t="str">
        <f>IF(E63="","",IF(COUNTIFS(Table2[[#All],[De (Lote)]],Input_APM!F63)&gt;0,INDEX(Table2[[#All],[Para (Ticker Daniel)]],MATCH(Input_APM!F63,Table2[[#All],[De (Lote)]],0)),Input_APM!F63))</f>
        <v>000660 KS</v>
      </c>
      <c r="M63" s="214" t="str">
        <f t="shared" si="1"/>
        <v>EQTY.IntlUS.off</v>
      </c>
      <c r="N63" s="215">
        <f t="shared" si="2"/>
        <v>1400</v>
      </c>
      <c r="O63" s="215">
        <f t="shared" si="3"/>
        <v>1400</v>
      </c>
    </row>
    <row r="64" spans="5:15">
      <c r="E64" s="213" t="s">
        <v>639</v>
      </c>
      <c r="F64" s="213" t="s">
        <v>2316</v>
      </c>
      <c r="G64" s="213" t="s">
        <v>282</v>
      </c>
      <c r="H64" s="213">
        <v>0</v>
      </c>
      <c r="I64" s="213">
        <v>-14</v>
      </c>
      <c r="K64" s="214" t="str">
        <f t="shared" si="0"/>
        <v>Total Return Swap</v>
      </c>
      <c r="L64" s="214" t="str">
        <f>IF(E64="","",IF(COUNTIFS(Table2[[#All],[De (Lote)]],Input_APM!F64)&gt;0,INDEX(Table2[[#All],[Para (Ticker Daniel)]],MATCH(Input_APM!F64,Table2[[#All],[De (Lote)]],0)),Input_APM!F64))</f>
        <v>SWAP KMH6 21JAN2026 16MAR2026 0.483389265383573</v>
      </c>
      <c r="M64" s="214" t="str">
        <f t="shared" si="1"/>
        <v>EQTY.IntlUS.off</v>
      </c>
      <c r="N64" s="215">
        <f t="shared" si="2"/>
        <v>0</v>
      </c>
      <c r="O64" s="215">
        <f t="shared" si="3"/>
        <v>-14</v>
      </c>
    </row>
    <row r="65" spans="5:15">
      <c r="E65" s="213" t="s">
        <v>39</v>
      </c>
      <c r="F65" s="213" t="s">
        <v>96</v>
      </c>
      <c r="G65" s="213" t="s">
        <v>282</v>
      </c>
      <c r="H65" s="213">
        <v>8871</v>
      </c>
      <c r="I65" s="213">
        <v>8403</v>
      </c>
      <c r="K65" s="214" t="str">
        <f t="shared" si="0"/>
        <v>ADR</v>
      </c>
      <c r="L65" s="214" t="str">
        <f>IF(E65="","",IF(COUNTIFS(Table2[[#All],[De (Lote)]],Input_APM!F65)&gt;0,INDEX(Table2[[#All],[Para (Ticker Daniel)]],MATCH(Input_APM!F65,Table2[[#All],[De (Lote)]],0)),Input_APM!F65))</f>
        <v>TSM</v>
      </c>
      <c r="M65" s="214" t="str">
        <f t="shared" si="1"/>
        <v>EQTY.IntlUS.off</v>
      </c>
      <c r="N65" s="215">
        <f t="shared" si="2"/>
        <v>8871</v>
      </c>
      <c r="O65" s="215">
        <f t="shared" si="3"/>
        <v>8403</v>
      </c>
    </row>
    <row r="66" spans="5:15">
      <c r="E66" s="213" t="s">
        <v>327</v>
      </c>
      <c r="F66" s="213" t="s">
        <v>2108</v>
      </c>
      <c r="G66" s="213" t="s">
        <v>282</v>
      </c>
      <c r="H66" s="213">
        <v>45</v>
      </c>
      <c r="I66" s="213">
        <v>45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03/20/26 C300</v>
      </c>
      <c r="M66" s="214" t="str">
        <f t="shared" si="1"/>
        <v>EQTY.IntlUS.off</v>
      </c>
      <c r="N66" s="215">
        <f t="shared" si="2"/>
        <v>45</v>
      </c>
      <c r="O66" s="215">
        <f t="shared" si="3"/>
        <v>45</v>
      </c>
    </row>
    <row r="67" spans="5:15">
      <c r="E67" s="213" t="s">
        <v>327</v>
      </c>
      <c r="F67" s="213" t="s">
        <v>2261</v>
      </c>
      <c r="G67" s="213" t="s">
        <v>282</v>
      </c>
      <c r="H67" s="213">
        <v>1172</v>
      </c>
      <c r="I67" s="213">
        <v>891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06/18/26 C340</v>
      </c>
      <c r="M67" s="214" t="str">
        <f t="shared" ref="M67:M130" si="5">IF(E67="","",G67)</f>
        <v>EQTY.IntlUS.off</v>
      </c>
      <c r="N67" s="215">
        <f t="shared" ref="N67:N130" si="6">IF(E67="","",H67)</f>
        <v>1172</v>
      </c>
      <c r="O67" s="215">
        <f t="shared" ref="O67:O130" si="7">IF(E67="","",I67)</f>
        <v>891</v>
      </c>
    </row>
    <row r="68" spans="5:15">
      <c r="E68" s="213" t="s">
        <v>327</v>
      </c>
      <c r="F68" s="213" t="s">
        <v>2262</v>
      </c>
      <c r="G68" s="213" t="s">
        <v>282</v>
      </c>
      <c r="H68" s="213">
        <v>-1125</v>
      </c>
      <c r="I68" s="213">
        <v>-844</v>
      </c>
      <c r="K68" s="214" t="str">
        <f t="shared" si="4"/>
        <v>ADR Options</v>
      </c>
      <c r="L68" s="214" t="str">
        <f>IF(E68="","",IF(COUNTIFS(Table2[[#All],[De (Lote)]],Input_APM!F68)&gt;0,INDEX(Table2[[#All],[Para (Ticker Daniel)]],MATCH(Input_APM!F68,Table2[[#All],[De (Lote)]],0)),Input_APM!F68))</f>
        <v>TSM US 06/18/26 C380</v>
      </c>
      <c r="M68" s="214" t="str">
        <f t="shared" si="5"/>
        <v>EQTY.IntlUS.off</v>
      </c>
      <c r="N68" s="215">
        <f t="shared" si="6"/>
        <v>-1125</v>
      </c>
      <c r="O68" s="215">
        <f t="shared" si="7"/>
        <v>-844</v>
      </c>
    </row>
    <row r="69" spans="5:15">
      <c r="E69" s="213" t="s">
        <v>320</v>
      </c>
      <c r="F69" s="213" t="s">
        <v>88</v>
      </c>
      <c r="G69" s="213" t="s">
        <v>282</v>
      </c>
      <c r="H69" s="213">
        <v>42865</v>
      </c>
      <c r="I69" s="213">
        <v>38694</v>
      </c>
      <c r="K69" s="214" t="str">
        <f t="shared" si="4"/>
        <v>ETF</v>
      </c>
      <c r="L69" s="214" t="str">
        <f>IF(E69="","",IF(COUNTIFS(Table2[[#All],[De (Lote)]],Input_APM!F69)&gt;0,INDEX(Table2[[#All],[Para (Ticker Daniel)]],MATCH(Input_APM!F69,Table2[[#All],[De (Lote)]],0)),Input_APM!F69))</f>
        <v>XLF</v>
      </c>
      <c r="M69" s="214" t="str">
        <f t="shared" si="5"/>
        <v>EQTY.IntlUS.off</v>
      </c>
      <c r="N69" s="215">
        <f t="shared" si="6"/>
        <v>42865</v>
      </c>
      <c r="O69" s="215">
        <f t="shared" si="7"/>
        <v>38694</v>
      </c>
    </row>
    <row r="70" spans="5:15">
      <c r="E70" s="213" t="s">
        <v>320</v>
      </c>
      <c r="F70" s="213" t="s">
        <v>4</v>
      </c>
      <c r="G70" s="213" t="s">
        <v>282</v>
      </c>
      <c r="H70" s="213">
        <v>-25765</v>
      </c>
      <c r="I70" s="213">
        <v>-25765</v>
      </c>
      <c r="K70" s="214" t="str">
        <f t="shared" si="4"/>
        <v>ETF</v>
      </c>
      <c r="L70" s="214" t="str">
        <f>IF(E70="","",IF(COUNTIFS(Table2[[#All],[De (Lote)]],Input_APM!F70)&gt;0,INDEX(Table2[[#All],[Para (Ticker Daniel)]],MATCH(Input_APM!F70,Table2[[#All],[De (Lote)]],0)),Input_APM!F70))</f>
        <v>XLP</v>
      </c>
      <c r="M70" s="214" t="str">
        <f t="shared" si="5"/>
        <v>EQTY.IntlUS.off</v>
      </c>
      <c r="N70" s="215">
        <f t="shared" si="6"/>
        <v>-25765</v>
      </c>
      <c r="O70" s="215">
        <f t="shared" si="7"/>
        <v>-25765</v>
      </c>
    </row>
    <row r="71" spans="5:15">
      <c r="K71" s="214" t="str">
        <f t="shared" si="4"/>
        <v/>
      </c>
      <c r="L71" s="214" t="str">
        <f>IF(E71="","",IF(COUNTIFS(Table2[[#All],[De (Lote)]],Input_APM!F71)&gt;0,INDEX(Table2[[#All],[Para (Ticker Daniel)]],MATCH(Input_APM!F71,Table2[[#All],[De (Lote)]],0)),Input_APM!F71))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(Lote)]],Input_APM!F72)&gt;0,INDEX(Table2[[#All],[Para (Ticker Daniel)]],MATCH(Input_APM!F72,Table2[[#All],[De (Lote)]],0)),Input_APM!F72))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69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52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30.5703125" style="213" bestFit="1" customWidth="1"/>
    <col min="12" max="12" width="48" style="213" bestFit="1" customWidth="1"/>
    <col min="13" max="13" width="24" style="213" bestFit="1" customWidth="1"/>
    <col min="14" max="14" width="9.8554687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2328</v>
      </c>
      <c r="F2" s="213" t="s">
        <v>2314</v>
      </c>
      <c r="G2" s="213" t="s">
        <v>282</v>
      </c>
      <c r="H2" s="213">
        <v>2</v>
      </c>
      <c r="I2" s="213">
        <v>3</v>
      </c>
      <c r="K2" s="214" t="str">
        <f>IF(E2="","",E2)</f>
        <v>NASDAQ-100 E-mini Options - CME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14" t="str">
        <f>IF(E2="","",G2)</f>
        <v>EQTY.IntlUS.off</v>
      </c>
      <c r="N2" s="215">
        <f>IF(E2="","",H2)</f>
        <v>2</v>
      </c>
      <c r="O2" s="215">
        <f>IF(E2="","",I2)</f>
        <v>3</v>
      </c>
    </row>
    <row r="3" spans="5:15">
      <c r="E3" s="213" t="s">
        <v>319</v>
      </c>
      <c r="F3" s="213" t="s">
        <v>2287</v>
      </c>
      <c r="G3" s="213" t="s">
        <v>282</v>
      </c>
      <c r="H3" s="213">
        <v>-2</v>
      </c>
      <c r="I3" s="213">
        <v>-2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-2</v>
      </c>
      <c r="O3" s="215">
        <f t="shared" ref="O3:O66" si="3">IF(E3="","",I3)</f>
        <v>-2</v>
      </c>
    </row>
    <row r="4" spans="5:15">
      <c r="E4" s="213" t="s">
        <v>319</v>
      </c>
      <c r="F4" s="213" t="s">
        <v>2288</v>
      </c>
      <c r="G4" s="213" t="s">
        <v>282</v>
      </c>
      <c r="H4" s="213">
        <v>8</v>
      </c>
      <c r="I4" s="213">
        <v>8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P290</v>
      </c>
      <c r="M4" s="214" t="str">
        <f t="shared" si="1"/>
        <v>EQTY.IntlUS.off</v>
      </c>
      <c r="N4" s="215">
        <f t="shared" si="2"/>
        <v>8</v>
      </c>
      <c r="O4" s="215">
        <f t="shared" si="3"/>
        <v>8</v>
      </c>
    </row>
    <row r="5" spans="5:15">
      <c r="E5" s="213" t="s">
        <v>317</v>
      </c>
      <c r="F5" s="213" t="s">
        <v>399</v>
      </c>
      <c r="G5" s="213" t="s">
        <v>282</v>
      </c>
      <c r="H5" s="213">
        <v>726</v>
      </c>
      <c r="I5" s="213">
        <v>726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AMZN</v>
      </c>
      <c r="M5" s="214" t="str">
        <f t="shared" si="1"/>
        <v>EQTY.IntlUS.off</v>
      </c>
      <c r="N5" s="215">
        <f t="shared" si="2"/>
        <v>726</v>
      </c>
      <c r="O5" s="215">
        <f t="shared" si="3"/>
        <v>726</v>
      </c>
    </row>
    <row r="6" spans="5:15">
      <c r="E6" s="213" t="s">
        <v>324</v>
      </c>
      <c r="F6" s="213" t="s">
        <v>2260</v>
      </c>
      <c r="G6" s="213" t="s">
        <v>282</v>
      </c>
      <c r="H6" s="213">
        <v>126</v>
      </c>
      <c r="I6" s="213">
        <v>95</v>
      </c>
      <c r="K6" s="214" t="str">
        <f t="shared" si="0"/>
        <v>ETF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 US 02/20/26 C35</v>
      </c>
      <c r="M6" s="214" t="str">
        <f t="shared" si="1"/>
        <v>EQTY.IntlUS.off</v>
      </c>
      <c r="N6" s="215">
        <f t="shared" si="2"/>
        <v>126</v>
      </c>
      <c r="O6" s="215">
        <f t="shared" si="3"/>
        <v>95</v>
      </c>
    </row>
    <row r="7" spans="5:15">
      <c r="E7" s="213" t="s">
        <v>317</v>
      </c>
      <c r="F7" s="213" t="s">
        <v>137</v>
      </c>
      <c r="G7" s="213" t="s">
        <v>282</v>
      </c>
      <c r="H7" s="213">
        <v>282</v>
      </c>
      <c r="I7" s="213">
        <v>596</v>
      </c>
      <c r="K7" s="214" t="str">
        <f t="shared" si="0"/>
        <v>US Equity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214" t="str">
        <f t="shared" si="1"/>
        <v>EQTY.IntlUS.off</v>
      </c>
      <c r="N7" s="215">
        <f t="shared" si="2"/>
        <v>282</v>
      </c>
      <c r="O7" s="215">
        <f t="shared" si="3"/>
        <v>596</v>
      </c>
    </row>
    <row r="8" spans="5:15">
      <c r="E8" s="213" t="s">
        <v>319</v>
      </c>
      <c r="F8" s="213" t="s">
        <v>2116</v>
      </c>
      <c r="G8" s="213" t="s">
        <v>282</v>
      </c>
      <c r="H8" s="213">
        <v>2</v>
      </c>
      <c r="I8" s="213">
        <v>2</v>
      </c>
      <c r="K8" s="214" t="str">
        <f t="shared" si="0"/>
        <v>US Equity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214" t="str">
        <f t="shared" si="1"/>
        <v>EQTY.IntlUS.off</v>
      </c>
      <c r="N8" s="215">
        <f t="shared" si="2"/>
        <v>2</v>
      </c>
      <c r="O8" s="215">
        <f t="shared" si="3"/>
        <v>2</v>
      </c>
    </row>
    <row r="9" spans="5:15">
      <c r="E9" s="213" t="s">
        <v>319</v>
      </c>
      <c r="F9" s="213" t="s">
        <v>2118</v>
      </c>
      <c r="G9" s="213" t="s">
        <v>282</v>
      </c>
      <c r="H9" s="213">
        <v>0</v>
      </c>
      <c r="I9" s="213">
        <v>-1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C410</v>
      </c>
      <c r="M9" s="214" t="str">
        <f t="shared" si="1"/>
        <v>EQTY.IntlUS.off</v>
      </c>
      <c r="N9" s="215">
        <f t="shared" si="2"/>
        <v>0</v>
      </c>
      <c r="O9" s="215">
        <f t="shared" si="3"/>
        <v>-1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2162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2137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2137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-24841.1</v>
      </c>
      <c r="I19" s="213">
        <v>3360.55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-24841.1</v>
      </c>
      <c r="O19" s="215">
        <f t="shared" si="3"/>
        <v>3360.55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29249.073855909999</v>
      </c>
      <c r="I24" s="213">
        <v>3.8559100000000002E-3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EQTY.IntlUS.off</v>
      </c>
      <c r="N24" s="215">
        <f t="shared" si="2"/>
        <v>29249.073855909999</v>
      </c>
      <c r="O24" s="215">
        <f t="shared" si="3"/>
        <v>3.8559100000000002E-3</v>
      </c>
    </row>
    <row r="25" spans="5:15">
      <c r="E25" s="213" t="s">
        <v>477</v>
      </c>
      <c r="F25" s="213" t="s">
        <v>1914</v>
      </c>
      <c r="G25" s="213" t="s">
        <v>282</v>
      </c>
      <c r="H25" s="213">
        <v>375000</v>
      </c>
      <c r="I25" s="213">
        <v>375000</v>
      </c>
      <c r="K25" s="214" t="str">
        <f t="shared" si="0"/>
        <v>CDS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CHINAGOV 12/20/30</v>
      </c>
      <c r="M25" s="214" t="str">
        <f t="shared" si="1"/>
        <v>EQTY.IntlUS.off</v>
      </c>
      <c r="N25" s="215">
        <f t="shared" si="2"/>
        <v>375000</v>
      </c>
      <c r="O25" s="215">
        <f t="shared" si="3"/>
        <v>375000</v>
      </c>
    </row>
    <row r="26" spans="5:15">
      <c r="E26" s="213" t="s">
        <v>320</v>
      </c>
      <c r="F26" s="213" t="s">
        <v>484</v>
      </c>
      <c r="G26" s="213" t="s">
        <v>282</v>
      </c>
      <c r="H26" s="213">
        <v>377</v>
      </c>
      <c r="I26" s="213">
        <v>0</v>
      </c>
      <c r="K26" s="214" t="str">
        <f t="shared" si="0"/>
        <v>ETF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COPX</v>
      </c>
      <c r="M26" s="214" t="str">
        <f t="shared" si="1"/>
        <v>EQTY.IntlUS.off</v>
      </c>
      <c r="N26" s="215">
        <f t="shared" si="2"/>
        <v>377</v>
      </c>
      <c r="O26" s="215">
        <f t="shared" si="3"/>
        <v>0</v>
      </c>
    </row>
    <row r="27" spans="5:15">
      <c r="E27" s="213" t="s">
        <v>318</v>
      </c>
      <c r="F27" s="213" t="s">
        <v>2329</v>
      </c>
      <c r="G27" s="213" t="s">
        <v>283</v>
      </c>
      <c r="H27" s="213">
        <v>0.01</v>
      </c>
      <c r="I27" s="213">
        <v>0.01</v>
      </c>
      <c r="K27" s="214" t="str">
        <f t="shared" si="0"/>
        <v>Provisions and Costs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DELL DIVIDEND_</v>
      </c>
      <c r="M27" s="214" t="str">
        <f t="shared" si="1"/>
        <v>EQTY.InternacionalUS2.off</v>
      </c>
      <c r="N27" s="215">
        <f t="shared" si="2"/>
        <v>0.01</v>
      </c>
      <c r="O27" s="215">
        <f t="shared" si="3"/>
        <v>0.01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2692</v>
      </c>
      <c r="I28" s="213">
        <v>2692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2692</v>
      </c>
      <c r="O28" s="215">
        <f t="shared" si="3"/>
        <v>2692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958</v>
      </c>
      <c r="I29" s="213">
        <v>801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958</v>
      </c>
      <c r="O29" s="215">
        <f t="shared" si="3"/>
        <v>801</v>
      </c>
    </row>
    <row r="30" spans="5:15">
      <c r="E30" s="213" t="s">
        <v>324</v>
      </c>
      <c r="F30" s="213" t="s">
        <v>2318</v>
      </c>
      <c r="G30" s="213" t="s">
        <v>282</v>
      </c>
      <c r="H30" s="213">
        <v>69</v>
      </c>
      <c r="I30" s="213">
        <v>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C105</v>
      </c>
      <c r="M30" s="214" t="str">
        <f t="shared" si="1"/>
        <v>EQTY.IntlUS.off</v>
      </c>
      <c r="N30" s="215">
        <f t="shared" si="2"/>
        <v>69</v>
      </c>
      <c r="O30" s="215">
        <f t="shared" si="3"/>
        <v>69</v>
      </c>
    </row>
    <row r="31" spans="5:15">
      <c r="E31" s="213" t="s">
        <v>324</v>
      </c>
      <c r="F31" s="213" t="s">
        <v>2319</v>
      </c>
      <c r="G31" s="213" t="s">
        <v>282</v>
      </c>
      <c r="H31" s="213">
        <v>-69</v>
      </c>
      <c r="I31" s="213">
        <v>-69</v>
      </c>
      <c r="K31" s="214" t="str">
        <f t="shared" si="0"/>
        <v>ETF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GDX US 09/18/26 C115</v>
      </c>
      <c r="M31" s="214" t="str">
        <f t="shared" si="1"/>
        <v>EQTY.IntlUS.off</v>
      </c>
      <c r="N31" s="215">
        <f t="shared" si="2"/>
        <v>-69</v>
      </c>
      <c r="O31" s="215">
        <f t="shared" si="3"/>
        <v>-69</v>
      </c>
    </row>
    <row r="32" spans="5:15">
      <c r="E32" s="213" t="s">
        <v>317</v>
      </c>
      <c r="F32" s="213" t="s">
        <v>2170</v>
      </c>
      <c r="G32" s="213" t="s">
        <v>282</v>
      </c>
      <c r="H32" s="213">
        <v>927</v>
      </c>
      <c r="I32" s="213">
        <v>463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GOOG</v>
      </c>
      <c r="M32" s="214" t="str">
        <f t="shared" si="1"/>
        <v>EQTY.IntlUS.off</v>
      </c>
      <c r="N32" s="215">
        <f t="shared" si="2"/>
        <v>927</v>
      </c>
      <c r="O32" s="215">
        <f t="shared" si="3"/>
        <v>463</v>
      </c>
    </row>
    <row r="33" spans="5:15">
      <c r="E33" s="213" t="s">
        <v>325</v>
      </c>
      <c r="F33" s="213" t="s">
        <v>1898</v>
      </c>
      <c r="G33" s="213" t="s">
        <v>282</v>
      </c>
      <c r="H33" s="213">
        <v>19314</v>
      </c>
      <c r="I33" s="213">
        <v>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C104</v>
      </c>
      <c r="M33" s="214" t="str">
        <f t="shared" si="1"/>
        <v>EQTY.IntlUS.off</v>
      </c>
      <c r="N33" s="215">
        <f t="shared" si="2"/>
        <v>19314</v>
      </c>
      <c r="O33" s="215">
        <f t="shared" si="3"/>
        <v>19314</v>
      </c>
    </row>
    <row r="34" spans="5:15">
      <c r="E34" s="213" t="s">
        <v>325</v>
      </c>
      <c r="F34" s="213" t="s">
        <v>1899</v>
      </c>
      <c r="G34" s="213" t="s">
        <v>282</v>
      </c>
      <c r="H34" s="213">
        <v>-19314</v>
      </c>
      <c r="I34" s="213">
        <v>-19314</v>
      </c>
      <c r="K34" s="214" t="str">
        <f t="shared" si="0"/>
        <v>Basket Index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GSC1000P 03/20/26 C119</v>
      </c>
      <c r="M34" s="214" t="str">
        <f t="shared" si="1"/>
        <v>EQTY.IntlUS.off</v>
      </c>
      <c r="N34" s="215">
        <f t="shared" si="2"/>
        <v>-19314</v>
      </c>
      <c r="O34" s="215">
        <f t="shared" si="3"/>
        <v>-19314</v>
      </c>
    </row>
    <row r="35" spans="5:15">
      <c r="E35" s="213" t="s">
        <v>317</v>
      </c>
      <c r="F35" s="213" t="s">
        <v>2321</v>
      </c>
      <c r="G35" s="213" t="s">
        <v>282</v>
      </c>
      <c r="H35" s="213">
        <v>-626</v>
      </c>
      <c r="I35" s="213">
        <v>-626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KHC</v>
      </c>
      <c r="M35" s="214" t="str">
        <f t="shared" si="1"/>
        <v>EQTY.IntlUS.off</v>
      </c>
      <c r="N35" s="215">
        <f t="shared" si="2"/>
        <v>-626</v>
      </c>
      <c r="O35" s="215">
        <f t="shared" si="3"/>
        <v>-626</v>
      </c>
    </row>
    <row r="36" spans="5:15">
      <c r="E36" s="213" t="s">
        <v>317</v>
      </c>
      <c r="F36" s="213" t="s">
        <v>2072</v>
      </c>
      <c r="G36" s="213" t="s">
        <v>282</v>
      </c>
      <c r="H36" s="213">
        <v>77</v>
      </c>
      <c r="I36" s="213">
        <v>-116</v>
      </c>
      <c r="K36" s="214" t="str">
        <f t="shared" si="0"/>
        <v>US Equity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LITE</v>
      </c>
      <c r="M36" s="214" t="str">
        <f t="shared" si="1"/>
        <v>EQTY.IntlUS.off</v>
      </c>
      <c r="N36" s="215">
        <f t="shared" si="2"/>
        <v>77</v>
      </c>
      <c r="O36" s="215">
        <f t="shared" si="3"/>
        <v>-116</v>
      </c>
    </row>
    <row r="37" spans="5:15">
      <c r="E37" s="213" t="s">
        <v>319</v>
      </c>
      <c r="F37" s="213" t="s">
        <v>2083</v>
      </c>
      <c r="G37" s="213" t="s">
        <v>282</v>
      </c>
      <c r="H37" s="213">
        <v>6</v>
      </c>
      <c r="I37" s="213">
        <v>6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LITE US 02/20/26 C400</v>
      </c>
      <c r="M37" s="214" t="str">
        <f t="shared" si="1"/>
        <v>EQTY.IntlUS.off</v>
      </c>
      <c r="N37" s="215">
        <f t="shared" si="2"/>
        <v>6</v>
      </c>
      <c r="O37" s="215">
        <f t="shared" si="3"/>
        <v>6</v>
      </c>
    </row>
    <row r="38" spans="5:15">
      <c r="E38" s="213" t="s">
        <v>317</v>
      </c>
      <c r="F38" s="213" t="s">
        <v>326</v>
      </c>
      <c r="G38" s="213" t="s">
        <v>282</v>
      </c>
      <c r="H38" s="213">
        <v>382</v>
      </c>
      <c r="I38" s="213">
        <v>382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</v>
      </c>
      <c r="M38" s="214" t="str">
        <f t="shared" si="1"/>
        <v>EQTY.IntlUS.off</v>
      </c>
      <c r="N38" s="215">
        <f t="shared" si="2"/>
        <v>382</v>
      </c>
      <c r="O38" s="215">
        <f t="shared" si="3"/>
        <v>382</v>
      </c>
    </row>
    <row r="39" spans="5:15">
      <c r="E39" s="213" t="s">
        <v>319</v>
      </c>
      <c r="F39" s="213" t="s">
        <v>2077</v>
      </c>
      <c r="G39" s="213" t="s">
        <v>282</v>
      </c>
      <c r="H39" s="213">
        <v>3</v>
      </c>
      <c r="I39" s="213">
        <v>3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META US 04/17/26 C690</v>
      </c>
      <c r="M39" s="214" t="str">
        <f t="shared" si="1"/>
        <v>EQTY.IntlUS.off</v>
      </c>
      <c r="N39" s="215">
        <f t="shared" si="2"/>
        <v>3</v>
      </c>
      <c r="O39" s="215">
        <f t="shared" si="3"/>
        <v>3</v>
      </c>
    </row>
    <row r="40" spans="5:15">
      <c r="E40" s="213" t="s">
        <v>319</v>
      </c>
      <c r="F40" s="213" t="s">
        <v>2120</v>
      </c>
      <c r="G40" s="213" t="s">
        <v>282</v>
      </c>
      <c r="H40" s="213">
        <v>1</v>
      </c>
      <c r="I40" s="213">
        <v>1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META US 04/17/26 P570</v>
      </c>
      <c r="M40" s="214" t="str">
        <f t="shared" si="1"/>
        <v>EQTY.IntlUS.off</v>
      </c>
      <c r="N40" s="215">
        <f t="shared" si="2"/>
        <v>1</v>
      </c>
      <c r="O40" s="215">
        <f t="shared" si="3"/>
        <v>1</v>
      </c>
    </row>
    <row r="41" spans="5:15">
      <c r="E41" s="213" t="s">
        <v>319</v>
      </c>
      <c r="F41" s="213" t="s">
        <v>2119</v>
      </c>
      <c r="G41" s="213" t="s">
        <v>282</v>
      </c>
      <c r="H41" s="213">
        <v>-1</v>
      </c>
      <c r="I41" s="213">
        <v>-1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META US 04/17/26 P600</v>
      </c>
      <c r="M41" s="214" t="str">
        <f t="shared" si="1"/>
        <v>EQTY.IntlUS.off</v>
      </c>
      <c r="N41" s="215">
        <f t="shared" si="2"/>
        <v>-1</v>
      </c>
      <c r="O41" s="215">
        <f t="shared" si="3"/>
        <v>-1</v>
      </c>
    </row>
    <row r="42" spans="5:15">
      <c r="E42" s="213" t="s">
        <v>317</v>
      </c>
      <c r="F42" s="213" t="s">
        <v>138</v>
      </c>
      <c r="G42" s="213" t="s">
        <v>282</v>
      </c>
      <c r="H42" s="213">
        <v>-3</v>
      </c>
      <c r="I42" s="213">
        <v>-94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MRVL</v>
      </c>
      <c r="M42" s="214" t="str">
        <f t="shared" si="1"/>
        <v>EQTY.IntlUS.off</v>
      </c>
      <c r="N42" s="215">
        <f t="shared" si="2"/>
        <v>-3</v>
      </c>
      <c r="O42" s="215">
        <f t="shared" si="3"/>
        <v>-94</v>
      </c>
    </row>
    <row r="43" spans="5:15">
      <c r="E43" s="213" t="s">
        <v>319</v>
      </c>
      <c r="F43" s="213" t="s">
        <v>2336</v>
      </c>
      <c r="G43" s="213" t="s">
        <v>282</v>
      </c>
      <c r="H43" s="213">
        <v>-9</v>
      </c>
      <c r="I43" s="213">
        <v>0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MRVL US 03/20/26 P70</v>
      </c>
      <c r="M43" s="214" t="str">
        <f t="shared" si="1"/>
        <v>EQTY.IntlUS.off</v>
      </c>
      <c r="N43" s="215">
        <f t="shared" si="2"/>
        <v>-9</v>
      </c>
      <c r="O43" s="215">
        <f t="shared" si="3"/>
        <v>0</v>
      </c>
    </row>
    <row r="44" spans="5:15">
      <c r="E44" s="213" t="s">
        <v>319</v>
      </c>
      <c r="F44" s="213" t="s">
        <v>2107</v>
      </c>
      <c r="G44" s="213" t="s">
        <v>282</v>
      </c>
      <c r="H44" s="213">
        <v>-12</v>
      </c>
      <c r="I44" s="213">
        <v>-12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MRVL US 03/20/26 P75</v>
      </c>
      <c r="M44" s="214" t="str">
        <f t="shared" si="1"/>
        <v>EQTY.IntlUS.off</v>
      </c>
      <c r="N44" s="215">
        <f t="shared" si="2"/>
        <v>-12</v>
      </c>
      <c r="O44" s="215">
        <f t="shared" si="3"/>
        <v>-12</v>
      </c>
    </row>
    <row r="45" spans="5:15">
      <c r="E45" s="213" t="s">
        <v>319</v>
      </c>
      <c r="F45" s="213" t="s">
        <v>2067</v>
      </c>
      <c r="G45" s="213" t="s">
        <v>282</v>
      </c>
      <c r="H45" s="213">
        <v>9</v>
      </c>
      <c r="I45" s="213">
        <v>0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MRVL US 03/20/26 P80</v>
      </c>
      <c r="M45" s="214" t="str">
        <f t="shared" si="1"/>
        <v>EQTY.IntlUS.off</v>
      </c>
      <c r="N45" s="215">
        <f t="shared" si="2"/>
        <v>9</v>
      </c>
      <c r="O45" s="215">
        <f t="shared" si="3"/>
        <v>0</v>
      </c>
    </row>
    <row r="46" spans="5:15">
      <c r="E46" s="213" t="s">
        <v>319</v>
      </c>
      <c r="F46" s="213" t="s">
        <v>2106</v>
      </c>
      <c r="G46" s="213" t="s">
        <v>282</v>
      </c>
      <c r="H46" s="213">
        <v>14</v>
      </c>
      <c r="I46" s="213">
        <v>14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MRVL US 03/20/26 P85</v>
      </c>
      <c r="M46" s="214" t="str">
        <f t="shared" si="1"/>
        <v>EQTY.IntlUS.off</v>
      </c>
      <c r="N46" s="215">
        <f t="shared" si="2"/>
        <v>14</v>
      </c>
      <c r="O46" s="215">
        <f t="shared" si="3"/>
        <v>14</v>
      </c>
    </row>
    <row r="47" spans="5:15">
      <c r="E47" s="213" t="s">
        <v>317</v>
      </c>
      <c r="F47" s="213" t="s">
        <v>90</v>
      </c>
      <c r="G47" s="213" t="s">
        <v>282</v>
      </c>
      <c r="H47" s="213">
        <v>230</v>
      </c>
      <c r="I47" s="213">
        <v>300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MSFT</v>
      </c>
      <c r="M47" s="214" t="str">
        <f t="shared" si="1"/>
        <v>EQTY.IntlUS.off</v>
      </c>
      <c r="N47" s="215">
        <f t="shared" si="2"/>
        <v>230</v>
      </c>
      <c r="O47" s="215">
        <f t="shared" si="3"/>
        <v>300</v>
      </c>
    </row>
    <row r="48" spans="5:15">
      <c r="E48" s="213" t="s">
        <v>319</v>
      </c>
      <c r="F48" s="213" t="s">
        <v>2057</v>
      </c>
      <c r="G48" s="213" t="s">
        <v>282</v>
      </c>
      <c r="H48" s="213">
        <v>0</v>
      </c>
      <c r="I48" s="213">
        <v>7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MSFT US 03/20/26 C490</v>
      </c>
      <c r="M48" s="214" t="str">
        <f t="shared" si="1"/>
        <v>EQTY.IntlUS.off</v>
      </c>
      <c r="N48" s="215">
        <f t="shared" si="2"/>
        <v>0</v>
      </c>
      <c r="O48" s="215">
        <f t="shared" si="3"/>
        <v>7</v>
      </c>
    </row>
    <row r="49" spans="5:15">
      <c r="E49" s="213" t="s">
        <v>319</v>
      </c>
      <c r="F49" s="213" t="s">
        <v>2058</v>
      </c>
      <c r="G49" s="213" t="s">
        <v>282</v>
      </c>
      <c r="H49" s="213">
        <v>-4</v>
      </c>
      <c r="I49" s="213">
        <v>-4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MSFT US 03/20/26 P465</v>
      </c>
      <c r="M49" s="214" t="str">
        <f t="shared" si="1"/>
        <v>EQTY.IntlUS.off</v>
      </c>
      <c r="N49" s="215">
        <f t="shared" si="2"/>
        <v>-4</v>
      </c>
      <c r="O49" s="215">
        <f t="shared" si="3"/>
        <v>-4</v>
      </c>
    </row>
    <row r="50" spans="5:15">
      <c r="E50" s="213" t="s">
        <v>317</v>
      </c>
      <c r="F50" s="213" t="s">
        <v>94</v>
      </c>
      <c r="G50" s="213" t="s">
        <v>282</v>
      </c>
      <c r="H50" s="213">
        <v>1486</v>
      </c>
      <c r="I50" s="213">
        <v>1636</v>
      </c>
      <c r="K50" s="214" t="str">
        <f t="shared" si="0"/>
        <v>US Equity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NVDA</v>
      </c>
      <c r="M50" s="214" t="str">
        <f t="shared" si="1"/>
        <v>EQTY.IntlUS.off</v>
      </c>
      <c r="N50" s="215">
        <f t="shared" si="2"/>
        <v>1486</v>
      </c>
      <c r="O50" s="215">
        <f t="shared" si="3"/>
        <v>1636</v>
      </c>
    </row>
    <row r="51" spans="5:15">
      <c r="E51" s="213" t="s">
        <v>318</v>
      </c>
      <c r="F51" s="213" t="s">
        <v>2361</v>
      </c>
      <c r="G51" s="213" t="s">
        <v>282</v>
      </c>
      <c r="H51" s="213">
        <v>8090</v>
      </c>
      <c r="I51" s="213">
        <v>-22520</v>
      </c>
      <c r="K51" s="214" t="str">
        <f t="shared" si="0"/>
        <v>Provisions and Costs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Provision CME USD_</v>
      </c>
      <c r="M51" s="214" t="str">
        <f t="shared" si="1"/>
        <v>EQTY.IntlUS.off</v>
      </c>
      <c r="N51" s="215">
        <f t="shared" si="2"/>
        <v>8090</v>
      </c>
      <c r="O51" s="215">
        <f t="shared" si="3"/>
        <v>-22520</v>
      </c>
    </row>
    <row r="52" spans="5:15">
      <c r="E52" s="213" t="s">
        <v>318</v>
      </c>
      <c r="F52" s="213" t="s">
        <v>336</v>
      </c>
      <c r="G52" s="213" t="s">
        <v>282</v>
      </c>
      <c r="H52" s="213">
        <v>-930</v>
      </c>
      <c r="I52" s="213">
        <v>-24840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ETF Options USD_</v>
      </c>
      <c r="M52" s="214" t="str">
        <f t="shared" si="1"/>
        <v>EQTY.IntlUS.off</v>
      </c>
      <c r="N52" s="215">
        <f t="shared" si="2"/>
        <v>-930</v>
      </c>
      <c r="O52" s="215">
        <f t="shared" si="3"/>
        <v>-24840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-62399.33</v>
      </c>
      <c r="I53" s="213">
        <v>-50695.519999999997</v>
      </c>
      <c r="K53" s="214" t="str">
        <f t="shared" si="0"/>
        <v>Provisions and Costs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Provision ETF USD_</v>
      </c>
      <c r="M53" s="214" t="str">
        <f t="shared" si="1"/>
        <v>EQTY.IntlUS.off</v>
      </c>
      <c r="N53" s="215">
        <f t="shared" si="2"/>
        <v>-62399.33</v>
      </c>
      <c r="O53" s="215">
        <f t="shared" si="3"/>
        <v>-50695.519999999997</v>
      </c>
    </row>
    <row r="54" spans="5:15">
      <c r="E54" s="213" t="s">
        <v>318</v>
      </c>
      <c r="F54" s="213" t="s">
        <v>2330</v>
      </c>
      <c r="G54" s="213" t="s">
        <v>282</v>
      </c>
      <c r="H54" s="213">
        <v>28075</v>
      </c>
      <c r="I54" s="213">
        <v>-126.65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Provision EUR Equity EUR_</v>
      </c>
      <c r="M54" s="214" t="str">
        <f t="shared" si="1"/>
        <v>EQTY.IntlUS.off</v>
      </c>
      <c r="N54" s="215">
        <f t="shared" si="2"/>
        <v>28075</v>
      </c>
      <c r="O54" s="215">
        <f t="shared" si="3"/>
        <v>-126.65</v>
      </c>
    </row>
    <row r="55" spans="5:15">
      <c r="E55" s="213" t="s">
        <v>318</v>
      </c>
      <c r="F55" s="213" t="s">
        <v>1666</v>
      </c>
      <c r="G55" s="213" t="s">
        <v>282</v>
      </c>
      <c r="H55" s="213">
        <v>-36524.31</v>
      </c>
      <c r="I55" s="213">
        <v>-98145.32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NYSE USD_</v>
      </c>
      <c r="M55" s="214" t="str">
        <f t="shared" si="1"/>
        <v>EQTY.IntlUS.off</v>
      </c>
      <c r="N55" s="215">
        <f t="shared" si="2"/>
        <v>-36524.31</v>
      </c>
      <c r="O55" s="215">
        <f t="shared" si="3"/>
        <v>-98145.32</v>
      </c>
    </row>
    <row r="56" spans="5:15">
      <c r="E56" s="213" t="s">
        <v>318</v>
      </c>
      <c r="F56" s="213" t="s">
        <v>2331</v>
      </c>
      <c r="G56" s="213" t="s">
        <v>282</v>
      </c>
      <c r="H56" s="213">
        <v>806.86</v>
      </c>
      <c r="I56" s="213">
        <v>3353.46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Total Return Swap USD_</v>
      </c>
      <c r="M56" s="214" t="str">
        <f t="shared" si="1"/>
        <v>EQTY.IntlUS.off</v>
      </c>
      <c r="N56" s="215">
        <f t="shared" si="2"/>
        <v>806.86</v>
      </c>
      <c r="O56" s="215">
        <f t="shared" si="3"/>
        <v>3353.46</v>
      </c>
    </row>
    <row r="57" spans="5:15">
      <c r="E57" s="213" t="s">
        <v>318</v>
      </c>
      <c r="F57" s="213" t="s">
        <v>337</v>
      </c>
      <c r="G57" s="213" t="s">
        <v>282</v>
      </c>
      <c r="H57" s="213">
        <v>-5378</v>
      </c>
      <c r="I57" s="213">
        <v>-1993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US Equity Options USD_</v>
      </c>
      <c r="M57" s="214" t="str">
        <f t="shared" si="1"/>
        <v>EQTY.IntlUS.off</v>
      </c>
      <c r="N57" s="215">
        <f t="shared" si="2"/>
        <v>-5378</v>
      </c>
      <c r="O57" s="215">
        <f t="shared" si="3"/>
        <v>-1993</v>
      </c>
    </row>
    <row r="58" spans="5:15">
      <c r="E58" s="213" t="s">
        <v>318</v>
      </c>
      <c r="F58" s="213" t="s">
        <v>307</v>
      </c>
      <c r="G58" s="213" t="s">
        <v>282</v>
      </c>
      <c r="H58" s="213">
        <v>-68189.36</v>
      </c>
      <c r="I58" s="213">
        <v>224089.45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US Equity USD_</v>
      </c>
      <c r="M58" s="214" t="str">
        <f t="shared" si="1"/>
        <v>EQTY.IntlUS.off</v>
      </c>
      <c r="N58" s="215">
        <f t="shared" si="2"/>
        <v>-68189.36</v>
      </c>
      <c r="O58" s="215">
        <f t="shared" si="3"/>
        <v>224089.45</v>
      </c>
    </row>
    <row r="59" spans="5:15">
      <c r="E59" s="213" t="s">
        <v>317</v>
      </c>
      <c r="F59" s="213" t="s">
        <v>2146</v>
      </c>
      <c r="G59" s="213" t="s">
        <v>282</v>
      </c>
      <c r="H59" s="213">
        <v>1564</v>
      </c>
      <c r="I59" s="213">
        <v>1433</v>
      </c>
      <c r="K59" s="214" t="str">
        <f t="shared" si="0"/>
        <v>US Equity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RIOT</v>
      </c>
      <c r="M59" s="214" t="str">
        <f t="shared" si="1"/>
        <v>EQTY.IntlUS.off</v>
      </c>
      <c r="N59" s="215">
        <f t="shared" si="2"/>
        <v>1564</v>
      </c>
      <c r="O59" s="215">
        <f t="shared" si="3"/>
        <v>1433</v>
      </c>
    </row>
    <row r="60" spans="5:15">
      <c r="E60" s="213" t="s">
        <v>319</v>
      </c>
      <c r="F60" s="213" t="s">
        <v>2333</v>
      </c>
      <c r="G60" s="213" t="s">
        <v>282</v>
      </c>
      <c r="H60" s="213">
        <v>1</v>
      </c>
      <c r="I60" s="213">
        <v>0</v>
      </c>
      <c r="K60" s="214" t="str">
        <f t="shared" si="0"/>
        <v>US Equity Options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SNDK US 02/20/26 C500</v>
      </c>
      <c r="M60" s="214" t="str">
        <f t="shared" si="1"/>
        <v>EQTY.IntlUS.off</v>
      </c>
      <c r="N60" s="215">
        <f t="shared" si="2"/>
        <v>1</v>
      </c>
      <c r="O60" s="215">
        <f t="shared" si="3"/>
        <v>0</v>
      </c>
    </row>
    <row r="61" spans="5:15">
      <c r="E61" s="213" t="s">
        <v>2148</v>
      </c>
      <c r="F61" s="213" t="s">
        <v>2362</v>
      </c>
      <c r="G61" s="213" t="s">
        <v>282</v>
      </c>
      <c r="H61" s="213">
        <v>57</v>
      </c>
      <c r="I61" s="213">
        <v>0</v>
      </c>
      <c r="K61" s="214" t="str">
        <f t="shared" si="0"/>
        <v>Equity Total Return Swap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SWAP 000660 KP 23JAN2026 25JAN2027 509.6192</v>
      </c>
      <c r="M61" s="214" t="str">
        <f t="shared" si="1"/>
        <v>EQTY.IntlUS.off</v>
      </c>
      <c r="N61" s="215">
        <f t="shared" si="2"/>
        <v>57</v>
      </c>
      <c r="O61" s="215">
        <f t="shared" si="3"/>
        <v>0</v>
      </c>
    </row>
    <row r="62" spans="5:15">
      <c r="E62" s="213" t="s">
        <v>2148</v>
      </c>
      <c r="F62" s="213" t="s">
        <v>2149</v>
      </c>
      <c r="G62" s="213" t="s">
        <v>282</v>
      </c>
      <c r="H62" s="213">
        <v>100</v>
      </c>
      <c r="I62" s="213">
        <v>100</v>
      </c>
      <c r="K62" s="214" t="str">
        <f t="shared" si="0"/>
        <v>Equity Total Return Swap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000660 KS</v>
      </c>
      <c r="M62" s="214" t="str">
        <f t="shared" si="1"/>
        <v>EQTY.IntlUS.off</v>
      </c>
      <c r="N62" s="215">
        <f t="shared" si="2"/>
        <v>100</v>
      </c>
      <c r="O62" s="215">
        <f t="shared" si="3"/>
        <v>100</v>
      </c>
    </row>
    <row r="63" spans="5:15">
      <c r="E63" s="213" t="s">
        <v>639</v>
      </c>
      <c r="F63" s="213" t="s">
        <v>2316</v>
      </c>
      <c r="G63" s="213" t="s">
        <v>282</v>
      </c>
      <c r="H63" s="213">
        <v>0</v>
      </c>
      <c r="I63" s="213">
        <v>-1</v>
      </c>
      <c r="K63" s="214" t="str">
        <f t="shared" si="0"/>
        <v>Total Return Swap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SWAP KMH6 21JAN2026 16MAR2026 0.483389265383573</v>
      </c>
      <c r="M63" s="214" t="str">
        <f t="shared" si="1"/>
        <v>EQTY.IntlUS.off</v>
      </c>
      <c r="N63" s="215">
        <f t="shared" si="2"/>
        <v>0</v>
      </c>
      <c r="O63" s="215">
        <f t="shared" si="3"/>
        <v>-1</v>
      </c>
    </row>
    <row r="64" spans="5:15">
      <c r="E64" s="213" t="s">
        <v>39</v>
      </c>
      <c r="F64" s="213" t="s">
        <v>96</v>
      </c>
      <c r="G64" s="213" t="s">
        <v>282</v>
      </c>
      <c r="H64" s="213">
        <v>629</v>
      </c>
      <c r="I64" s="213">
        <v>597</v>
      </c>
      <c r="K64" s="214" t="str">
        <f t="shared" si="0"/>
        <v>ADR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</v>
      </c>
      <c r="M64" s="214" t="str">
        <f t="shared" si="1"/>
        <v>EQTY.IntlUS.off</v>
      </c>
      <c r="N64" s="215">
        <f t="shared" si="2"/>
        <v>629</v>
      </c>
      <c r="O64" s="215">
        <f t="shared" si="3"/>
        <v>597</v>
      </c>
    </row>
    <row r="65" spans="5:15">
      <c r="E65" s="213" t="s">
        <v>327</v>
      </c>
      <c r="F65" s="213" t="s">
        <v>2108</v>
      </c>
      <c r="G65" s="213" t="s">
        <v>282</v>
      </c>
      <c r="H65" s="213">
        <v>5</v>
      </c>
      <c r="I65" s="213">
        <v>5</v>
      </c>
      <c r="K65" s="214" t="str">
        <f t="shared" si="0"/>
        <v>ADR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US 03/20/26 C300</v>
      </c>
      <c r="M65" s="214" t="str">
        <f t="shared" si="1"/>
        <v>EQTY.IntlUS.off</v>
      </c>
      <c r="N65" s="215">
        <f t="shared" si="2"/>
        <v>5</v>
      </c>
      <c r="O65" s="215">
        <f t="shared" si="3"/>
        <v>5</v>
      </c>
    </row>
    <row r="66" spans="5:15">
      <c r="E66" s="213" t="s">
        <v>327</v>
      </c>
      <c r="F66" s="213" t="s">
        <v>2261</v>
      </c>
      <c r="G66" s="213" t="s">
        <v>282</v>
      </c>
      <c r="H66" s="213">
        <v>78</v>
      </c>
      <c r="I66" s="213">
        <v>59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06/18/26 C340</v>
      </c>
      <c r="M66" s="214" t="str">
        <f t="shared" si="1"/>
        <v>EQTY.IntlUS.off</v>
      </c>
      <c r="N66" s="215">
        <f t="shared" si="2"/>
        <v>78</v>
      </c>
      <c r="O66" s="215">
        <f t="shared" si="3"/>
        <v>59</v>
      </c>
    </row>
    <row r="67" spans="5:15">
      <c r="E67" s="213" t="s">
        <v>327</v>
      </c>
      <c r="F67" s="213" t="s">
        <v>2262</v>
      </c>
      <c r="G67" s="213" t="s">
        <v>282</v>
      </c>
      <c r="H67" s="213">
        <v>-75</v>
      </c>
      <c r="I67" s="213">
        <v>-56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06/18/26 C380</v>
      </c>
      <c r="M67" s="214" t="str">
        <f t="shared" ref="M67:M130" si="5">IF(E67="","",G67)</f>
        <v>EQTY.IntlUS.off</v>
      </c>
      <c r="N67" s="215">
        <f t="shared" ref="N67:N130" si="6">IF(E67="","",H67)</f>
        <v>-75</v>
      </c>
      <c r="O67" s="215">
        <f t="shared" ref="O67:O130" si="7">IF(E67="","",I67)</f>
        <v>-56</v>
      </c>
    </row>
    <row r="68" spans="5:15">
      <c r="E68" s="213" t="s">
        <v>320</v>
      </c>
      <c r="F68" s="213" t="s">
        <v>88</v>
      </c>
      <c r="G68" s="213" t="s">
        <v>282</v>
      </c>
      <c r="H68" s="213">
        <v>2885</v>
      </c>
      <c r="I68" s="213">
        <v>2606</v>
      </c>
      <c r="K68" s="214" t="str">
        <f t="shared" si="4"/>
        <v>ETF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XLF</v>
      </c>
      <c r="M68" s="214" t="str">
        <f t="shared" si="5"/>
        <v>EQTY.IntlUS.off</v>
      </c>
      <c r="N68" s="215">
        <f t="shared" si="6"/>
        <v>2885</v>
      </c>
      <c r="O68" s="215">
        <f t="shared" si="7"/>
        <v>2606</v>
      </c>
    </row>
    <row r="69" spans="5:15">
      <c r="E69" s="213" t="s">
        <v>320</v>
      </c>
      <c r="F69" s="213" t="s">
        <v>4</v>
      </c>
      <c r="G69" s="213" t="s">
        <v>282</v>
      </c>
      <c r="H69" s="213">
        <v>-1735</v>
      </c>
      <c r="I69" s="213">
        <v>-1735</v>
      </c>
      <c r="K69" s="214" t="str">
        <f t="shared" si="4"/>
        <v>ETF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XLP</v>
      </c>
      <c r="M69" s="214" t="str">
        <f t="shared" si="5"/>
        <v>EQTY.IntlUS.off</v>
      </c>
      <c r="N69" s="215">
        <f t="shared" si="6"/>
        <v>-1735</v>
      </c>
      <c r="O69" s="215">
        <f t="shared" si="7"/>
        <v>-1735</v>
      </c>
    </row>
    <row r="70" spans="5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230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230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0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0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629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629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46044</v>
      </c>
      <c r="C2" s="210">
        <v>0</v>
      </c>
    </row>
    <row r="3" spans="1:7">
      <c r="A3" s="208" t="s">
        <v>342</v>
      </c>
      <c r="B3" s="236">
        <f ca="1">B2-1</f>
        <v>46043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Daniel\BooksOverviewResume21Jan2026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Daniel\BooksOverviewResume21Jan2026_zenith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2149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1859</v>
      </c>
      <c r="G22" s="353" t="s">
        <v>1856</v>
      </c>
    </row>
    <row r="23" spans="6:7">
      <c r="F23" s="213" t="s">
        <v>1859</v>
      </c>
      <c r="G23" s="353" t="s">
        <v>1856</v>
      </c>
    </row>
    <row r="24" spans="6:7">
      <c r="F24" s="213" t="s">
        <v>1866</v>
      </c>
      <c r="G24" s="353" t="s">
        <v>1856</v>
      </c>
    </row>
    <row r="25" spans="6:7">
      <c r="F25" s="213" t="s">
        <v>1866</v>
      </c>
      <c r="G25" s="353" t="s">
        <v>1856</v>
      </c>
    </row>
    <row r="26" spans="6:7">
      <c r="F26" s="213" t="s">
        <v>1869</v>
      </c>
      <c r="G26" s="353" t="s">
        <v>1856</v>
      </c>
    </row>
    <row r="27" spans="6:7">
      <c r="F27" s="213" t="s">
        <v>1869</v>
      </c>
      <c r="G27" s="353" t="s">
        <v>1856</v>
      </c>
    </row>
    <row r="28" spans="6:7">
      <c r="F28" s="213" t="s">
        <v>1872</v>
      </c>
      <c r="G28" s="353" t="s">
        <v>1856</v>
      </c>
    </row>
    <row r="29" spans="6:7">
      <c r="F29" s="213" t="s">
        <v>1872</v>
      </c>
      <c r="G29" s="353" t="s">
        <v>1856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1887</v>
      </c>
      <c r="G34" s="22" t="s">
        <v>1742</v>
      </c>
    </row>
    <row r="35" spans="6:7">
      <c r="F35" s="362" t="s">
        <v>1886</v>
      </c>
      <c r="G35" s="163" t="s">
        <v>1883</v>
      </c>
    </row>
    <row r="36" spans="6:7">
      <c r="F36" s="362" t="s">
        <v>1885</v>
      </c>
      <c r="G36" s="22" t="s">
        <v>1884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1888</v>
      </c>
      <c r="G39" s="22" t="s">
        <v>2</v>
      </c>
    </row>
    <row r="40" spans="6:7">
      <c r="F40" t="s">
        <v>131</v>
      </c>
      <c r="G40" s="22" t="s">
        <v>2156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1916</v>
      </c>
      <c r="G50" s="22" t="s">
        <v>1917</v>
      </c>
    </row>
    <row r="51" spans="6:7">
      <c r="F51" s="22" t="s">
        <v>1847</v>
      </c>
      <c r="G51" s="22" t="s">
        <v>1846</v>
      </c>
    </row>
    <row r="52" spans="6:7">
      <c r="F52" s="22" t="s">
        <v>358</v>
      </c>
      <c r="G52" s="22" t="s">
        <v>2</v>
      </c>
    </row>
    <row r="53" spans="6:7">
      <c r="F53" s="213" t="s">
        <v>1870</v>
      </c>
      <c r="G53" s="353" t="s">
        <v>1855</v>
      </c>
    </row>
    <row r="54" spans="6:7">
      <c r="F54" s="213" t="s">
        <v>1870</v>
      </c>
      <c r="G54" s="353" t="s">
        <v>1855</v>
      </c>
    </row>
    <row r="55" spans="6:7">
      <c r="F55" s="213" t="s">
        <v>1867</v>
      </c>
      <c r="G55" s="353" t="s">
        <v>1855</v>
      </c>
    </row>
    <row r="56" spans="6:7">
      <c r="F56" s="213" t="s">
        <v>1867</v>
      </c>
      <c r="G56" s="353" t="s">
        <v>1855</v>
      </c>
    </row>
    <row r="57" spans="6:7">
      <c r="F57" s="213" t="s">
        <v>1871</v>
      </c>
      <c r="G57" s="353" t="s">
        <v>1855</v>
      </c>
    </row>
    <row r="58" spans="6:7">
      <c r="F58" s="213" t="s">
        <v>1871</v>
      </c>
      <c r="G58" s="353" t="s">
        <v>1855</v>
      </c>
    </row>
    <row r="59" spans="6:7">
      <c r="F59" s="213" t="s">
        <v>1873</v>
      </c>
      <c r="G59" s="353" t="s">
        <v>1855</v>
      </c>
    </row>
    <row r="60" spans="6:7">
      <c r="F60" s="213" t="s">
        <v>1873</v>
      </c>
      <c r="G60" s="353" t="s">
        <v>1855</v>
      </c>
    </row>
    <row r="61" spans="6:7">
      <c r="F61" s="22" t="s">
        <v>1853</v>
      </c>
      <c r="G61" s="22" t="s">
        <v>1846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2156</v>
      </c>
      <c r="G98" s="22" t="s">
        <v>2156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1859</v>
      </c>
      <c r="G104" s="22" t="s">
        <v>1856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1858</v>
      </c>
      <c r="G112" s="22" t="s">
        <v>1857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1860</v>
      </c>
      <c r="G126" s="22" t="s">
        <v>1855</v>
      </c>
    </row>
    <row r="127" spans="6:7">
      <c r="F127" s="22" t="s">
        <v>1867</v>
      </c>
      <c r="G127" s="22" t="s">
        <v>1855</v>
      </c>
    </row>
    <row r="128" spans="6:7">
      <c r="F128" s="22" t="s">
        <v>1866</v>
      </c>
      <c r="G128" s="22" t="s">
        <v>1856</v>
      </c>
    </row>
    <row r="129" spans="6:7">
      <c r="F129" s="22" t="s">
        <v>1868</v>
      </c>
      <c r="G129" s="22" t="s">
        <v>1854</v>
      </c>
    </row>
    <row r="130" spans="6:7">
      <c r="F130" s="22" t="s">
        <v>1864</v>
      </c>
      <c r="G130" s="22" t="s">
        <v>1761</v>
      </c>
    </row>
    <row r="131" spans="6:7">
      <c r="F131" s="22" t="s">
        <v>1865</v>
      </c>
      <c r="G131" s="22" t="s">
        <v>1761</v>
      </c>
    </row>
    <row r="132" spans="6:7">
      <c r="F132" s="22" t="s">
        <v>1862</v>
      </c>
      <c r="G132" s="22" t="s">
        <v>1742</v>
      </c>
    </row>
    <row r="133" spans="6:7">
      <c r="F133" s="22" t="s">
        <v>1863</v>
      </c>
      <c r="G133" s="22" t="s">
        <v>1861</v>
      </c>
    </row>
    <row r="134" spans="6:7">
      <c r="F134" s="22" t="s">
        <v>1870</v>
      </c>
      <c r="G134" s="22" t="s">
        <v>1855</v>
      </c>
    </row>
    <row r="135" spans="6:7">
      <c r="F135" s="22" t="s">
        <v>1871</v>
      </c>
      <c r="G135" s="22" t="s">
        <v>1855</v>
      </c>
    </row>
    <row r="136" spans="6:7">
      <c r="F136" s="22" t="s">
        <v>1869</v>
      </c>
      <c r="G136" s="22" t="s">
        <v>1856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IF(R2="","",IF(LEN(R2)&gt;9,SUMIFS(Options!$AZ$3:$AZ$27,Options!$B$3:$B$27,'Check result'!R2),SUMIFS('Master P&amp;L'!$AE$11:$AE$80,'Master P&amp;L'!$B$11:$B$80,'Check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IF(R3="","",IF(LEN(R3)&gt;9,SUMIFS(Options!$AZ$3:$AZ$27,Options!$B$3:$B$27,'Check result'!R3),SUMIFS('Master P&amp;L'!$AE$11:$AE$80,'Master P&amp;L'!$B$11:$B$80,'Check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IF(R4="","",IF(LEN(R4)&gt;9,SUMIFS(Options!$AZ$3:$AZ$27,Options!$B$3:$B$27,'Check result'!R4),SUMIFS('Master P&amp;L'!$AE$11:$AE$80,'Master P&amp;L'!$B$11:$B$80,'Check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IF(R5="","",IF(LEN(R5)&gt;9,SUMIFS(Options!$AZ$3:$AZ$27,Options!$B$3:$B$27,'Check result'!R5),SUMIFS('Master P&amp;L'!$AE$11:$AE$80,'Master P&amp;L'!$B$11:$B$80,'Check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IF(R6="","",IF(LEN(R6)&gt;9,SUMIFS(Options!$AZ$3:$AZ$27,Options!$B$3:$B$27,'Check result'!R6),SUMIFS('Master P&amp;L'!$AE$11:$AE$80,'Master P&amp;L'!$B$11:$B$80,'Check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IF(R7="","",IF(LEN(R7)&gt;9,SUMIFS(Options!$AZ$3:$AZ$27,Options!$B$3:$B$27,'Check result'!R7),SUMIFS('Master P&amp;L'!$AE$11:$AE$80,'Master P&amp;L'!$B$11:$B$80,'Check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IF(R8="","",IF(LEN(R8)&gt;9,SUMIFS(Options!$AZ$3:$AZ$27,Options!$B$3:$B$27,'Check result'!R8),SUMIFS('Master P&amp;L'!$AE$11:$AE$80,'Master P&amp;L'!$B$11:$B$80,'Check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IF(R9="","",IF(LEN(R9)&gt;9,SUMIFS(Options!$AZ$3:$AZ$27,Options!$B$3:$B$27,'Check result'!R9),SUMIFS('Master P&amp;L'!$AE$11:$AE$80,'Master P&amp;L'!$B$11:$B$80,'Check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IF(R10="","",IF(LEN(R10)&gt;9,SUMIFS(Options!$AZ$3:$AZ$27,Options!$B$3:$B$27,'Check result'!R10),SUMIFS('Master P&amp;L'!$AE$11:$AE$80,'Master P&amp;L'!$B$11:$B$80,'Check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IF(R11="","",IF(LEN(R11)&gt;9,SUMIFS(Options!$AZ$3:$AZ$27,Options!$B$3:$B$27,'Check result'!R11),SUMIFS('Master P&amp;L'!$AE$11:$AE$80,'Master P&amp;L'!$B$11:$B$80,'Check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IF(R12="","",IF(LEN(R12)&gt;9,SUMIFS(Options!$AZ$3:$AZ$27,Options!$B$3:$B$27,'Check result'!R12),SUMIFS('Master P&amp;L'!$AE$11:$AE$80,'Master P&amp;L'!$B$11:$B$80,'Check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IF(R13="","",IF(LEN(R13)&gt;9,SUMIFS(Options!$AZ$3:$AZ$27,Options!$B$3:$B$27,'Check result'!R13),SUMIFS('Master P&amp;L'!$AE$11:$AE$80,'Master P&amp;L'!$B$11:$B$80,'Check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IF(R14="","",IF(LEN(R14)&gt;9,SUMIFS(Options!$AZ$3:$AZ$27,Options!$B$3:$B$27,'Check result'!R14),SUMIFS('Master P&amp;L'!$AE$11:$AE$80,'Master P&amp;L'!$B$11:$B$80,'Check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IF(R15="","",IF(LEN(R15)&gt;9,SUMIFS(Options!$AZ$3:$AZ$27,Options!$B$3:$B$27,'Check result'!R15),SUMIFS('Master P&amp;L'!$AE$11:$AE$80,'Master P&amp;L'!$B$11:$B$80,'Check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IF(R16="","",IF(LEN(R16)&gt;9,SUMIFS(Options!$AZ$3:$AZ$27,Options!$B$3:$B$27,'Check result'!R16),SUMIFS('Master P&amp;L'!$AE$11:$AE$80,'Master P&amp;L'!$B$11:$B$80,'Check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IF(R17="","",IF(LEN(R17)&gt;9,SUMIFS(Options!$AZ$3:$AZ$27,Options!$B$3:$B$27,'Check result'!R17),SUMIFS('Master P&amp;L'!$AE$11:$AE$80,'Master P&amp;L'!$B$11:$B$80,'Check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IF(R18="","",IF(LEN(R18)&gt;9,SUMIFS(Options!$AZ$3:$AZ$27,Options!$B$3:$B$27,'Check result'!R18),SUMIFS('Master P&amp;L'!$AE$11:$AE$80,'Master P&amp;L'!$B$11:$B$80,'Check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IF(R19="","",IF(LEN(R19)&gt;9,SUMIFS(Options!$AZ$3:$AZ$27,Options!$B$3:$B$27,'Check result'!R19),SUMIFS('Master P&amp;L'!$AE$11:$AE$80,'Master P&amp;L'!$B$11:$B$80,'Check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IF(R20="","",IF(LEN(R20)&gt;9,SUMIFS(Options!$AZ$3:$AZ$27,Options!$B$3:$B$27,'Check result'!R20),SUMIFS('Master P&amp;L'!$AE$11:$AE$80,'Master P&amp;L'!$B$11:$B$80,'Check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IF(R21="","",IF(LEN(R21)&gt;9,SUMIFS(Options!$AZ$3:$AZ$27,Options!$B$3:$B$27,'Check result'!R21),SUMIFS('Master P&amp;L'!$AE$11:$AE$80,'Master P&amp;L'!$B$11:$B$80,'Check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IF(R22="","",IF(LEN(R22)&gt;9,SUMIFS(Options!$AZ$3:$AZ$27,Options!$B$3:$B$27,'Check result'!R22),SUMIFS('Master P&amp;L'!$AE$11:$AE$80,'Master P&amp;L'!$B$11:$B$80,'Check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IF(R23="","",IF(LEN(R23)&gt;9,SUMIFS(Options!$AZ$3:$AZ$27,Options!$B$3:$B$27,'Check result'!R23),SUMIFS('Master P&amp;L'!$AE$11:$AE$80,'Master P&amp;L'!$B$11:$B$80,'Check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IF(R24="","",IF(LEN(R24)&gt;9,SUMIFS(Options!$AZ$3:$AZ$27,Options!$B$3:$B$27,'Check result'!R24),SUMIFS('Master P&amp;L'!$AE$11:$AE$80,'Master P&amp;L'!$B$11:$B$80,'Check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IF(R25="","",IF(LEN(R25)&gt;9,SUMIFS(Options!$AZ$3:$AZ$27,Options!$B$3:$B$27,'Check result'!R25),SUMIFS('Master P&amp;L'!$AE$11:$AE$80,'Master P&amp;L'!$B$11:$B$80,'Check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IF(R26="","",IF(LEN(R26)&gt;9,SUMIFS(Options!$AZ$3:$AZ$27,Options!$B$3:$B$27,'Check result'!R26),SUMIFS('Master P&amp;L'!$AE$11:$AE$80,'Master P&amp;L'!$B$11:$B$80,'Check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IF(R27="","",IF(LEN(R27)&gt;9,SUMIFS(Options!$AZ$3:$AZ$27,Options!$B$3:$B$27,'Check result'!R27),SUMIFS('Master P&amp;L'!$AE$11:$AE$80,'Master P&amp;L'!$B$11:$B$80,'Check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IF(R28="","",IF(LEN(R28)&gt;9,SUMIFS(Options!$AZ$3:$AZ$27,Options!$B$3:$B$27,'Check result'!R28),SUMIFS('Master P&amp;L'!$AE$11:$AE$80,'Master P&amp;L'!$B$11:$B$80,'Check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IF(R29="","",IF(LEN(R29)&gt;9,SUMIFS(Options!$AZ$3:$AZ$27,Options!$B$3:$B$27,'Check result'!R29),SUMIFS('Master P&amp;L'!$AE$11:$AE$80,'Master P&amp;L'!$B$11:$B$80,'Check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IF(R30="","",IF(LEN(R30)&gt;9,SUMIFS(Options!$AZ$3:$AZ$27,Options!$B$3:$B$27,'Check result'!R30),SUMIFS('Master P&amp;L'!$AE$11:$AE$80,'Master P&amp;L'!$B$11:$B$80,'Check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IF(R31="","",IF(LEN(R31)&gt;9,SUMIFS(Options!$AZ$3:$AZ$27,Options!$B$3:$B$27,'Check result'!R31),SUMIFS('Master P&amp;L'!$AE$11:$AE$80,'Master P&amp;L'!$B$11:$B$80,'Check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IF(R32="","",IF(LEN(R32)&gt;9,SUMIFS(Options!$AZ$3:$AZ$27,Options!$B$3:$B$27,'Check result'!R32),SUMIFS('Master P&amp;L'!$AE$11:$AE$80,'Master P&amp;L'!$B$11:$B$80,'Check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IF(R33="","",IF(LEN(R33)&gt;9,SUMIFS(Options!$AZ$3:$AZ$27,Options!$B$3:$B$27,'Check result'!R33),SUMIFS('Master P&amp;L'!$AE$11:$AE$80,'Master P&amp;L'!$B$11:$B$80,'Check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IF(R34="","",IF(LEN(R34)&gt;9,SUMIFS(Options!$AZ$3:$AZ$27,Options!$B$3:$B$27,'Check result'!R34),SUMIFS('Master P&amp;L'!$AE$11:$AE$80,'Master P&amp;L'!$B$11:$B$80,'Check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IF(R35="","",IF(LEN(R35)&gt;9,SUMIFS(Options!$AZ$3:$AZ$27,Options!$B$3:$B$27,'Check result'!R35),SUMIFS('Master P&amp;L'!$AE$11:$AE$80,'Master P&amp;L'!$B$11:$B$80,'Check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IF(R36="","",IF(LEN(R36)&gt;9,SUMIFS(Options!$AZ$3:$AZ$27,Options!$B$3:$B$27,'Check result'!R36),SUMIFS('Master P&amp;L'!$AE$11:$AE$80,'Master P&amp;L'!$B$11:$B$80,'Check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IF(R37="","",IF(LEN(R37)&gt;9,SUMIFS(Options!$AZ$3:$AZ$27,Options!$B$3:$B$27,'Check result'!R37),SUMIFS('Master P&amp;L'!$AE$11:$AE$80,'Master P&amp;L'!$B$11:$B$80,'Check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IF(R38="","",IF(LEN(R38)&gt;9,SUMIFS(Options!$AZ$3:$AZ$27,Options!$B$3:$B$27,'Check result'!R38),SUMIFS('Master P&amp;L'!$AE$11:$AE$80,'Master P&amp;L'!$B$11:$B$80,'Check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IF(R39="","",IF(LEN(R39)&gt;9,SUMIFS(Options!$AZ$3:$AZ$27,Options!$B$3:$B$27,'Check result'!R39),SUMIFS('Master P&amp;L'!$AE$11:$AE$80,'Master P&amp;L'!$B$11:$B$80,'Check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IF(R40="","",IF(LEN(R40)&gt;9,SUMIFS(Options!$AZ$3:$AZ$27,Options!$B$3:$B$27,'Check result'!R40),SUMIFS('Master P&amp;L'!$AE$11:$AE$80,'Master P&amp;L'!$B$11:$B$80,'Check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IF(R41="","",IF(LEN(R41)&gt;9,SUMIFS(Options!$AZ$3:$AZ$27,Options!$B$3:$B$27,'Check result'!R41),SUMIFS('Master P&amp;L'!$AE$11:$AE$80,'Master P&amp;L'!$B$11:$B$80,'Check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IF(R42="","",IF(LEN(R42)&gt;9,SUMIFS(Options!$AZ$3:$AZ$27,Options!$B$3:$B$27,'Check result'!R42),SUMIFS('Master P&amp;L'!$AE$11:$AE$80,'Master P&amp;L'!$B$11:$B$80,'Check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IF(R43="","",IF(LEN(R43)&gt;9,SUMIFS(Options!$AZ$3:$AZ$27,Options!$B$3:$B$27,'Check result'!R43),SUMIFS('Master P&amp;L'!$AE$11:$AE$80,'Master P&amp;L'!$B$11:$B$80,'Check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IF(R44="","",IF(LEN(R44)&gt;9,SUMIFS(Options!$AZ$3:$AZ$27,Options!$B$3:$B$27,'Check result'!R44),SUMIFS('Master P&amp;L'!$AE$11:$AE$80,'Master P&amp;L'!$B$11:$B$80,'Check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IF(R45="","",IF(LEN(R45)&gt;9,SUMIFS(Options!$AZ$3:$AZ$27,Options!$B$3:$B$27,'Check result'!R45),SUMIFS('Master P&amp;L'!$AE$11:$AE$80,'Master P&amp;L'!$B$11:$B$80,'Check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IF(R46="","",IF(LEN(R46)&gt;9,SUMIFS(Options!$AZ$3:$AZ$27,Options!$B$3:$B$27,'Check result'!R46),SUMIFS('Master P&amp;L'!$AE$11:$AE$80,'Master P&amp;L'!$B$11:$B$80,'Check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IF(R47="","",IF(LEN(R47)&gt;9,SUMIFS(Options!$AZ$3:$AZ$27,Options!$B$3:$B$27,'Check result'!R47),SUMIFS('Master P&amp;L'!$AE$11:$AE$80,'Master P&amp;L'!$B$11:$B$80,'Check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IF(R48="","",IF(LEN(R48)&gt;9,SUMIFS(Options!$AZ$3:$AZ$27,Options!$B$3:$B$27,'Check result'!R48),SUMIFS('Master P&amp;L'!$AE$11:$AE$80,'Master P&amp;L'!$B$11:$B$80,'Check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IF(R49="","",IF(LEN(R49)&gt;9,SUMIFS(Options!$AZ$3:$AZ$27,Options!$B$3:$B$27,'Check result'!R49),SUMIFS('Master P&amp;L'!$AE$11:$AE$80,'Master P&amp;L'!$B$11:$B$80,'Check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IF(R50="","",IF(LEN(R50)&gt;9,SUMIFS(Options!$AZ$3:$AZ$27,Options!$B$3:$B$27,'Check result'!R50),SUMIFS('Master P&amp;L'!$AE$11:$AE$80,'Master P&amp;L'!$B$11:$B$80,'Check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IF(R51="","",IF(LEN(R51)&gt;9,SUMIFS(Options!$AZ$3:$AZ$27,Options!$B$3:$B$27,'Check result'!R51),SUMIFS('Master P&amp;L'!$AE$11:$AE$80,'Master P&amp;L'!$B$11:$B$80,'Check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IF(R52="","",IF(LEN(R52)&gt;9,SUMIFS(Options!$AZ$3:$AZ$27,Options!$B$3:$B$27,'Check result'!R52),SUMIFS('Master P&amp;L'!$AE$11:$AE$80,'Master P&amp;L'!$B$11:$B$80,'Check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IF(R53="","",IF(LEN(R53)&gt;9,SUMIFS(Options!$AZ$3:$AZ$27,Options!$B$3:$B$27,'Check result'!R53),SUMIFS('Master P&amp;L'!$AE$11:$AE$80,'Master P&amp;L'!$B$11:$B$80,'Check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IF(R54="","",IF(LEN(R54)&gt;9,SUMIFS(Options!$AZ$3:$AZ$27,Options!$B$3:$B$27,'Check result'!R54),SUMIFS('Master P&amp;L'!$AE$11:$AE$80,'Master P&amp;L'!$B$11:$B$80,'Check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IF(R55="","",IF(LEN(R55)&gt;9,SUMIFS(Options!$AZ$3:$AZ$27,Options!$B$3:$B$27,'Check result'!R55),SUMIFS('Master P&amp;L'!$AE$11:$AE$80,'Master P&amp;L'!$B$11:$B$80,'Check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IF(R56="","",IF(LEN(R56)&gt;9,SUMIFS(Options!$AZ$3:$AZ$27,Options!$B$3:$B$27,'Check result'!R56),SUMIFS('Master P&amp;L'!$AE$11:$AE$80,'Master P&amp;L'!$B$11:$B$80,'Check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IF(R57="","",IF(LEN(R57)&gt;9,SUMIFS(Options!$AZ$3:$AZ$27,Options!$B$3:$B$27,'Check result'!R57),SUMIFS('Master P&amp;L'!$AE$11:$AE$80,'Master P&amp;L'!$B$11:$B$80,'Check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IF(R58="","",IF(LEN(R58)&gt;9,SUMIFS(Options!$AZ$3:$AZ$27,Options!$B$3:$B$27,'Check result'!R58),SUMIFS('Master P&amp;L'!$AE$11:$AE$80,'Master P&amp;L'!$B$11:$B$80,'Check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IF(R59="","",IF(LEN(R59)&gt;9,SUMIFS(Options!$AZ$3:$AZ$27,Options!$B$3:$B$27,'Check result'!R59),SUMIFS('Master P&amp;L'!$AE$11:$AE$80,'Master P&amp;L'!$B$11:$B$80,'Check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IF(R60="","",IF(LEN(R60)&gt;9,SUMIFS(Options!$AZ$3:$AZ$27,Options!$B$3:$B$27,'Check result'!R60),SUMIFS('Master P&amp;L'!$AE$11:$AE$80,'Master P&amp;L'!$B$11:$B$80,'Check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IF(R61="","",IF(LEN(R61)&gt;9,SUMIFS(Options!$AZ$3:$AZ$27,Options!$B$3:$B$27,'Check result'!R61),SUMIFS('Master P&amp;L'!$AE$11:$AE$80,'Master P&amp;L'!$B$11:$B$80,'Check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IF(R62="","",IF(LEN(R62)&gt;9,SUMIFS(Options!$AZ$3:$AZ$27,Options!$B$3:$B$27,'Check result'!R62),SUMIFS('Master P&amp;L'!$AE$11:$AE$80,'Master P&amp;L'!$B$11:$B$80,'Check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IF(R63="","",IF(LEN(R63)&gt;9,SUMIFS(Options!$AZ$3:$AZ$27,Options!$B$3:$B$27,'Check result'!R63),SUMIFS('Master P&amp;L'!$AE$11:$AE$80,'Master P&amp;L'!$B$11:$B$80,'Check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IF(R64="","",IF(LEN(R64)&gt;9,SUMIFS(Options!$AZ$3:$AZ$27,Options!$B$3:$B$27,'Check result'!R64),SUMIFS('Master P&amp;L'!$AE$11:$AE$80,'Master P&amp;L'!$B$11:$B$80,'Check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IF(R65="","",IF(LEN(R65)&gt;9,SUMIFS(Options!$AZ$3:$AZ$27,Options!$B$3:$B$27,'Check result'!R65),SUMIFS('Master P&amp;L'!$AE$11:$AE$80,'Master P&amp;L'!$B$11:$B$80,'Check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IF(R66="","",IF(LEN(R66)&gt;9,SUMIFS(Options!$AZ$3:$AZ$27,Options!$B$3:$B$27,'Check result'!R66),SUMIFS('Master P&amp;L'!$AE$11:$AE$80,'Master P&amp;L'!$B$11:$B$80,'Check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IF(R67="","",IF(LEN(R67)&gt;9,SUMIFS(Options!$AZ$3:$AZ$27,Options!$B$3:$B$27,'Check result'!R67),SUMIFS('Master P&amp;L'!$AE$11:$AE$80,'Master P&amp;L'!$B$11:$B$80,'Check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IF(R68="","",IF(LEN(R68)&gt;9,SUMIFS(Options!$AZ$3:$AZ$27,Options!$B$3:$B$27,'Check result'!R68),SUMIFS('Master P&amp;L'!$AE$11:$AE$80,'Master P&amp;L'!$B$11:$B$80,'Check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IF(R69="","",IF(LEN(R69)&gt;9,SUMIFS(Options!$AZ$3:$AZ$27,Options!$B$3:$B$27,'Check result'!R69),SUMIFS('Master P&amp;L'!$AE$11:$AE$80,'Master P&amp;L'!$B$11:$B$80,'Check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IF(R70="","",IF(LEN(R70)&gt;9,SUMIFS(Options!$AZ$3:$AZ$27,Options!$B$3:$B$27,'Check result'!R70),SUMIFS('Master P&amp;L'!$AE$11:$AE$80,'Master P&amp;L'!$B$11:$B$80,'Check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IF(R71="","",IF(LEN(R71)&gt;9,SUMIFS(Options!$AZ$3:$AZ$27,Options!$B$3:$B$27,'Check result'!R71),SUMIFS('Master P&amp;L'!$AE$11:$AE$80,'Master P&amp;L'!$B$11:$B$80,'Check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IF(R72="","",IF(LEN(R72)&gt;9,SUMIFS(Options!$AZ$3:$AZ$27,Options!$B$3:$B$27,'Check result'!R72),SUMIFS('Master P&amp;L'!$AE$11:$AE$80,'Master P&amp;L'!$B$11:$B$80,'Check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IF(R73="","",IF(LEN(R73)&gt;9,SUMIFS(Options!$AZ$3:$AZ$27,Options!$B$3:$B$27,'Check result'!R73),SUMIFS('Master P&amp;L'!$AE$11:$AE$80,'Master P&amp;L'!$B$11:$B$80,'Check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IF(R74="","",IF(LEN(R74)&gt;9,SUMIFS(Options!$AZ$3:$AZ$27,Options!$B$3:$B$27,'Check result'!R74),SUMIFS('Master P&amp;L'!$AE$11:$AE$80,'Master P&amp;L'!$B$11:$B$80,'Check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IF(R75="","",IF(LEN(R75)&gt;9,SUMIFS(Options!$AZ$3:$AZ$27,Options!$B$3:$B$27,'Check result'!R75),SUMIFS('Master P&amp;L'!$AE$11:$AE$80,'Master P&amp;L'!$B$11:$B$80,'Check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IF(R76="","",IF(LEN(R76)&gt;9,SUMIFS(Options!$AZ$3:$AZ$27,Options!$B$3:$B$27,'Check result'!R76),SUMIFS('Master P&amp;L'!$AE$11:$AE$80,'Master P&amp;L'!$B$11:$B$80,'Check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IF(R77="","",IF(LEN(R77)&gt;9,SUMIFS(Options!$AZ$3:$AZ$27,Options!$B$3:$B$27,'Check result'!R77),SUMIFS('Master P&amp;L'!$AE$11:$AE$80,'Master P&amp;L'!$B$11:$B$80,'Check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IF(R78="","",IF(LEN(R78)&gt;9,SUMIFS(Options!$AZ$3:$AZ$27,Options!$B$3:$B$27,'Check result'!R78),SUMIFS('Master P&amp;L'!$AE$11:$AE$80,'Master P&amp;L'!$B$11:$B$80,'Check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IF(R79="","",IF(LEN(R79)&gt;9,SUMIFS(Options!$AZ$3:$AZ$27,Options!$B$3:$B$27,'Check result'!R79),SUMIFS('Master P&amp;L'!$AE$11:$AE$80,'Master P&amp;L'!$B$11:$B$80,'Check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IF(R80="","",IF(LEN(R80)&gt;9,SUMIFS(Options!$AZ$3:$AZ$27,Options!$B$3:$B$27,'Check result'!R80),SUMIFS('Master P&amp;L'!$AE$11:$AE$80,'Master P&amp;L'!$B$11:$B$80,'Check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IF(R81="","",IF(LEN(R81)&gt;9,SUMIFS(Options!$AZ$3:$AZ$27,Options!$B$3:$B$27,'Check result'!R81),SUMIFS('Master P&amp;L'!$AE$11:$AE$80,'Master P&amp;L'!$B$11:$B$80,'Check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IF(R82="","",IF(LEN(R82)&gt;9,SUMIFS(Options!$AZ$3:$AZ$27,Options!$B$3:$B$27,'Check result'!R82),SUMIFS('Master P&amp;L'!$AE$11:$AE$80,'Master P&amp;L'!$B$11:$B$80,'Check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IF(R83="","",IF(LEN(R83)&gt;9,SUMIFS(Options!$AZ$3:$AZ$27,Options!$B$3:$B$27,'Check result'!R83),SUMIFS('Master P&amp;L'!$AE$11:$AE$80,'Master P&amp;L'!$B$11:$B$80,'Check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IF(R84="","",IF(LEN(R84)&gt;9,SUMIFS(Options!$AZ$3:$AZ$27,Options!$B$3:$B$27,'Check result'!R84),SUMIFS('Master P&amp;L'!$AE$11:$AE$80,'Master P&amp;L'!$B$11:$B$80,'Check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IF(R85="","",IF(LEN(R85)&gt;9,SUMIFS(Options!$AZ$3:$AZ$27,Options!$B$3:$B$27,'Check result'!R85),SUMIFS('Master P&amp;L'!$AE$11:$AE$80,'Master P&amp;L'!$B$11:$B$80,'Check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IF(R86="","",IF(LEN(R86)&gt;9,SUMIFS(Options!$AZ$3:$AZ$27,Options!$B$3:$B$27,'Check result'!R86),SUMIFS('Master P&amp;L'!$AE$11:$AE$80,'Master P&amp;L'!$B$11:$B$80,'Check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IF(R87="","",IF(LEN(R87)&gt;9,SUMIFS(Options!$AZ$3:$AZ$27,Options!$B$3:$B$27,'Check result'!R87),SUMIFS('Master P&amp;L'!$AE$11:$AE$80,'Master P&amp;L'!$B$11:$B$80,'Check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IF(R88="","",IF(LEN(R88)&gt;9,SUMIFS(Options!$AZ$3:$AZ$27,Options!$B$3:$B$27,'Check result'!R88),SUMIFS('Master P&amp;L'!$AE$11:$AE$80,'Master P&amp;L'!$B$11:$B$80,'Check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IF(R89="","",IF(LEN(R89)&gt;9,SUMIFS(Options!$AZ$3:$AZ$27,Options!$B$3:$B$27,'Check result'!R89),SUMIFS('Master P&amp;L'!$AE$11:$AE$80,'Master P&amp;L'!$B$11:$B$80,'Check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IF(R90="","",IF(LEN(R90)&gt;9,SUMIFS(Options!$AZ$3:$AZ$27,Options!$B$3:$B$27,'Check result'!R90),SUMIFS('Master P&amp;L'!$AE$11:$AE$80,'Master P&amp;L'!$B$11:$B$80,'Check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IF(R91="","",IF(LEN(R91)&gt;9,SUMIFS(Options!$AZ$3:$AZ$27,Options!$B$3:$B$27,'Check result'!R91),SUMIFS('Master P&amp;L'!$AE$11:$AE$80,'Master P&amp;L'!$B$11:$B$80,'Check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IF(R92="","",IF(LEN(R92)&gt;9,SUMIFS(Options!$AZ$3:$AZ$27,Options!$B$3:$B$27,'Check result'!R92),SUMIFS('Master P&amp;L'!$AE$11:$AE$80,'Master P&amp;L'!$B$11:$B$80,'Check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IF(R93="","",IF(LEN(R93)&gt;9,SUMIFS(Options!$AZ$3:$AZ$27,Options!$B$3:$B$27,'Check result'!R93),SUMIFS('Master P&amp;L'!$AE$11:$AE$80,'Master P&amp;L'!$B$11:$B$80,'Check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IF(R94="","",IF(LEN(R94)&gt;9,SUMIFS(Options!$AZ$3:$AZ$27,Options!$B$3:$B$27,'Check result'!R94),SUMIFS('Master P&amp;L'!$AE$11:$AE$80,'Master P&amp;L'!$B$11:$B$80,'Check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IF(R95="","",IF(LEN(R95)&gt;9,SUMIFS(Options!$AZ$3:$AZ$27,Options!$B$3:$B$27,'Check result'!R95),SUMIFS('Master P&amp;L'!$AE$11:$AE$80,'Master P&amp;L'!$B$11:$B$80,'Check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IF(R96="","",IF(LEN(R96)&gt;9,SUMIFS(Options!$AZ$3:$AZ$27,Options!$B$3:$B$27,'Check result'!R96),SUMIFS('Master P&amp;L'!$AE$11:$AE$80,'Master P&amp;L'!$B$11:$B$80,'Check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IF(R97="","",IF(LEN(R97)&gt;9,SUMIFS(Options!$AZ$3:$AZ$27,Options!$B$3:$B$27,'Check result'!R97),SUMIFS('Master P&amp;L'!$AE$11:$AE$80,'Master P&amp;L'!$B$11:$B$80,'Check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IF(R98="","",IF(LEN(R98)&gt;9,SUMIFS(Options!$AZ$3:$AZ$27,Options!$B$3:$B$27,'Check result'!R98),SUMIFS('Master P&amp;L'!$AE$11:$AE$80,'Master P&amp;L'!$B$11:$B$80,'Check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IF(R99="","",IF(LEN(R99)&gt;9,SUMIFS(Options!$AZ$3:$AZ$27,Options!$B$3:$B$27,'Check result'!R99),SUMIFS('Master P&amp;L'!$AE$11:$AE$80,'Master P&amp;L'!$B$11:$B$80,'Check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IF(R100="","",IF(LEN(R100)&gt;9,SUMIFS(Options!$AZ$3:$AZ$27,Options!$B$3:$B$27,'Check result'!R100),SUMIFS('Master P&amp;L'!$AE$11:$AE$80,'Master P&amp;L'!$B$11:$B$80,'Check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IF(R101="","",IF(LEN(R101)&gt;9,SUMIFS(Options!$AZ$3:$AZ$27,Options!$B$3:$B$27,'Check result'!R101),SUMIFS('Master P&amp;L'!$AE$11:$AE$80,'Master P&amp;L'!$B$11:$B$80,'Check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IF(R102="","",IF(LEN(R102)&gt;9,SUMIFS(Options!$AZ$3:$AZ$27,Options!$B$3:$B$27,'Check result'!R102),SUMIFS('Master P&amp;L'!$AE$11:$AE$80,'Master P&amp;L'!$B$11:$B$80,'Check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IF(R103="","",IF(LEN(R103)&gt;9,SUMIFS(Options!$AZ$3:$AZ$27,Options!$B$3:$B$27,'Check result'!R103),SUMIFS('Master P&amp;L'!$AE$11:$AE$80,'Master P&amp;L'!$B$11:$B$80,'Check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IF(R104="","",IF(LEN(R104)&gt;9,SUMIFS(Options!$AZ$3:$AZ$27,Options!$B$3:$B$27,'Check result'!R104),SUMIFS('Master P&amp;L'!$AE$11:$AE$80,'Master P&amp;L'!$B$11:$B$80,'Check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IF(R105="","",IF(LEN(R105)&gt;9,SUMIFS(Options!$AZ$3:$AZ$27,Options!$B$3:$B$27,'Check result'!R105),SUMIFS('Master P&amp;L'!$AE$11:$AE$80,'Master P&amp;L'!$B$11:$B$80,'Check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IF(R106="","",IF(LEN(R106)&gt;9,SUMIFS(Options!$AZ$3:$AZ$27,Options!$B$3:$B$27,'Check result'!R106),SUMIFS('Master P&amp;L'!$AE$11:$AE$80,'Master P&amp;L'!$B$11:$B$80,'Check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IF(R107="","",IF(LEN(R107)&gt;9,SUMIFS(Options!$AZ$3:$AZ$27,Options!$B$3:$B$27,'Check result'!R107),SUMIFS('Master P&amp;L'!$AE$11:$AE$80,'Master P&amp;L'!$B$11:$B$80,'Check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IF(R108="","",IF(LEN(R108)&gt;9,SUMIFS(Options!$AZ$3:$AZ$27,Options!$B$3:$B$27,'Check result'!R108),SUMIFS('Master P&amp;L'!$AE$11:$AE$80,'Master P&amp;L'!$B$11:$B$80,'Check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IF(R109="","",IF(LEN(R109)&gt;9,SUMIFS(Options!$AZ$3:$AZ$27,Options!$B$3:$B$27,'Check result'!R109),SUMIFS('Master P&amp;L'!$AE$11:$AE$80,'Master P&amp;L'!$B$11:$B$80,'Check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IF(R110="","",IF(LEN(R110)&gt;9,SUMIFS(Options!$AZ$3:$AZ$27,Options!$B$3:$B$27,'Check result'!R110),SUMIFS('Master P&amp;L'!$AE$11:$AE$80,'Master P&amp;L'!$B$11:$B$80,'Check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IF(R111="","",IF(LEN(R111)&gt;9,SUMIFS(Options!$AZ$3:$AZ$27,Options!$B$3:$B$27,'Check result'!R111),SUMIFS('Master P&amp;L'!$AE$11:$AE$80,'Master P&amp;L'!$B$11:$B$80,'Check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IF(R112="","",IF(LEN(R112)&gt;9,SUMIFS(Options!$AZ$3:$AZ$27,Options!$B$3:$B$27,'Check result'!R112),SUMIFS('Master P&amp;L'!$AE$11:$AE$80,'Master P&amp;L'!$B$11:$B$80,'Check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IF(R113="","",IF(LEN(R113)&gt;9,SUMIFS(Options!$AZ$3:$AZ$27,Options!$B$3:$B$27,'Check result'!R113),SUMIFS('Master P&amp;L'!$AE$11:$AE$80,'Master P&amp;L'!$B$11:$B$80,'Check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IF(R114="","",IF(LEN(R114)&gt;9,SUMIFS(Options!$AZ$3:$AZ$27,Options!$B$3:$B$27,'Check result'!R114),SUMIFS('Master P&amp;L'!$AE$11:$AE$80,'Master P&amp;L'!$B$11:$B$80,'Check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IF(R115="","",IF(LEN(R115)&gt;9,SUMIFS(Options!$AZ$3:$AZ$27,Options!$B$3:$B$27,'Check result'!R115),SUMIFS('Master P&amp;L'!$AE$11:$AE$80,'Master P&amp;L'!$B$11:$B$80,'Check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IF(R116="","",IF(LEN(R116)&gt;9,SUMIFS(Options!$AZ$3:$AZ$27,Options!$B$3:$B$27,'Check result'!R116),SUMIFS('Master P&amp;L'!$AE$11:$AE$80,'Master P&amp;L'!$B$11:$B$80,'Check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IF(R117="","",IF(LEN(R117)&gt;9,SUMIFS(Options!$AZ$3:$AZ$27,Options!$B$3:$B$27,'Check result'!R117),SUMIFS('Master P&amp;L'!$AE$11:$AE$80,'Master P&amp;L'!$B$11:$B$80,'Check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IF(R118="","",IF(LEN(R118)&gt;9,SUMIFS(Options!$AZ$3:$AZ$27,Options!$B$3:$B$27,'Check result'!R118),SUMIFS('Master P&amp;L'!$AE$11:$AE$80,'Master P&amp;L'!$B$11:$B$80,'Check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IF(R119="","",IF(LEN(R119)&gt;9,SUMIFS(Options!$AZ$3:$AZ$27,Options!$B$3:$B$27,'Check result'!R119),SUMIFS('Master P&amp;L'!$AE$11:$AE$80,'Master P&amp;L'!$B$11:$B$80,'Check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IF(R120="","",IF(LEN(R120)&gt;9,SUMIFS(Options!$AZ$3:$AZ$27,Options!$B$3:$B$27,'Check result'!R120),SUMIFS('Master P&amp;L'!$AE$11:$AE$80,'Master P&amp;L'!$B$11:$B$80,'Check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IF(R121="","",IF(LEN(R121)&gt;9,SUMIFS(Options!$AZ$3:$AZ$27,Options!$B$3:$B$27,'Check result'!R121),SUMIFS('Master P&amp;L'!$AE$11:$AE$80,'Master P&amp;L'!$B$11:$B$80,'Check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IF(R122="","",IF(LEN(R122)&gt;9,SUMIFS(Options!$AZ$3:$AZ$27,Options!$B$3:$B$27,'Check result'!R122),SUMIFS('Master P&amp;L'!$AE$11:$AE$80,'Master P&amp;L'!$B$11:$B$80,'Check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IF(R123="","",IF(LEN(R123)&gt;9,SUMIFS(Options!$AZ$3:$AZ$27,Options!$B$3:$B$27,'Check result'!R123),SUMIFS('Master P&amp;L'!$AE$11:$AE$80,'Master P&amp;L'!$B$11:$B$80,'Check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IF(R124="","",IF(LEN(R124)&gt;9,SUMIFS(Options!$AZ$3:$AZ$27,Options!$B$3:$B$27,'Check result'!R124),SUMIFS('Master P&amp;L'!$AE$11:$AE$80,'Master P&amp;L'!$B$11:$B$80,'Check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IF(R125="","",IF(LEN(R125)&gt;9,SUMIFS(Options!$AZ$3:$AZ$27,Options!$B$3:$B$27,'Check result'!R125),SUMIFS('Master P&amp;L'!$AE$11:$AE$80,'Master P&amp;L'!$B$11:$B$80,'Check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IF(R126="","",IF(LEN(R126)&gt;9,SUMIFS(Options!$AZ$3:$AZ$27,Options!$B$3:$B$27,'Check result'!R126),SUMIFS('Master P&amp;L'!$AE$11:$AE$80,'Master P&amp;L'!$B$11:$B$80,'Check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IF(R127="","",IF(LEN(R127)&gt;9,SUMIFS(Options!$AZ$3:$AZ$27,Options!$B$3:$B$27,'Check result'!R127),SUMIFS('Master P&amp;L'!$AE$11:$AE$80,'Master P&amp;L'!$B$11:$B$80,'Check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IF(R128="","",IF(LEN(R128)&gt;9,SUMIFS(Options!$AZ$3:$AZ$27,Options!$B$3:$B$27,'Check result'!R128),SUMIFS('Master P&amp;L'!$AE$11:$AE$80,'Master P&amp;L'!$B$11:$B$80,'Check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IF(R129="","",IF(LEN(R129)&gt;9,SUMIFS(Options!$AZ$3:$AZ$27,Options!$B$3:$B$27,'Check result'!R129),SUMIFS('Master P&amp;L'!$AE$11:$AE$80,'Master P&amp;L'!$B$11:$B$80,'Check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IF(R130="","",IF(LEN(R130)&gt;9,SUMIFS(Options!$AZ$3:$AZ$27,Options!$B$3:$B$27,'Check result'!R130),SUMIFS('Master P&amp;L'!$AE$11:$AE$80,'Master P&amp;L'!$B$11:$B$80,'Check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IF(R131="","",IF(LEN(R131)&gt;9,SUMIFS(Options!$AZ$3:$AZ$27,Options!$B$3:$B$27,'Check result'!R131),SUMIFS('Master P&amp;L'!$AE$11:$AE$80,'Master P&amp;L'!$B$11:$B$80,'Check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IF(R132="","",IF(LEN(R132)&gt;9,SUMIFS(Options!$AZ$3:$AZ$27,Options!$B$3:$B$27,'Check result'!R132),SUMIFS('Master P&amp;L'!$AE$11:$AE$80,'Master P&amp;L'!$B$11:$B$80,'Check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IF(R133="","",IF(LEN(R133)&gt;9,SUMIFS(Options!$AZ$3:$AZ$27,Options!$B$3:$B$27,'Check result'!R133),SUMIFS('Master P&amp;L'!$AE$11:$AE$80,'Master P&amp;L'!$B$11:$B$80,'Check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IF(R134="","",IF(LEN(R134)&gt;9,SUMIFS(Options!$AZ$3:$AZ$27,Options!$B$3:$B$27,'Check result'!R134),SUMIFS('Master P&amp;L'!$AE$11:$AE$80,'Master P&amp;L'!$B$11:$B$80,'Check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IF(R135="","",IF(LEN(R135)&gt;9,SUMIFS(Options!$AZ$3:$AZ$27,Options!$B$3:$B$27,'Check result'!R135),SUMIFS('Master P&amp;L'!$AE$11:$AE$80,'Master P&amp;L'!$B$11:$B$80,'Check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IF(R136="","",IF(LEN(R136)&gt;9,SUMIFS(Options!$AZ$3:$AZ$27,Options!$B$3:$B$27,'Check result'!R136),SUMIFS('Master P&amp;L'!$AE$11:$AE$80,'Master P&amp;L'!$B$11:$B$80,'Check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IF(R137="","",IF(LEN(R137)&gt;9,SUMIFS(Options!$AZ$3:$AZ$27,Options!$B$3:$B$27,'Check result'!R137),SUMIFS('Master P&amp;L'!$AE$11:$AE$80,'Master P&amp;L'!$B$11:$B$80,'Check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IF(R138="","",IF(LEN(R138)&gt;9,SUMIFS(Options!$AZ$3:$AZ$27,Options!$B$3:$B$27,'Check result'!R138),SUMIFS('Master P&amp;L'!$AE$11:$AE$80,'Master P&amp;L'!$B$11:$B$80,'Check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IF(R139="","",IF(LEN(R139)&gt;9,SUMIFS(Options!$AZ$3:$AZ$27,Options!$B$3:$B$27,'Check result'!R139),SUMIFS('Master P&amp;L'!$AE$11:$AE$80,'Master P&amp;L'!$B$11:$B$80,'Check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IF(R140="","",IF(LEN(R140)&gt;9,SUMIFS(Options!$AZ$3:$AZ$27,Options!$B$3:$B$27,'Check result'!R140),SUMIFS('Master P&amp;L'!$AE$11:$AE$80,'Master P&amp;L'!$B$11:$B$80,'Check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IF(R141="","",IF(LEN(R141)&gt;9,SUMIFS(Options!$AZ$3:$AZ$27,Options!$B$3:$B$27,'Check result'!R141),SUMIFS('Master P&amp;L'!$AE$11:$AE$80,'Master P&amp;L'!$B$11:$B$80,'Check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IF(R142="","",IF(LEN(R142)&gt;9,SUMIFS(Options!$AZ$3:$AZ$27,Options!$B$3:$B$27,'Check result'!R142),SUMIFS('Master P&amp;L'!$AE$11:$AE$80,'Master P&amp;L'!$B$11:$B$80,'Check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IF(R143="","",IF(LEN(R143)&gt;9,SUMIFS(Options!$AZ$3:$AZ$27,Options!$B$3:$B$27,'Check result'!R143),SUMIFS('Master P&amp;L'!$AE$11:$AE$80,'Master P&amp;L'!$B$11:$B$80,'Check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IF(R144="","",IF(LEN(R144)&gt;9,SUMIFS(Options!$AZ$3:$AZ$27,Options!$B$3:$B$27,'Check result'!R144),SUMIFS('Master P&amp;L'!$AE$11:$AE$80,'Master P&amp;L'!$B$11:$B$80,'Check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IF(R145="","",IF(LEN(R145)&gt;9,SUMIFS(Options!$AZ$3:$AZ$27,Options!$B$3:$B$27,'Check result'!R145),SUMIFS('Master P&amp;L'!$AE$11:$AE$80,'Master P&amp;L'!$B$11:$B$80,'Check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IF(R146="","",IF(LEN(R146)&gt;9,SUMIFS(Options!$AZ$3:$AZ$27,Options!$B$3:$B$27,'Check result'!R146),SUMIFS('Master P&amp;L'!$AE$11:$AE$80,'Master P&amp;L'!$B$11:$B$80,'Check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IF(R147="","",IF(LEN(R147)&gt;9,SUMIFS(Options!$AZ$3:$AZ$27,Options!$B$3:$B$27,'Check result'!R147),SUMIFS('Master P&amp;L'!$AE$11:$AE$80,'Master P&amp;L'!$B$11:$B$80,'Check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IF(R148="","",IF(LEN(R148)&gt;9,SUMIFS(Options!$AZ$3:$AZ$27,Options!$B$3:$B$27,'Check result'!R148),SUMIFS('Master P&amp;L'!$AE$11:$AE$80,'Master P&amp;L'!$B$11:$B$80,'Check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IF(R149="","",IF(LEN(R149)&gt;9,SUMIFS(Options!$AZ$3:$AZ$27,Options!$B$3:$B$27,'Check result'!R149),SUMIFS('Master P&amp;L'!$AE$11:$AE$80,'Master P&amp;L'!$B$11:$B$80,'Check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IF(R150="","",IF(LEN(R150)&gt;9,SUMIFS(Options!$AZ$3:$AZ$27,Options!$B$3:$B$27,'Check result'!R150),SUMIFS('Master P&amp;L'!$AE$11:$AE$80,'Master P&amp;L'!$B$11:$B$80,'Check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IF(R151="","",IF(LEN(R151)&gt;9,SUMIFS(Options!$AZ$3:$AZ$27,Options!$B$3:$B$27,'Check result'!R151),SUMIFS('Master P&amp;L'!$AE$11:$AE$80,'Master P&amp;L'!$B$11:$B$80,'Check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IF(R152="","",IF(LEN(R152)&gt;9,SUMIFS(Options!$AZ$3:$AZ$27,Options!$B$3:$B$27,'Check result'!R152),SUMIFS('Master P&amp;L'!$AE$11:$AE$80,'Master P&amp;L'!$B$11:$B$80,'Check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IF(R153="","",IF(LEN(R153)&gt;9,SUMIFS(Options!$AZ$3:$AZ$27,Options!$B$3:$B$27,'Check result'!R153),SUMIFS('Master P&amp;L'!$AE$11:$AE$80,'Master P&amp;L'!$B$11:$B$80,'Check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IF(R154="","",IF(LEN(R154)&gt;9,SUMIFS(Options!$AZ$3:$AZ$27,Options!$B$3:$B$27,'Check result'!R154),SUMIFS('Master P&amp;L'!$AE$11:$AE$80,'Master P&amp;L'!$B$11:$B$80,'Check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IF(R155="","",IF(LEN(R155)&gt;9,SUMIFS(Options!$AZ$3:$AZ$27,Options!$B$3:$B$27,'Check result'!R155),SUMIFS('Master P&amp;L'!$AE$11:$AE$80,'Master P&amp;L'!$B$11:$B$80,'Check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IF(R156="","",IF(LEN(R156)&gt;9,SUMIFS(Options!$AZ$3:$AZ$27,Options!$B$3:$B$27,'Check result'!R156),SUMIFS('Master P&amp;L'!$AE$11:$AE$80,'Master P&amp;L'!$B$11:$B$80,'Check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IF(R157="","",IF(LEN(R157)&gt;9,SUMIFS(Options!$AZ$3:$AZ$27,Options!$B$3:$B$27,'Check result'!R157),SUMIFS('Master P&amp;L'!$AE$11:$AE$80,'Master P&amp;L'!$B$11:$B$80,'Check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IF(R158="","",IF(LEN(R158)&gt;9,SUMIFS(Options!$AZ$3:$AZ$27,Options!$B$3:$B$27,'Check result'!R158),SUMIFS('Master P&amp;L'!$AE$11:$AE$80,'Master P&amp;L'!$B$11:$B$80,'Check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IF(R159="","",IF(LEN(R159)&gt;9,SUMIFS(Options!$AZ$3:$AZ$27,Options!$B$3:$B$27,'Check result'!R159),SUMIFS('Master P&amp;L'!$AE$11:$AE$80,'Master P&amp;L'!$B$11:$B$80,'Check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IF(R160="","",IF(LEN(R160)&gt;9,SUMIFS(Options!$AZ$3:$AZ$27,Options!$B$3:$B$27,'Check result'!R160),SUMIFS('Master P&amp;L'!$AE$11:$AE$80,'Master P&amp;L'!$B$11:$B$80,'Check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IF(R161="","",IF(LEN(R161)&gt;9,SUMIFS(Options!$AZ$3:$AZ$27,Options!$B$3:$B$27,'Check result'!R161),SUMIFS('Master P&amp;L'!$AE$11:$AE$80,'Master P&amp;L'!$B$11:$B$80,'Check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IF(R162="","",IF(LEN(R162)&gt;9,SUMIFS(Options!$AZ$3:$AZ$27,Options!$B$3:$B$27,'Check result'!R162),SUMIFS('Master P&amp;L'!$AE$11:$AE$80,'Master P&amp;L'!$B$11:$B$80,'Check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IF(R163="","",IF(LEN(R163)&gt;9,SUMIFS(Options!$AZ$3:$AZ$27,Options!$B$3:$B$27,'Check result'!R163),SUMIFS('Master P&amp;L'!$AE$11:$AE$80,'Master P&amp;L'!$B$11:$B$80,'Check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IF(R164="","",IF(LEN(R164)&gt;9,SUMIFS(Options!$AZ$3:$AZ$27,Options!$B$3:$B$27,'Check result'!R164),SUMIFS('Master P&amp;L'!$AE$11:$AE$80,'Master P&amp;L'!$B$11:$B$80,'Check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IF(R165="","",IF(LEN(R165)&gt;9,SUMIFS(Options!$AZ$3:$AZ$27,Options!$B$3:$B$27,'Check result'!R165),SUMIFS('Master P&amp;L'!$AE$11:$AE$80,'Master P&amp;L'!$B$11:$B$80,'Check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33"/>
  <sheetViews>
    <sheetView workbookViewId="0">
      <selection activeCell="B2" sqref="B2:B3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9" bestFit="1" customWidth="1"/>
    <col min="11" max="16" width="12" bestFit="1" customWidth="1"/>
    <col min="17" max="17" width="19.42578125" bestFit="1" customWidth="1"/>
  </cols>
  <sheetData>
    <row r="1" spans="1:17">
      <c r="A1" s="564" t="s">
        <v>339</v>
      </c>
      <c r="B1" s="565" t="s">
        <v>1921</v>
      </c>
      <c r="C1" s="566" t="s">
        <v>1922</v>
      </c>
      <c r="D1" s="567" t="s">
        <v>1923</v>
      </c>
      <c r="E1" s="568" t="s">
        <v>1924</v>
      </c>
      <c r="F1" s="568" t="s">
        <v>1925</v>
      </c>
      <c r="G1" s="568" t="s">
        <v>203</v>
      </c>
      <c r="H1" s="568" t="s">
        <v>218</v>
      </c>
      <c r="I1" s="568" t="s">
        <v>1926</v>
      </c>
      <c r="J1" s="568" t="s">
        <v>1927</v>
      </c>
      <c r="K1" s="569" t="s">
        <v>1928</v>
      </c>
      <c r="L1" s="570" t="s">
        <v>1929</v>
      </c>
      <c r="M1" s="571" t="s">
        <v>1930</v>
      </c>
      <c r="N1" s="567" t="s">
        <v>1931</v>
      </c>
      <c r="O1" s="562" t="s">
        <v>1932</v>
      </c>
      <c r="P1" s="572" t="s">
        <v>1</v>
      </c>
      <c r="Q1" s="585" t="s">
        <v>1933</v>
      </c>
    </row>
    <row r="2" spans="1:17">
      <c r="A2" s="559">
        <v>46043</v>
      </c>
      <c r="B2" s="573" t="s">
        <v>1898</v>
      </c>
      <c r="C2" s="574" t="s">
        <v>1937</v>
      </c>
      <c r="D2" s="560" t="s">
        <v>1938</v>
      </c>
      <c r="E2" s="561">
        <v>46101</v>
      </c>
      <c r="F2" s="560" t="s">
        <v>1939</v>
      </c>
      <c r="G2" s="560" t="s">
        <v>1940</v>
      </c>
      <c r="H2" s="560" t="s">
        <v>2171</v>
      </c>
      <c r="I2" s="560" t="s">
        <v>1935</v>
      </c>
      <c r="J2" s="587">
        <v>111.78</v>
      </c>
      <c r="K2" s="560">
        <v>7.7800000000000011</v>
      </c>
      <c r="L2" s="588">
        <v>8.64</v>
      </c>
      <c r="M2" s="589">
        <v>8.64</v>
      </c>
      <c r="N2" s="587">
        <v>8.64</v>
      </c>
      <c r="O2" s="590">
        <v>8.64</v>
      </c>
      <c r="P2" s="591">
        <v>21.77169469</v>
      </c>
      <c r="Q2" s="586" t="s">
        <v>1936</v>
      </c>
    </row>
    <row r="3" spans="1:17">
      <c r="A3" s="559">
        <v>46043</v>
      </c>
      <c r="B3" s="573" t="s">
        <v>1899</v>
      </c>
      <c r="C3" s="574" t="s">
        <v>1942</v>
      </c>
      <c r="D3" s="560" t="s">
        <v>1938</v>
      </c>
      <c r="E3" s="561">
        <v>46101</v>
      </c>
      <c r="F3" s="560" t="s">
        <v>1939</v>
      </c>
      <c r="G3" s="560" t="s">
        <v>1940</v>
      </c>
      <c r="H3" s="560" t="s">
        <v>2172</v>
      </c>
      <c r="I3" s="560" t="s">
        <v>1935</v>
      </c>
      <c r="J3" s="587">
        <v>111.78</v>
      </c>
      <c r="K3" s="560">
        <v>0</v>
      </c>
      <c r="L3" s="588">
        <v>1.56</v>
      </c>
      <c r="M3" s="589">
        <v>1.56</v>
      </c>
      <c r="N3" s="587">
        <v>1.56</v>
      </c>
      <c r="O3" s="590">
        <v>1.56</v>
      </c>
      <c r="P3" s="591">
        <v>23.43874641</v>
      </c>
      <c r="Q3" s="586" t="s">
        <v>1941</v>
      </c>
    </row>
    <row r="4" spans="1:17">
      <c r="A4" s="559">
        <v>46043</v>
      </c>
      <c r="B4" s="573" t="s">
        <v>1947</v>
      </c>
      <c r="C4" s="574" t="s">
        <v>1948</v>
      </c>
      <c r="D4" s="560" t="s">
        <v>1949</v>
      </c>
      <c r="E4" s="561">
        <v>46280</v>
      </c>
      <c r="F4" s="560" t="s">
        <v>1939</v>
      </c>
      <c r="G4" s="560" t="s">
        <v>1940</v>
      </c>
      <c r="H4" s="560" t="s">
        <v>2173</v>
      </c>
      <c r="I4" s="560" t="s">
        <v>1935</v>
      </c>
      <c r="J4" s="575">
        <v>8257.3799999999992</v>
      </c>
      <c r="K4" s="560">
        <v>770.1309999999994</v>
      </c>
      <c r="L4" s="576">
        <v>967.33723831314262</v>
      </c>
      <c r="M4" s="577">
        <v>967.33723831314262</v>
      </c>
      <c r="N4" s="560">
        <v>967.33723831314262</v>
      </c>
      <c r="O4" s="578">
        <v>871.28923352595677</v>
      </c>
      <c r="P4" s="579">
        <v>19.963879947951071</v>
      </c>
      <c r="Q4" s="586" t="s">
        <v>1936</v>
      </c>
    </row>
    <row r="5" spans="1:17">
      <c r="A5" s="559">
        <v>46043</v>
      </c>
      <c r="B5" s="573" t="s">
        <v>1950</v>
      </c>
      <c r="C5" s="574" t="s">
        <v>1951</v>
      </c>
      <c r="D5" s="560" t="s">
        <v>1949</v>
      </c>
      <c r="E5" s="561">
        <v>46280</v>
      </c>
      <c r="F5" s="560" t="s">
        <v>1939</v>
      </c>
      <c r="G5" s="560" t="s">
        <v>1940</v>
      </c>
      <c r="H5" s="560" t="s">
        <v>2174</v>
      </c>
      <c r="I5" s="560" t="s">
        <v>1935</v>
      </c>
      <c r="J5" s="575">
        <v>8257.3799999999992</v>
      </c>
      <c r="K5" s="560">
        <v>57.059699999999793</v>
      </c>
      <c r="L5" s="576">
        <v>548.68256815583447</v>
      </c>
      <c r="M5" s="577">
        <v>548.68256815583447</v>
      </c>
      <c r="N5" s="560">
        <v>548.68256815583447</v>
      </c>
      <c r="O5" s="578">
        <v>479.87411452905292</v>
      </c>
      <c r="P5" s="579">
        <v>19.963879947951071</v>
      </c>
      <c r="Q5" s="586" t="s">
        <v>1936</v>
      </c>
    </row>
    <row r="6" spans="1:17">
      <c r="A6" s="559">
        <v>46043</v>
      </c>
      <c r="B6" s="579" t="s">
        <v>1952</v>
      </c>
      <c r="C6" s="574" t="s">
        <v>1953</v>
      </c>
      <c r="D6" s="560" t="s">
        <v>1954</v>
      </c>
      <c r="E6" s="561">
        <v>46129</v>
      </c>
      <c r="F6" s="560" t="s">
        <v>1939</v>
      </c>
      <c r="G6" s="560" t="s">
        <v>194</v>
      </c>
      <c r="H6" s="560" t="s">
        <v>2175</v>
      </c>
      <c r="I6" s="560"/>
      <c r="J6" s="580">
        <v>2.65</v>
      </c>
      <c r="K6" s="560">
        <v>0.10000000000000009</v>
      </c>
      <c r="L6" s="581">
        <v>0.19906800267689831</v>
      </c>
      <c r="M6" s="582">
        <v>0.19906800267689831</v>
      </c>
      <c r="N6" s="560">
        <v>0.19906800267689831</v>
      </c>
      <c r="O6" s="560">
        <v>0.19922448370813894</v>
      </c>
      <c r="P6" s="579">
        <v>25.070359258218964</v>
      </c>
      <c r="Q6" s="586" t="s">
        <v>1936</v>
      </c>
    </row>
    <row r="7" spans="1:17">
      <c r="A7" s="559">
        <v>46043</v>
      </c>
      <c r="B7" s="579" t="s">
        <v>1955</v>
      </c>
      <c r="C7" s="574" t="s">
        <v>1956</v>
      </c>
      <c r="D7" s="560" t="s">
        <v>1954</v>
      </c>
      <c r="E7" s="561">
        <v>46129</v>
      </c>
      <c r="F7" s="560" t="s">
        <v>1934</v>
      </c>
      <c r="G7" s="560" t="s">
        <v>194</v>
      </c>
      <c r="H7" s="560" t="s">
        <v>2176</v>
      </c>
      <c r="I7" s="560"/>
      <c r="J7" s="580">
        <v>2.65</v>
      </c>
      <c r="K7" s="560">
        <v>0</v>
      </c>
      <c r="L7" s="581">
        <v>8.0211253010810633E-3</v>
      </c>
      <c r="M7" s="582">
        <v>8.0211253010810633E-3</v>
      </c>
      <c r="N7" s="560">
        <v>8.0211253010810633E-3</v>
      </c>
      <c r="O7" s="560">
        <v>8.0211253010810633E-3</v>
      </c>
      <c r="P7" s="579">
        <v>38.718839311585931</v>
      </c>
      <c r="Q7" s="586" t="s">
        <v>1936</v>
      </c>
    </row>
    <row r="8" spans="1:17">
      <c r="A8" s="559">
        <v>46043</v>
      </c>
      <c r="B8" s="579" t="s">
        <v>1957</v>
      </c>
      <c r="C8" s="574" t="s">
        <v>1958</v>
      </c>
      <c r="D8" s="560" t="s">
        <v>1954</v>
      </c>
      <c r="E8" s="561">
        <v>46129</v>
      </c>
      <c r="F8" s="560" t="s">
        <v>1934</v>
      </c>
      <c r="G8" s="560" t="s">
        <v>194</v>
      </c>
      <c r="H8" s="560" t="s">
        <v>2177</v>
      </c>
      <c r="I8" s="560"/>
      <c r="J8" s="580">
        <v>2.65</v>
      </c>
      <c r="K8" s="560">
        <v>0</v>
      </c>
      <c r="L8" s="581">
        <v>1.9677852944404998E-2</v>
      </c>
      <c r="M8" s="582">
        <v>1.9677852944404998E-2</v>
      </c>
      <c r="N8" s="560">
        <v>1.9677852944404998E-2</v>
      </c>
      <c r="O8" s="560">
        <v>1.9677852944404998E-2</v>
      </c>
      <c r="P8" s="579">
        <v>29.799101081626517</v>
      </c>
      <c r="Q8" s="586" t="s">
        <v>1936</v>
      </c>
    </row>
    <row r="9" spans="1:17">
      <c r="A9" s="559">
        <v>46043</v>
      </c>
      <c r="B9" s="579" t="s">
        <v>2025</v>
      </c>
      <c r="C9" s="574" t="s">
        <v>2031</v>
      </c>
      <c r="D9" s="560" t="s">
        <v>1946</v>
      </c>
      <c r="E9" s="561">
        <v>46191</v>
      </c>
      <c r="F9" s="560" t="s">
        <v>1939</v>
      </c>
      <c r="G9" s="560" t="s">
        <v>194</v>
      </c>
      <c r="H9" s="560" t="s">
        <v>2178</v>
      </c>
      <c r="I9" s="560"/>
      <c r="J9" s="580">
        <v>326.12</v>
      </c>
      <c r="K9" s="560">
        <v>26.120000000000005</v>
      </c>
      <c r="L9" s="581">
        <v>47.95</v>
      </c>
      <c r="M9" s="582">
        <v>51</v>
      </c>
      <c r="N9" s="560">
        <v>49.475000000000001</v>
      </c>
      <c r="O9" s="560">
        <v>49.475000000000001</v>
      </c>
      <c r="P9" s="579"/>
      <c r="Q9" s="586" t="s">
        <v>1943</v>
      </c>
    </row>
    <row r="10" spans="1:17">
      <c r="A10" s="559">
        <v>46043</v>
      </c>
      <c r="B10" s="579" t="s">
        <v>2024</v>
      </c>
      <c r="C10" s="574" t="s">
        <v>2032</v>
      </c>
      <c r="D10" s="560" t="s">
        <v>1946</v>
      </c>
      <c r="E10" s="561">
        <v>46191</v>
      </c>
      <c r="F10" s="560" t="s">
        <v>1939</v>
      </c>
      <c r="G10" s="560" t="s">
        <v>194</v>
      </c>
      <c r="H10" s="560" t="s">
        <v>2179</v>
      </c>
      <c r="I10" s="560"/>
      <c r="J10" s="580">
        <v>326.12</v>
      </c>
      <c r="K10" s="560">
        <v>0</v>
      </c>
      <c r="L10" s="581">
        <v>16.899999999999999</v>
      </c>
      <c r="M10" s="582">
        <v>18.899999999999999</v>
      </c>
      <c r="N10" s="560">
        <v>17.899999999999999</v>
      </c>
      <c r="O10" s="560">
        <v>17.899999999999999</v>
      </c>
      <c r="P10" s="579"/>
      <c r="Q10" s="586" t="s">
        <v>1943</v>
      </c>
    </row>
    <row r="11" spans="1:17">
      <c r="A11" s="559">
        <v>46043</v>
      </c>
      <c r="B11" s="579" t="s">
        <v>2027</v>
      </c>
      <c r="C11" s="574" t="s">
        <v>2033</v>
      </c>
      <c r="D11" s="560" t="s">
        <v>1946</v>
      </c>
      <c r="E11" s="561">
        <v>46191</v>
      </c>
      <c r="F11" s="560" t="s">
        <v>1934</v>
      </c>
      <c r="G11" s="560" t="s">
        <v>194</v>
      </c>
      <c r="H11" s="560" t="s">
        <v>2180</v>
      </c>
      <c r="I11" s="560"/>
      <c r="J11" s="580">
        <v>326.12</v>
      </c>
      <c r="K11" s="560">
        <v>0</v>
      </c>
      <c r="L11" s="581">
        <v>6.15</v>
      </c>
      <c r="M11" s="582">
        <v>6.55</v>
      </c>
      <c r="N11" s="560">
        <v>6.35</v>
      </c>
      <c r="O11" s="560">
        <v>6.35</v>
      </c>
      <c r="P11" s="579"/>
      <c r="Q11" s="586" t="s">
        <v>1943</v>
      </c>
    </row>
    <row r="12" spans="1:17">
      <c r="A12" s="559">
        <v>46043</v>
      </c>
      <c r="B12" s="579" t="s">
        <v>2026</v>
      </c>
      <c r="C12" s="574" t="s">
        <v>2034</v>
      </c>
      <c r="D12" s="560" t="s">
        <v>1946</v>
      </c>
      <c r="E12" s="561">
        <v>46191</v>
      </c>
      <c r="F12" s="560" t="s">
        <v>1934</v>
      </c>
      <c r="G12" s="560" t="s">
        <v>194</v>
      </c>
      <c r="H12" s="560" t="s">
        <v>2181</v>
      </c>
      <c r="I12" s="560"/>
      <c r="J12" s="580">
        <v>326.12</v>
      </c>
      <c r="K12" s="560">
        <v>0</v>
      </c>
      <c r="L12" s="581">
        <v>2.41</v>
      </c>
      <c r="M12" s="582">
        <v>3.05</v>
      </c>
      <c r="N12" s="560">
        <v>2.73</v>
      </c>
      <c r="O12" s="560">
        <v>2.73</v>
      </c>
      <c r="P12" s="579"/>
      <c r="Q12" s="586" t="s">
        <v>1943</v>
      </c>
    </row>
    <row r="13" spans="1:17">
      <c r="A13" s="559">
        <v>46043</v>
      </c>
      <c r="B13" s="579" t="s">
        <v>2030</v>
      </c>
      <c r="C13" s="574" t="s">
        <v>2035</v>
      </c>
      <c r="D13" s="560" t="s">
        <v>1945</v>
      </c>
      <c r="E13" s="561">
        <v>46191</v>
      </c>
      <c r="F13" s="560" t="s">
        <v>1934</v>
      </c>
      <c r="G13" s="560" t="s">
        <v>194</v>
      </c>
      <c r="H13" s="560" t="s">
        <v>2182</v>
      </c>
      <c r="I13" s="560"/>
      <c r="J13" s="580">
        <v>444.11</v>
      </c>
      <c r="K13" s="560">
        <v>0</v>
      </c>
      <c r="L13" s="581">
        <v>21.05</v>
      </c>
      <c r="M13" s="582">
        <v>21.25</v>
      </c>
      <c r="N13" s="560">
        <v>21.15</v>
      </c>
      <c r="O13" s="560">
        <v>21.15</v>
      </c>
      <c r="P13" s="579"/>
      <c r="Q13" s="586" t="s">
        <v>1943</v>
      </c>
    </row>
    <row r="14" spans="1:17">
      <c r="A14" s="559">
        <v>46043</v>
      </c>
      <c r="B14" s="579" t="s">
        <v>2029</v>
      </c>
      <c r="C14" s="574" t="s">
        <v>2036</v>
      </c>
      <c r="D14" s="560" t="s">
        <v>1945</v>
      </c>
      <c r="E14" s="561">
        <v>46191</v>
      </c>
      <c r="F14" s="560" t="s">
        <v>1939</v>
      </c>
      <c r="G14" s="560" t="s">
        <v>194</v>
      </c>
      <c r="H14" s="560" t="s">
        <v>2183</v>
      </c>
      <c r="I14" s="560"/>
      <c r="J14" s="580">
        <v>444.11</v>
      </c>
      <c r="K14" s="560">
        <v>0</v>
      </c>
      <c r="L14" s="581">
        <v>10.050000000000001</v>
      </c>
      <c r="M14" s="582">
        <v>10.199999999999999</v>
      </c>
      <c r="N14" s="560">
        <v>10.125</v>
      </c>
      <c r="O14" s="560">
        <v>10.125</v>
      </c>
      <c r="P14" s="579"/>
      <c r="Q14" s="586" t="s">
        <v>1943</v>
      </c>
    </row>
    <row r="15" spans="1:17">
      <c r="A15" s="559">
        <v>46043</v>
      </c>
      <c r="B15" s="579" t="s">
        <v>2028</v>
      </c>
      <c r="C15" s="574" t="s">
        <v>2037</v>
      </c>
      <c r="D15" s="560" t="s">
        <v>1945</v>
      </c>
      <c r="E15" s="561">
        <v>46191</v>
      </c>
      <c r="F15" s="560" t="s">
        <v>1939</v>
      </c>
      <c r="G15" s="560" t="s">
        <v>194</v>
      </c>
      <c r="H15" s="560" t="s">
        <v>2184</v>
      </c>
      <c r="I15" s="560"/>
      <c r="J15" s="580">
        <v>444.11</v>
      </c>
      <c r="K15" s="560">
        <v>0</v>
      </c>
      <c r="L15" s="581">
        <v>2.2999999999999998</v>
      </c>
      <c r="M15" s="582">
        <v>2.37</v>
      </c>
      <c r="N15" s="560">
        <v>2.335</v>
      </c>
      <c r="O15" s="560">
        <v>2.335</v>
      </c>
      <c r="P15" s="579"/>
      <c r="Q15" s="586" t="s">
        <v>1943</v>
      </c>
    </row>
    <row r="16" spans="1:17">
      <c r="A16" s="559">
        <v>46043</v>
      </c>
      <c r="B16" s="579" t="s">
        <v>2040</v>
      </c>
      <c r="C16" s="574" t="s">
        <v>2041</v>
      </c>
      <c r="D16" s="560" t="s">
        <v>1959</v>
      </c>
      <c r="E16" s="561">
        <v>46101</v>
      </c>
      <c r="F16" s="560" t="s">
        <v>1934</v>
      </c>
      <c r="G16" s="560" t="s">
        <v>194</v>
      </c>
      <c r="H16" s="560" t="s">
        <v>2185</v>
      </c>
      <c r="I16" s="560"/>
      <c r="J16" s="580">
        <v>616.28</v>
      </c>
      <c r="K16" s="560">
        <v>0</v>
      </c>
      <c r="L16" s="581">
        <v>4</v>
      </c>
      <c r="M16" s="582">
        <v>4.07</v>
      </c>
      <c r="N16" s="560">
        <v>4.0350000000000001</v>
      </c>
      <c r="O16" s="560">
        <v>4.0350000000000001</v>
      </c>
      <c r="P16" s="579"/>
      <c r="Q16" s="586" t="s">
        <v>1943</v>
      </c>
    </row>
    <row r="17" spans="1:17">
      <c r="A17" s="559">
        <v>46043</v>
      </c>
      <c r="B17" s="579" t="s">
        <v>2039</v>
      </c>
      <c r="C17" s="574" t="s">
        <v>2043</v>
      </c>
      <c r="D17" s="560" t="s">
        <v>1959</v>
      </c>
      <c r="E17" s="561">
        <v>46101</v>
      </c>
      <c r="F17" s="560" t="s">
        <v>1934</v>
      </c>
      <c r="G17" s="560" t="s">
        <v>194</v>
      </c>
      <c r="H17" s="560" t="s">
        <v>2186</v>
      </c>
      <c r="I17" s="560"/>
      <c r="J17" s="580">
        <v>616.28</v>
      </c>
      <c r="K17" s="560">
        <v>0</v>
      </c>
      <c r="L17" s="581">
        <v>7.67</v>
      </c>
      <c r="M17" s="582">
        <v>7.76</v>
      </c>
      <c r="N17" s="560">
        <v>7.7149999999999999</v>
      </c>
      <c r="O17" s="560">
        <v>7.7149999999999999</v>
      </c>
      <c r="P17" s="579"/>
      <c r="Q17" s="586" t="s">
        <v>1943</v>
      </c>
    </row>
    <row r="18" spans="1:17">
      <c r="A18" s="559">
        <v>46043</v>
      </c>
      <c r="B18" s="579" t="s">
        <v>2044</v>
      </c>
      <c r="C18" s="574" t="s">
        <v>2047</v>
      </c>
      <c r="D18" s="560" t="s">
        <v>2042</v>
      </c>
      <c r="E18" s="561">
        <v>46191</v>
      </c>
      <c r="F18" s="560" t="s">
        <v>1939</v>
      </c>
      <c r="G18" s="560" t="s">
        <v>194</v>
      </c>
      <c r="H18" s="560" t="s">
        <v>2187</v>
      </c>
      <c r="I18" s="560"/>
      <c r="J18" s="580">
        <v>231.31</v>
      </c>
      <c r="K18" s="560">
        <v>1.3100000000000023</v>
      </c>
      <c r="L18" s="581">
        <v>22.7</v>
      </c>
      <c r="M18" s="582">
        <v>23</v>
      </c>
      <c r="N18" s="560">
        <v>22.85</v>
      </c>
      <c r="O18" s="560">
        <v>22.85</v>
      </c>
      <c r="P18" s="579"/>
      <c r="Q18" s="586" t="s">
        <v>1943</v>
      </c>
    </row>
    <row r="19" spans="1:17">
      <c r="A19" s="559">
        <v>46043</v>
      </c>
      <c r="B19" s="579" t="s">
        <v>2045</v>
      </c>
      <c r="C19" s="574" t="s">
        <v>2048</v>
      </c>
      <c r="D19" s="560" t="s">
        <v>2042</v>
      </c>
      <c r="E19" s="561">
        <v>46191</v>
      </c>
      <c r="F19" s="560" t="s">
        <v>1939</v>
      </c>
      <c r="G19" s="560" t="s">
        <v>194</v>
      </c>
      <c r="H19" s="560" t="s">
        <v>2188</v>
      </c>
      <c r="I19" s="560"/>
      <c r="J19" s="580">
        <v>231.31</v>
      </c>
      <c r="K19" s="560">
        <v>0</v>
      </c>
      <c r="L19" s="581">
        <v>10.5</v>
      </c>
      <c r="M19" s="582">
        <v>10.6</v>
      </c>
      <c r="N19" s="560">
        <v>10.55</v>
      </c>
      <c r="O19" s="560">
        <v>10.55</v>
      </c>
      <c r="P19" s="579"/>
      <c r="Q19" s="586" t="s">
        <v>1943</v>
      </c>
    </row>
    <row r="20" spans="1:17">
      <c r="A20" s="559">
        <v>46043</v>
      </c>
      <c r="B20" s="579" t="s">
        <v>2046</v>
      </c>
      <c r="C20" s="574" t="s">
        <v>2049</v>
      </c>
      <c r="D20" s="560" t="s">
        <v>2042</v>
      </c>
      <c r="E20" s="561">
        <v>46191</v>
      </c>
      <c r="F20" s="560" t="s">
        <v>1934</v>
      </c>
      <c r="G20" s="560" t="s">
        <v>194</v>
      </c>
      <c r="H20" s="560" t="s">
        <v>2189</v>
      </c>
      <c r="I20" s="560"/>
      <c r="J20" s="580">
        <v>231.31</v>
      </c>
      <c r="K20" s="560">
        <v>0</v>
      </c>
      <c r="L20" s="581">
        <v>7.35</v>
      </c>
      <c r="M20" s="582">
        <v>7.45</v>
      </c>
      <c r="N20" s="560">
        <v>7.4</v>
      </c>
      <c r="O20" s="560">
        <v>7.4</v>
      </c>
      <c r="P20" s="579"/>
      <c r="Q20" s="586" t="s">
        <v>1943</v>
      </c>
    </row>
    <row r="21" spans="1:17">
      <c r="A21" s="559">
        <v>46043</v>
      </c>
      <c r="B21" s="579" t="s">
        <v>2057</v>
      </c>
      <c r="C21" s="574" t="s">
        <v>2060</v>
      </c>
      <c r="D21" s="560" t="s">
        <v>1945</v>
      </c>
      <c r="E21" s="561">
        <v>46101</v>
      </c>
      <c r="F21" s="560" t="s">
        <v>1939</v>
      </c>
      <c r="G21" s="560" t="s">
        <v>194</v>
      </c>
      <c r="H21" s="560" t="s">
        <v>2191</v>
      </c>
      <c r="I21" s="560"/>
      <c r="J21" s="580">
        <v>444.11</v>
      </c>
      <c r="K21" s="560">
        <v>0</v>
      </c>
      <c r="L21" s="581">
        <v>5.75</v>
      </c>
      <c r="M21" s="582">
        <v>5.85</v>
      </c>
      <c r="N21" s="560">
        <v>5.8</v>
      </c>
      <c r="O21" s="560">
        <v>5.8</v>
      </c>
      <c r="P21" s="579"/>
      <c r="Q21" s="586" t="s">
        <v>1943</v>
      </c>
    </row>
    <row r="22" spans="1:17">
      <c r="A22" s="559">
        <v>46043</v>
      </c>
      <c r="B22" s="579" t="s">
        <v>2056</v>
      </c>
      <c r="C22" s="574" t="s">
        <v>2061</v>
      </c>
      <c r="D22" s="560" t="s">
        <v>1945</v>
      </c>
      <c r="E22" s="561">
        <v>46101</v>
      </c>
      <c r="F22" s="560" t="s">
        <v>1939</v>
      </c>
      <c r="G22" s="560" t="s">
        <v>194</v>
      </c>
      <c r="H22" s="560" t="s">
        <v>2183</v>
      </c>
      <c r="I22" s="560"/>
      <c r="J22" s="580">
        <v>444.11</v>
      </c>
      <c r="K22" s="560">
        <v>0</v>
      </c>
      <c r="L22" s="581">
        <v>2.44</v>
      </c>
      <c r="M22" s="582">
        <v>2.4900000000000002</v>
      </c>
      <c r="N22" s="560">
        <v>2.4649999999999999</v>
      </c>
      <c r="O22" s="560">
        <v>2.4649999999999999</v>
      </c>
      <c r="P22" s="579"/>
      <c r="Q22" s="586" t="s">
        <v>1943</v>
      </c>
    </row>
    <row r="23" spans="1:17">
      <c r="A23" s="559">
        <v>46043</v>
      </c>
      <c r="B23" s="563" t="s">
        <v>2059</v>
      </c>
      <c r="C23" s="574" t="s">
        <v>2062</v>
      </c>
      <c r="D23" s="560" t="s">
        <v>1945</v>
      </c>
      <c r="E23" s="561">
        <v>46101</v>
      </c>
      <c r="F23" s="560" t="s">
        <v>1934</v>
      </c>
      <c r="G23" s="560" t="s">
        <v>194</v>
      </c>
      <c r="H23" s="560" t="s">
        <v>2192</v>
      </c>
      <c r="I23" s="560"/>
      <c r="J23" s="580">
        <v>444.11</v>
      </c>
      <c r="K23" s="560">
        <v>10.889999999999986</v>
      </c>
      <c r="L23" s="581">
        <v>25.3</v>
      </c>
      <c r="M23" s="582">
        <v>25.45</v>
      </c>
      <c r="N23" s="560">
        <v>25.375</v>
      </c>
      <c r="O23" s="560">
        <v>25.375</v>
      </c>
      <c r="P23" s="579"/>
      <c r="Q23" s="586" t="s">
        <v>1943</v>
      </c>
    </row>
    <row r="24" spans="1:17">
      <c r="A24" s="559">
        <v>46043</v>
      </c>
      <c r="B24" s="563" t="s">
        <v>2058</v>
      </c>
      <c r="C24" s="574" t="s">
        <v>2063</v>
      </c>
      <c r="D24" s="560" t="s">
        <v>1945</v>
      </c>
      <c r="E24" s="561">
        <v>46101</v>
      </c>
      <c r="F24" s="560" t="s">
        <v>1934</v>
      </c>
      <c r="G24" s="560" t="s">
        <v>194</v>
      </c>
      <c r="H24" s="560" t="s">
        <v>2193</v>
      </c>
      <c r="I24" s="560"/>
      <c r="J24" s="580">
        <v>444.11</v>
      </c>
      <c r="K24" s="560">
        <v>20.889999999999986</v>
      </c>
      <c r="L24" s="581">
        <v>31.45</v>
      </c>
      <c r="M24" s="582">
        <v>31.6</v>
      </c>
      <c r="N24" s="560">
        <v>31.524999999999999</v>
      </c>
      <c r="O24" s="560">
        <v>31.524999999999999</v>
      </c>
      <c r="P24" s="579"/>
      <c r="Q24" s="586" t="s">
        <v>1943</v>
      </c>
    </row>
    <row r="25" spans="1:17">
      <c r="A25" s="559">
        <v>46043</v>
      </c>
      <c r="B25" s="563" t="s">
        <v>2067</v>
      </c>
      <c r="C25" s="574" t="s">
        <v>2069</v>
      </c>
      <c r="D25" s="560" t="s">
        <v>2070</v>
      </c>
      <c r="E25" s="561">
        <v>46101</v>
      </c>
      <c r="F25" s="560" t="s">
        <v>1934</v>
      </c>
      <c r="G25" s="560" t="s">
        <v>194</v>
      </c>
      <c r="H25" s="560" t="s">
        <v>2194</v>
      </c>
      <c r="I25" s="560"/>
      <c r="J25" s="580">
        <v>82.55</v>
      </c>
      <c r="K25" s="560">
        <v>0</v>
      </c>
      <c r="L25" s="581">
        <v>6.1</v>
      </c>
      <c r="M25" s="582">
        <v>6.3</v>
      </c>
      <c r="N25" s="560">
        <v>6.1999999999999993</v>
      </c>
      <c r="O25" s="560">
        <v>6.1999999999999993</v>
      </c>
      <c r="P25" s="579"/>
      <c r="Q25" s="586" t="s">
        <v>1943</v>
      </c>
    </row>
    <row r="26" spans="1:17">
      <c r="A26" s="559">
        <v>46043</v>
      </c>
      <c r="B26" s="563" t="s">
        <v>2068</v>
      </c>
      <c r="C26" s="574" t="s">
        <v>2071</v>
      </c>
      <c r="D26" s="560" t="s">
        <v>2070</v>
      </c>
      <c r="E26" s="561">
        <v>46101</v>
      </c>
      <c r="F26" s="560" t="s">
        <v>1934</v>
      </c>
      <c r="G26" s="560" t="s">
        <v>194</v>
      </c>
      <c r="H26" s="560" t="s">
        <v>2195</v>
      </c>
      <c r="I26" s="560"/>
      <c r="J26" s="580">
        <v>82.55</v>
      </c>
      <c r="K26" s="560">
        <v>7.4500000000000028</v>
      </c>
      <c r="L26" s="581">
        <v>11.9</v>
      </c>
      <c r="M26" s="582">
        <v>12.1</v>
      </c>
      <c r="N26" s="560">
        <v>12</v>
      </c>
      <c r="O26" s="560">
        <v>12</v>
      </c>
      <c r="P26" s="579"/>
      <c r="Q26" s="586" t="s">
        <v>1943</v>
      </c>
    </row>
    <row r="27" spans="1:17">
      <c r="A27" s="559">
        <v>46043</v>
      </c>
      <c r="B27" s="563" t="s">
        <v>2074</v>
      </c>
      <c r="C27" s="574" t="s">
        <v>2075</v>
      </c>
      <c r="D27" s="560" t="s">
        <v>1944</v>
      </c>
      <c r="E27" s="561">
        <v>46038</v>
      </c>
      <c r="F27" s="560" t="s">
        <v>1934</v>
      </c>
      <c r="G27" s="560" t="s">
        <v>194</v>
      </c>
      <c r="H27" s="560" t="s">
        <v>2196</v>
      </c>
      <c r="I27" s="560"/>
      <c r="J27" s="575">
        <v>35.020000000000003</v>
      </c>
      <c r="K27" s="560">
        <v>0</v>
      </c>
      <c r="L27" s="576">
        <v>0.83499999999999996</v>
      </c>
      <c r="M27" s="577">
        <v>0.83499999999999996</v>
      </c>
      <c r="N27" s="560">
        <v>0.83499999999999996</v>
      </c>
      <c r="O27" s="560">
        <v>0.83499999999999996</v>
      </c>
      <c r="P27" s="579">
        <v>0</v>
      </c>
      <c r="Q27" s="586" t="s">
        <v>1936</v>
      </c>
    </row>
    <row r="28" spans="1:17">
      <c r="A28" s="559">
        <v>46043</v>
      </c>
      <c r="B28" s="563" t="s">
        <v>2077</v>
      </c>
      <c r="C28" s="574" t="s">
        <v>2079</v>
      </c>
      <c r="D28" s="560" t="s">
        <v>2080</v>
      </c>
      <c r="E28" s="561">
        <v>46129</v>
      </c>
      <c r="F28" s="560" t="s">
        <v>1939</v>
      </c>
      <c r="G28" s="560" t="s">
        <v>194</v>
      </c>
      <c r="H28" s="560" t="s">
        <v>2197</v>
      </c>
      <c r="I28" s="560"/>
      <c r="J28" s="580">
        <v>612.96</v>
      </c>
      <c r="K28" s="560">
        <v>0</v>
      </c>
      <c r="L28" s="581">
        <v>16.399999999999999</v>
      </c>
      <c r="M28" s="582">
        <v>16.600000000000001</v>
      </c>
      <c r="N28" s="560">
        <v>16.5</v>
      </c>
      <c r="O28" s="560">
        <v>16.5</v>
      </c>
      <c r="P28" s="579"/>
      <c r="Q28" s="586" t="s">
        <v>1943</v>
      </c>
    </row>
    <row r="29" spans="1:17">
      <c r="A29" s="559">
        <v>46043</v>
      </c>
      <c r="B29" s="573" t="s">
        <v>2076</v>
      </c>
      <c r="C29" s="574" t="s">
        <v>2081</v>
      </c>
      <c r="D29" s="560" t="s">
        <v>2080</v>
      </c>
      <c r="E29" s="561">
        <v>46129</v>
      </c>
      <c r="F29" s="560" t="s">
        <v>1939</v>
      </c>
      <c r="G29" s="560" t="s">
        <v>194</v>
      </c>
      <c r="H29" s="560" t="s">
        <v>2198</v>
      </c>
      <c r="I29" s="560"/>
      <c r="J29" s="580">
        <v>612.96</v>
      </c>
      <c r="K29" s="560">
        <v>0</v>
      </c>
      <c r="L29" s="581">
        <v>7</v>
      </c>
      <c r="M29" s="582">
        <v>7.15</v>
      </c>
      <c r="N29" s="560">
        <v>7.0750000000000002</v>
      </c>
      <c r="O29" s="560">
        <v>7.0750000000000002</v>
      </c>
      <c r="P29" s="579"/>
      <c r="Q29" s="586" t="s">
        <v>1943</v>
      </c>
    </row>
    <row r="30" spans="1:17">
      <c r="A30" s="559">
        <v>46043</v>
      </c>
      <c r="B30" s="563" t="s">
        <v>2078</v>
      </c>
      <c r="C30" s="574" t="s">
        <v>2082</v>
      </c>
      <c r="D30" s="560" t="s">
        <v>2080</v>
      </c>
      <c r="E30" s="561">
        <v>46129</v>
      </c>
      <c r="F30" s="560" t="s">
        <v>1934</v>
      </c>
      <c r="G30" s="560" t="s">
        <v>194</v>
      </c>
      <c r="H30" s="560" t="s">
        <v>2199</v>
      </c>
      <c r="I30" s="560"/>
      <c r="J30" s="580">
        <v>612.96</v>
      </c>
      <c r="K30" s="560">
        <v>0</v>
      </c>
      <c r="L30" s="581">
        <v>28.15</v>
      </c>
      <c r="M30" s="582">
        <v>28.4</v>
      </c>
      <c r="N30" s="560">
        <v>28.274999999999999</v>
      </c>
      <c r="O30" s="560">
        <v>28.274999999999999</v>
      </c>
      <c r="P30" s="579"/>
      <c r="Q30" s="586" t="s">
        <v>1943</v>
      </c>
    </row>
    <row r="31" spans="1:17">
      <c r="A31" s="559">
        <v>46043</v>
      </c>
      <c r="B31" s="563" t="s">
        <v>2084</v>
      </c>
      <c r="C31" s="574" t="s">
        <v>2089</v>
      </c>
      <c r="D31" s="560" t="s">
        <v>2090</v>
      </c>
      <c r="E31" s="561">
        <v>46073</v>
      </c>
      <c r="F31" s="560" t="s">
        <v>1939</v>
      </c>
      <c r="G31" s="560" t="s">
        <v>194</v>
      </c>
      <c r="H31" s="560" t="s">
        <v>2200</v>
      </c>
      <c r="I31" s="560"/>
      <c r="J31" s="580">
        <v>362.44</v>
      </c>
      <c r="K31" s="560">
        <v>0</v>
      </c>
      <c r="L31" s="581">
        <v>18.8</v>
      </c>
      <c r="M31" s="582">
        <v>21.9</v>
      </c>
      <c r="N31" s="560">
        <v>20.350000000000001</v>
      </c>
      <c r="O31" s="560">
        <v>20.350000000000001</v>
      </c>
      <c r="P31" s="579"/>
      <c r="Q31" s="586" t="s">
        <v>1943</v>
      </c>
    </row>
    <row r="32" spans="1:17">
      <c r="A32" s="559">
        <v>46043</v>
      </c>
      <c r="B32" s="563" t="s">
        <v>2083</v>
      </c>
      <c r="C32" s="574" t="s">
        <v>2091</v>
      </c>
      <c r="D32" s="560" t="s">
        <v>2090</v>
      </c>
      <c r="E32" s="561">
        <v>46073</v>
      </c>
      <c r="F32" s="560" t="s">
        <v>1939</v>
      </c>
      <c r="G32" s="560" t="s">
        <v>194</v>
      </c>
      <c r="H32" s="560" t="s">
        <v>2201</v>
      </c>
      <c r="I32" s="560"/>
      <c r="J32" s="580">
        <v>362.44</v>
      </c>
      <c r="K32" s="560">
        <v>0</v>
      </c>
      <c r="L32" s="581">
        <v>32.1</v>
      </c>
      <c r="M32" s="582">
        <v>35.299999999999997</v>
      </c>
      <c r="N32" s="560">
        <v>33.700000000000003</v>
      </c>
      <c r="O32" s="560">
        <v>33.700000000000003</v>
      </c>
      <c r="P32" s="579"/>
      <c r="Q32" s="586" t="s">
        <v>1943</v>
      </c>
    </row>
    <row r="33" spans="1:17">
      <c r="A33" s="559">
        <v>46043</v>
      </c>
      <c r="B33" s="563" t="s">
        <v>2087</v>
      </c>
      <c r="C33" s="574" t="s">
        <v>2092</v>
      </c>
      <c r="D33" s="560" t="s">
        <v>2093</v>
      </c>
      <c r="E33" s="561">
        <v>46101</v>
      </c>
      <c r="F33" s="560" t="s">
        <v>1939</v>
      </c>
      <c r="G33" s="560" t="s">
        <v>194</v>
      </c>
      <c r="H33" s="560" t="s">
        <v>2181</v>
      </c>
      <c r="I33" s="560"/>
      <c r="J33" s="580">
        <v>201.46</v>
      </c>
      <c r="K33" s="560">
        <v>0</v>
      </c>
      <c r="L33" s="581">
        <v>23.3</v>
      </c>
      <c r="M33" s="582">
        <v>24.4</v>
      </c>
      <c r="N33" s="560">
        <v>23.85</v>
      </c>
      <c r="O33" s="560">
        <v>23.85</v>
      </c>
      <c r="P33" s="579"/>
      <c r="Q33" s="586" t="s">
        <v>1943</v>
      </c>
    </row>
    <row r="34" spans="1:17">
      <c r="A34" s="559">
        <v>46043</v>
      </c>
      <c r="B34" s="563" t="s">
        <v>2088</v>
      </c>
      <c r="C34" s="574" t="s">
        <v>2094</v>
      </c>
      <c r="D34" s="560" t="s">
        <v>2093</v>
      </c>
      <c r="E34" s="561">
        <v>46101</v>
      </c>
      <c r="F34" s="560" t="s">
        <v>1939</v>
      </c>
      <c r="G34" s="560" t="s">
        <v>194</v>
      </c>
      <c r="H34" s="560" t="s">
        <v>2180</v>
      </c>
      <c r="I34" s="560"/>
      <c r="J34" s="580">
        <v>201.46</v>
      </c>
      <c r="K34" s="560">
        <v>0</v>
      </c>
      <c r="L34" s="581">
        <v>11.5</v>
      </c>
      <c r="M34" s="582">
        <v>12.4</v>
      </c>
      <c r="N34" s="560">
        <v>11.95</v>
      </c>
      <c r="O34" s="560">
        <v>11.95</v>
      </c>
      <c r="P34" s="579"/>
      <c r="Q34" s="586" t="s">
        <v>1943</v>
      </c>
    </row>
    <row r="35" spans="1:17">
      <c r="A35" s="559">
        <v>46043</v>
      </c>
      <c r="B35" s="563" t="s">
        <v>2100</v>
      </c>
      <c r="C35" s="574" t="s">
        <v>2102</v>
      </c>
      <c r="D35" s="560" t="s">
        <v>2103</v>
      </c>
      <c r="E35" s="561">
        <v>46101</v>
      </c>
      <c r="F35" s="560" t="s">
        <v>1939</v>
      </c>
      <c r="G35" s="560" t="s">
        <v>194</v>
      </c>
      <c r="H35" s="560" t="s">
        <v>2171</v>
      </c>
      <c r="I35" s="560"/>
      <c r="J35" s="580">
        <v>85.36</v>
      </c>
      <c r="K35" s="560">
        <v>0</v>
      </c>
      <c r="L35" s="581">
        <v>0.46</v>
      </c>
      <c r="M35" s="582">
        <v>0.5</v>
      </c>
      <c r="N35" s="560">
        <v>0.48</v>
      </c>
      <c r="O35" s="560">
        <v>0.48</v>
      </c>
      <c r="P35" s="579"/>
      <c r="Q35" s="586" t="s">
        <v>1943</v>
      </c>
    </row>
    <row r="36" spans="1:17">
      <c r="A36" s="559">
        <v>46043</v>
      </c>
      <c r="B36" s="563" t="s">
        <v>2101</v>
      </c>
      <c r="C36" s="574" t="s">
        <v>2104</v>
      </c>
      <c r="D36" s="560" t="s">
        <v>2103</v>
      </c>
      <c r="E36" s="561">
        <v>46101</v>
      </c>
      <c r="F36" s="560" t="s">
        <v>1934</v>
      </c>
      <c r="G36" s="560" t="s">
        <v>194</v>
      </c>
      <c r="H36" s="560" t="s">
        <v>2202</v>
      </c>
      <c r="I36" s="560"/>
      <c r="J36" s="580">
        <v>85.36</v>
      </c>
      <c r="K36" s="560">
        <v>0</v>
      </c>
      <c r="L36" s="581">
        <v>3</v>
      </c>
      <c r="M36" s="582">
        <v>3.15</v>
      </c>
      <c r="N36" s="560">
        <v>3.0750000000000002</v>
      </c>
      <c r="O36" s="560">
        <v>3.0750000000000002</v>
      </c>
      <c r="P36" s="579"/>
      <c r="Q36" s="586" t="s">
        <v>1943</v>
      </c>
    </row>
    <row r="37" spans="1:17">
      <c r="A37" s="559">
        <v>46043</v>
      </c>
      <c r="B37" s="563" t="s">
        <v>2099</v>
      </c>
      <c r="C37" s="574" t="s">
        <v>2105</v>
      </c>
      <c r="D37" s="560" t="s">
        <v>2103</v>
      </c>
      <c r="E37" s="561">
        <v>46101</v>
      </c>
      <c r="F37" s="560" t="s">
        <v>1934</v>
      </c>
      <c r="G37" s="560" t="s">
        <v>194</v>
      </c>
      <c r="H37" s="560" t="s">
        <v>2203</v>
      </c>
      <c r="I37" s="560"/>
      <c r="J37" s="580">
        <v>85.36</v>
      </c>
      <c r="K37" s="560">
        <v>6.6400000000000006</v>
      </c>
      <c r="L37" s="581">
        <v>8.15</v>
      </c>
      <c r="M37" s="582">
        <v>8.35</v>
      </c>
      <c r="N37" s="560">
        <v>8.25</v>
      </c>
      <c r="O37" s="560">
        <v>8.25</v>
      </c>
      <c r="P37" s="579"/>
      <c r="Q37" s="586" t="s">
        <v>1943</v>
      </c>
    </row>
    <row r="38" spans="1:17">
      <c r="A38" s="559">
        <v>46043</v>
      </c>
      <c r="B38" s="563" t="s">
        <v>2107</v>
      </c>
      <c r="C38" s="574" t="s">
        <v>2110</v>
      </c>
      <c r="D38" s="560" t="s">
        <v>2070</v>
      </c>
      <c r="E38" s="561">
        <v>46101</v>
      </c>
      <c r="F38" s="560" t="s">
        <v>1934</v>
      </c>
      <c r="G38" s="560" t="s">
        <v>194</v>
      </c>
      <c r="H38" s="560" t="s">
        <v>2204</v>
      </c>
      <c r="I38" s="560"/>
      <c r="J38" s="580">
        <v>82.55</v>
      </c>
      <c r="K38" s="560">
        <v>0</v>
      </c>
      <c r="L38" s="581">
        <v>4.05</v>
      </c>
      <c r="M38" s="582">
        <v>4.2</v>
      </c>
      <c r="N38" s="560">
        <v>4.125</v>
      </c>
      <c r="O38" s="560">
        <v>4.125</v>
      </c>
      <c r="P38" s="579"/>
      <c r="Q38" s="586" t="s">
        <v>1943</v>
      </c>
    </row>
    <row r="39" spans="1:17">
      <c r="A39" s="559">
        <v>46043</v>
      </c>
      <c r="B39" s="563" t="s">
        <v>2106</v>
      </c>
      <c r="C39" s="574" t="s">
        <v>2111</v>
      </c>
      <c r="D39" s="560" t="s">
        <v>2070</v>
      </c>
      <c r="E39" s="561">
        <v>46101</v>
      </c>
      <c r="F39" s="560" t="s">
        <v>1934</v>
      </c>
      <c r="G39" s="560" t="s">
        <v>194</v>
      </c>
      <c r="H39" s="560" t="s">
        <v>2205</v>
      </c>
      <c r="I39" s="560"/>
      <c r="J39" s="580">
        <v>82.55</v>
      </c>
      <c r="K39" s="560">
        <v>2.4500000000000028</v>
      </c>
      <c r="L39" s="581">
        <v>8.75</v>
      </c>
      <c r="M39" s="582">
        <v>8.9</v>
      </c>
      <c r="N39" s="560">
        <v>8.8249999999999993</v>
      </c>
      <c r="O39" s="560">
        <v>8.8249999999999993</v>
      </c>
      <c r="P39" s="579"/>
      <c r="Q39" s="586" t="s">
        <v>1943</v>
      </c>
    </row>
    <row r="40" spans="1:17">
      <c r="A40" s="559">
        <v>46043</v>
      </c>
      <c r="B40" s="563" t="s">
        <v>2116</v>
      </c>
      <c r="C40" s="574" t="s">
        <v>2122</v>
      </c>
      <c r="D40" s="560" t="s">
        <v>2123</v>
      </c>
      <c r="E40" s="561">
        <v>46191</v>
      </c>
      <c r="F40" s="560" t="s">
        <v>1939</v>
      </c>
      <c r="G40" s="560" t="s">
        <v>194</v>
      </c>
      <c r="H40" s="560" t="s">
        <v>2206</v>
      </c>
      <c r="I40" s="560"/>
      <c r="J40" s="580">
        <v>328.8</v>
      </c>
      <c r="K40" s="560">
        <v>0</v>
      </c>
      <c r="L40" s="581">
        <v>34.799999999999997</v>
      </c>
      <c r="M40" s="582">
        <v>35.25</v>
      </c>
      <c r="N40" s="560">
        <v>35.024999999999999</v>
      </c>
      <c r="O40" s="560">
        <v>35.024999999999999</v>
      </c>
      <c r="P40" s="579"/>
      <c r="Q40" s="586" t="s">
        <v>1943</v>
      </c>
    </row>
    <row r="41" spans="1:17">
      <c r="A41" s="559">
        <v>46043</v>
      </c>
      <c r="B41" s="563" t="s">
        <v>2118</v>
      </c>
      <c r="C41" s="574" t="s">
        <v>2124</v>
      </c>
      <c r="D41" s="560" t="s">
        <v>2123</v>
      </c>
      <c r="E41" s="561">
        <v>46191</v>
      </c>
      <c r="F41" s="560" t="s">
        <v>1939</v>
      </c>
      <c r="G41" s="560" t="s">
        <v>194</v>
      </c>
      <c r="H41" s="560" t="s">
        <v>2207</v>
      </c>
      <c r="I41" s="560"/>
      <c r="J41" s="580">
        <v>328.8</v>
      </c>
      <c r="K41" s="560">
        <v>0</v>
      </c>
      <c r="L41" s="581">
        <v>17.25</v>
      </c>
      <c r="M41" s="582">
        <v>17.600000000000001</v>
      </c>
      <c r="N41" s="560">
        <v>17.425000000000001</v>
      </c>
      <c r="O41" s="560">
        <v>17.425000000000001</v>
      </c>
      <c r="P41" s="579"/>
      <c r="Q41" s="586" t="s">
        <v>1943</v>
      </c>
    </row>
    <row r="42" spans="1:17">
      <c r="A42" s="559">
        <v>46043</v>
      </c>
      <c r="B42" s="563" t="s">
        <v>2117</v>
      </c>
      <c r="C42" s="574" t="s">
        <v>2125</v>
      </c>
      <c r="D42" s="560" t="s">
        <v>2123</v>
      </c>
      <c r="E42" s="561">
        <v>46191</v>
      </c>
      <c r="F42" s="560" t="s">
        <v>1934</v>
      </c>
      <c r="G42" s="560" t="s">
        <v>194</v>
      </c>
      <c r="H42" s="560" t="s">
        <v>2208</v>
      </c>
      <c r="I42" s="560"/>
      <c r="J42" s="580">
        <v>328.8</v>
      </c>
      <c r="K42" s="560">
        <v>0</v>
      </c>
      <c r="L42" s="581">
        <v>15.45</v>
      </c>
      <c r="M42" s="582">
        <v>15.95</v>
      </c>
      <c r="N42" s="560">
        <v>15.7</v>
      </c>
      <c r="O42" s="560">
        <v>15.7</v>
      </c>
      <c r="P42" s="579"/>
      <c r="Q42" s="586" t="s">
        <v>1943</v>
      </c>
    </row>
    <row r="43" spans="1:17">
      <c r="A43" s="559">
        <v>46043</v>
      </c>
      <c r="B43" s="563" t="s">
        <v>2115</v>
      </c>
      <c r="C43" s="574" t="s">
        <v>2126</v>
      </c>
      <c r="D43" s="560" t="s">
        <v>2123</v>
      </c>
      <c r="E43" s="561">
        <v>46191</v>
      </c>
      <c r="F43" s="560" t="s">
        <v>1934</v>
      </c>
      <c r="G43" s="560" t="s">
        <v>194</v>
      </c>
      <c r="H43" s="560" t="s">
        <v>2178</v>
      </c>
      <c r="I43" s="560"/>
      <c r="J43" s="580">
        <v>328.8</v>
      </c>
      <c r="K43" s="560">
        <v>0</v>
      </c>
      <c r="L43" s="581">
        <v>25.9</v>
      </c>
      <c r="M43" s="582">
        <v>26.3</v>
      </c>
      <c r="N43" s="560">
        <v>26.1</v>
      </c>
      <c r="O43" s="560">
        <v>26.1</v>
      </c>
      <c r="P43" s="579"/>
      <c r="Q43" s="586" t="s">
        <v>1943</v>
      </c>
    </row>
    <row r="44" spans="1:17">
      <c r="A44" s="559">
        <v>46043</v>
      </c>
      <c r="B44" s="563" t="s">
        <v>2119</v>
      </c>
      <c r="C44" s="574" t="s">
        <v>2127</v>
      </c>
      <c r="D44" s="560" t="s">
        <v>2080</v>
      </c>
      <c r="E44" s="561">
        <v>46129</v>
      </c>
      <c r="F44" s="560" t="s">
        <v>1934</v>
      </c>
      <c r="G44" s="560" t="s">
        <v>194</v>
      </c>
      <c r="H44" s="560" t="s">
        <v>2209</v>
      </c>
      <c r="I44" s="560"/>
      <c r="J44" s="580">
        <v>612.96</v>
      </c>
      <c r="K44" s="560">
        <v>0</v>
      </c>
      <c r="L44" s="581">
        <v>32.35</v>
      </c>
      <c r="M44" s="582">
        <v>32.6</v>
      </c>
      <c r="N44" s="560">
        <v>32.475000000000001</v>
      </c>
      <c r="O44" s="560">
        <v>32.475000000000001</v>
      </c>
      <c r="P44" s="579"/>
      <c r="Q44" s="586" t="s">
        <v>1943</v>
      </c>
    </row>
    <row r="45" spans="1:17">
      <c r="A45" s="559">
        <v>46043</v>
      </c>
      <c r="B45" s="563" t="s">
        <v>2109</v>
      </c>
      <c r="C45" s="574" t="s">
        <v>2128</v>
      </c>
      <c r="D45" s="560" t="s">
        <v>1946</v>
      </c>
      <c r="E45" s="561">
        <v>46101</v>
      </c>
      <c r="F45" s="560" t="s">
        <v>1939</v>
      </c>
      <c r="G45" s="560" t="s">
        <v>194</v>
      </c>
      <c r="H45" s="560" t="s">
        <v>2190</v>
      </c>
      <c r="I45" s="560"/>
      <c r="J45" s="580">
        <v>326.12</v>
      </c>
      <c r="K45" s="560">
        <v>0</v>
      </c>
      <c r="L45" s="581">
        <v>17.95</v>
      </c>
      <c r="M45" s="582">
        <v>18.399999999999999</v>
      </c>
      <c r="N45" s="560">
        <v>18.174999999999997</v>
      </c>
      <c r="O45" s="560">
        <v>18.174999999999997</v>
      </c>
      <c r="P45" s="579"/>
      <c r="Q45" s="586" t="s">
        <v>1943</v>
      </c>
    </row>
    <row r="46" spans="1:17">
      <c r="A46" s="559">
        <v>46043</v>
      </c>
      <c r="B46" s="563" t="s">
        <v>2108</v>
      </c>
      <c r="C46" s="574" t="s">
        <v>2129</v>
      </c>
      <c r="D46" s="560" t="s">
        <v>1946</v>
      </c>
      <c r="E46" s="561">
        <v>46101</v>
      </c>
      <c r="F46" s="560" t="s">
        <v>1939</v>
      </c>
      <c r="G46" s="560" t="s">
        <v>194</v>
      </c>
      <c r="H46" s="560" t="s">
        <v>2178</v>
      </c>
      <c r="I46" s="560"/>
      <c r="J46" s="580">
        <v>326.12</v>
      </c>
      <c r="K46" s="560">
        <v>26.120000000000005</v>
      </c>
      <c r="L46" s="581">
        <v>35.6</v>
      </c>
      <c r="M46" s="582">
        <v>36.5</v>
      </c>
      <c r="N46" s="560">
        <v>36.049999999999997</v>
      </c>
      <c r="O46" s="560">
        <v>36.049999999999997</v>
      </c>
      <c r="P46" s="579"/>
      <c r="Q46" s="586" t="s">
        <v>1943</v>
      </c>
    </row>
    <row r="47" spans="1:17">
      <c r="A47" s="559">
        <v>46043</v>
      </c>
      <c r="B47" s="563" t="s">
        <v>2120</v>
      </c>
      <c r="C47" s="574" t="s">
        <v>2130</v>
      </c>
      <c r="D47" s="560" t="s">
        <v>2080</v>
      </c>
      <c r="E47" s="561">
        <v>46129</v>
      </c>
      <c r="F47" s="560" t="s">
        <v>1934</v>
      </c>
      <c r="G47" s="560" t="s">
        <v>194</v>
      </c>
      <c r="H47" s="560" t="s">
        <v>2210</v>
      </c>
      <c r="I47" s="560"/>
      <c r="J47" s="580">
        <v>612.96</v>
      </c>
      <c r="K47" s="560">
        <v>0</v>
      </c>
      <c r="L47" s="581">
        <v>20.9</v>
      </c>
      <c r="M47" s="582">
        <v>21.15</v>
      </c>
      <c r="N47" s="560">
        <v>21.024999999999999</v>
      </c>
      <c r="O47" s="560">
        <v>21.024999999999999</v>
      </c>
      <c r="P47" s="579"/>
      <c r="Q47" s="586" t="s">
        <v>1943</v>
      </c>
    </row>
    <row r="48" spans="1:17">
      <c r="A48" s="559">
        <v>46043</v>
      </c>
      <c r="B48" s="583" t="s">
        <v>2261</v>
      </c>
      <c r="C48" s="574" t="s">
        <v>2267</v>
      </c>
      <c r="D48" s="560" t="s">
        <v>1946</v>
      </c>
      <c r="E48" s="561">
        <v>46191</v>
      </c>
      <c r="F48" s="560" t="s">
        <v>1939</v>
      </c>
      <c r="G48" s="560" t="s">
        <v>194</v>
      </c>
      <c r="H48" s="560" t="s">
        <v>2268</v>
      </c>
      <c r="I48" s="560"/>
      <c r="J48" s="580">
        <v>326.12</v>
      </c>
      <c r="K48" s="560">
        <v>0</v>
      </c>
      <c r="L48" s="581">
        <v>27.95</v>
      </c>
      <c r="M48" s="582">
        <v>28.7</v>
      </c>
      <c r="N48" s="560">
        <v>28.324999999999999</v>
      </c>
      <c r="O48" s="560">
        <v>28.324999999999999</v>
      </c>
      <c r="P48" s="579"/>
      <c r="Q48" s="586" t="s">
        <v>1943</v>
      </c>
    </row>
    <row r="49" spans="1:17">
      <c r="A49" s="559">
        <v>46043</v>
      </c>
      <c r="B49" s="583" t="s">
        <v>2262</v>
      </c>
      <c r="C49" s="574" t="s">
        <v>2269</v>
      </c>
      <c r="D49" s="560" t="s">
        <v>1946</v>
      </c>
      <c r="E49" s="561">
        <v>46191</v>
      </c>
      <c r="F49" s="560" t="s">
        <v>1939</v>
      </c>
      <c r="G49" s="560" t="s">
        <v>194</v>
      </c>
      <c r="H49" s="560" t="s">
        <v>2270</v>
      </c>
      <c r="I49" s="560"/>
      <c r="J49" s="580">
        <v>326.12</v>
      </c>
      <c r="K49" s="560">
        <v>0</v>
      </c>
      <c r="L49" s="581">
        <v>15.3</v>
      </c>
      <c r="M49" s="582">
        <v>16.350000000000001</v>
      </c>
      <c r="N49" s="560">
        <v>15.825000000000001</v>
      </c>
      <c r="O49" s="560">
        <v>15.825000000000001</v>
      </c>
      <c r="P49" s="579"/>
      <c r="Q49" s="586" t="s">
        <v>1943</v>
      </c>
    </row>
    <row r="50" spans="1:17">
      <c r="A50" s="559">
        <v>46043</v>
      </c>
      <c r="B50" s="583" t="s">
        <v>2260</v>
      </c>
      <c r="C50" s="574" t="s">
        <v>2271</v>
      </c>
      <c r="D50" s="560" t="s">
        <v>2272</v>
      </c>
      <c r="E50" s="561">
        <v>46073</v>
      </c>
      <c r="F50" s="560" t="s">
        <v>1939</v>
      </c>
      <c r="G50" s="560" t="s">
        <v>194</v>
      </c>
      <c r="H50" s="560" t="s">
        <v>2273</v>
      </c>
      <c r="I50" s="560"/>
      <c r="J50" s="575">
        <v>33.729999999999997</v>
      </c>
      <c r="K50" s="560">
        <v>0</v>
      </c>
      <c r="L50" s="576">
        <v>0.31221180941323562</v>
      </c>
      <c r="M50" s="577">
        <v>0.31221180941323562</v>
      </c>
      <c r="N50" s="560">
        <v>0.31221180941323562</v>
      </c>
      <c r="O50" s="560">
        <v>0.31432143300923893</v>
      </c>
      <c r="P50" s="579">
        <v>19.513714072126998</v>
      </c>
      <c r="Q50" s="586" t="s">
        <v>1936</v>
      </c>
    </row>
    <row r="51" spans="1:17">
      <c r="A51" s="559">
        <v>46043</v>
      </c>
      <c r="B51" s="573" t="s">
        <v>2288</v>
      </c>
      <c r="C51" s="574" t="s">
        <v>2290</v>
      </c>
      <c r="D51" s="560" t="s">
        <v>2291</v>
      </c>
      <c r="E51" s="561">
        <v>46045</v>
      </c>
      <c r="F51" s="560" t="s">
        <v>1934</v>
      </c>
      <c r="G51" s="560" t="s">
        <v>194</v>
      </c>
      <c r="H51" s="560" t="s">
        <v>2292</v>
      </c>
      <c r="I51" s="560"/>
      <c r="J51" s="575">
        <v>325.24</v>
      </c>
      <c r="K51" s="560">
        <v>0</v>
      </c>
      <c r="L51" s="576">
        <v>0.17767648025526228</v>
      </c>
      <c r="M51" s="577">
        <v>0.17767648025526228</v>
      </c>
      <c r="N51" s="560">
        <v>0.17767648025526228</v>
      </c>
      <c r="O51" s="560">
        <v>0.23166932390625555</v>
      </c>
      <c r="P51" s="579">
        <v>79.611449325620072</v>
      </c>
      <c r="Q51" s="586" t="s">
        <v>1936</v>
      </c>
    </row>
    <row r="52" spans="1:17">
      <c r="A52" s="559">
        <v>46043</v>
      </c>
      <c r="B52" s="573" t="s">
        <v>2287</v>
      </c>
      <c r="C52" s="574" t="s">
        <v>2293</v>
      </c>
      <c r="D52" s="560" t="s">
        <v>2291</v>
      </c>
      <c r="E52" s="561">
        <v>46045</v>
      </c>
      <c r="F52" s="560" t="s">
        <v>1934</v>
      </c>
      <c r="G52" s="560" t="s">
        <v>194</v>
      </c>
      <c r="H52" s="560" t="s">
        <v>2294</v>
      </c>
      <c r="I52" s="560"/>
      <c r="J52" s="575">
        <v>325.24</v>
      </c>
      <c r="K52" s="560">
        <v>0</v>
      </c>
      <c r="L52" s="576">
        <v>0.10428421125771814</v>
      </c>
      <c r="M52" s="577">
        <v>0.10428421125771814</v>
      </c>
      <c r="N52" s="560">
        <v>0.10428421125771814</v>
      </c>
      <c r="O52" s="560">
        <v>0.14236363409374225</v>
      </c>
      <c r="P52" s="579">
        <v>92.406502019507641</v>
      </c>
      <c r="Q52" s="586" t="s">
        <v>1936</v>
      </c>
    </row>
    <row r="53" spans="1:17">
      <c r="A53" s="559">
        <v>46043</v>
      </c>
      <c r="B53" s="583" t="s">
        <v>2319</v>
      </c>
      <c r="C53" s="574" t="s">
        <v>2322</v>
      </c>
      <c r="D53" s="560" t="s">
        <v>2323</v>
      </c>
      <c r="E53" s="561">
        <v>46283</v>
      </c>
      <c r="F53" s="560" t="s">
        <v>1939</v>
      </c>
      <c r="G53" s="560" t="s">
        <v>194</v>
      </c>
      <c r="H53" s="560" t="s">
        <v>2324</v>
      </c>
      <c r="I53" s="560"/>
      <c r="J53" s="580">
        <v>101.29</v>
      </c>
      <c r="K53" s="560">
        <v>0</v>
      </c>
      <c r="L53" s="581">
        <v>9.65</v>
      </c>
      <c r="M53" s="582">
        <v>11.2</v>
      </c>
      <c r="N53" s="560">
        <v>10.425000000000001</v>
      </c>
      <c r="O53" s="560">
        <v>10.425000000000001</v>
      </c>
      <c r="P53" s="579"/>
      <c r="Q53" s="586" t="s">
        <v>1943</v>
      </c>
    </row>
    <row r="54" spans="1:17">
      <c r="A54" s="559">
        <v>46043</v>
      </c>
      <c r="B54" s="583" t="s">
        <v>2318</v>
      </c>
      <c r="C54" s="574" t="s">
        <v>2325</v>
      </c>
      <c r="D54" s="560" t="s">
        <v>2323</v>
      </c>
      <c r="E54" s="561">
        <v>46283</v>
      </c>
      <c r="F54" s="560" t="s">
        <v>1939</v>
      </c>
      <c r="G54" s="560" t="s">
        <v>194</v>
      </c>
      <c r="H54" s="560" t="s">
        <v>2326</v>
      </c>
      <c r="I54" s="560"/>
      <c r="J54" s="580">
        <v>101.29</v>
      </c>
      <c r="K54" s="560">
        <v>0</v>
      </c>
      <c r="L54" s="581">
        <v>12.8</v>
      </c>
      <c r="M54" s="582">
        <v>14.35</v>
      </c>
      <c r="N54" s="560">
        <v>13.574999999999999</v>
      </c>
      <c r="O54" s="560">
        <v>13.574999999999999</v>
      </c>
      <c r="P54" s="579"/>
      <c r="Q54" s="586" t="s">
        <v>1943</v>
      </c>
    </row>
    <row r="55" spans="1:17">
      <c r="A55" s="559">
        <v>46043</v>
      </c>
      <c r="B55" s="583" t="s">
        <v>2333</v>
      </c>
      <c r="C55" s="574" t="s">
        <v>2343</v>
      </c>
      <c r="D55" s="560" t="s">
        <v>2344</v>
      </c>
      <c r="E55" s="561">
        <v>46073</v>
      </c>
      <c r="F55" s="560" t="s">
        <v>1939</v>
      </c>
      <c r="G55" s="560" t="s">
        <v>194</v>
      </c>
      <c r="H55" s="560" t="s">
        <v>2345</v>
      </c>
      <c r="I55" s="560"/>
      <c r="J55" s="580">
        <v>501.29</v>
      </c>
      <c r="K55" s="560">
        <v>1.2900000000000205</v>
      </c>
      <c r="L55" s="581">
        <v>64.5</v>
      </c>
      <c r="M55" s="582">
        <v>67</v>
      </c>
      <c r="N55" s="560">
        <v>65.75</v>
      </c>
      <c r="O55" s="560">
        <v>65.75</v>
      </c>
      <c r="P55" s="579"/>
      <c r="Q55" s="586" t="s">
        <v>1943</v>
      </c>
    </row>
    <row r="56" spans="1:17">
      <c r="A56" s="559">
        <v>46043</v>
      </c>
      <c r="B56" s="583" t="s">
        <v>2346</v>
      </c>
      <c r="C56" s="574" t="s">
        <v>2347</v>
      </c>
      <c r="D56" s="560" t="s">
        <v>1944</v>
      </c>
      <c r="E56" s="561">
        <v>46073</v>
      </c>
      <c r="F56" s="560" t="s">
        <v>1939</v>
      </c>
      <c r="G56" s="560" t="s">
        <v>194</v>
      </c>
      <c r="H56" s="560" t="s">
        <v>2273</v>
      </c>
      <c r="I56" s="560"/>
      <c r="J56" s="580">
        <v>35.020000000000003</v>
      </c>
      <c r="K56" s="560">
        <v>2.0000000000003126E-2</v>
      </c>
      <c r="L56" s="581">
        <v>0.8</v>
      </c>
      <c r="M56" s="582">
        <v>1.2</v>
      </c>
      <c r="N56" s="560">
        <v>1</v>
      </c>
      <c r="O56" s="560">
        <v>1</v>
      </c>
      <c r="P56" s="579"/>
      <c r="Q56" s="586" t="s">
        <v>1943</v>
      </c>
    </row>
    <row r="57" spans="1:17">
      <c r="A57" s="559">
        <v>46043</v>
      </c>
      <c r="B57" s="558" t="s">
        <v>2336</v>
      </c>
      <c r="C57" s="574" t="s">
        <v>2348</v>
      </c>
      <c r="D57" s="560" t="s">
        <v>2070</v>
      </c>
      <c r="E57" s="561">
        <v>46101</v>
      </c>
      <c r="F57" s="560" t="s">
        <v>1934</v>
      </c>
      <c r="G57" s="560" t="s">
        <v>194</v>
      </c>
      <c r="H57" s="560" t="s">
        <v>2349</v>
      </c>
      <c r="I57" s="560"/>
      <c r="J57" s="580">
        <v>82.55</v>
      </c>
      <c r="K57" s="560">
        <v>0</v>
      </c>
      <c r="L57" s="581">
        <v>2.54</v>
      </c>
      <c r="M57" s="582">
        <v>2.61</v>
      </c>
      <c r="N57" s="560">
        <v>2.5750000000000002</v>
      </c>
      <c r="O57" s="560">
        <v>2.5750000000000002</v>
      </c>
      <c r="P57" s="579"/>
      <c r="Q57" s="586" t="s">
        <v>1943</v>
      </c>
    </row>
    <row r="58" spans="1:17">
      <c r="A58" s="559">
        <v>46043</v>
      </c>
      <c r="B58" s="579" t="s">
        <v>2050</v>
      </c>
      <c r="C58" s="574" t="s">
        <v>2050</v>
      </c>
      <c r="D58" s="560" t="s">
        <v>1960</v>
      </c>
      <c r="E58" s="561">
        <v>46073</v>
      </c>
      <c r="F58" s="560" t="s">
        <v>1939</v>
      </c>
      <c r="G58" s="560" t="s">
        <v>194</v>
      </c>
      <c r="H58" s="560" t="s">
        <v>2211</v>
      </c>
      <c r="I58" s="560" t="s">
        <v>1935</v>
      </c>
      <c r="J58" s="580">
        <v>0.16</v>
      </c>
      <c r="K58" s="560">
        <v>0</v>
      </c>
      <c r="L58" s="581">
        <v>0</v>
      </c>
      <c r="M58" s="582">
        <v>0</v>
      </c>
      <c r="N58" s="560">
        <v>0</v>
      </c>
      <c r="O58" s="560">
        <v>1.5313758406088803E-4</v>
      </c>
      <c r="P58" s="579">
        <v>24.989751008916198</v>
      </c>
      <c r="Q58" s="586" t="s">
        <v>1961</v>
      </c>
    </row>
    <row r="59" spans="1:17">
      <c r="A59" s="559">
        <v>46043</v>
      </c>
      <c r="B59" s="579" t="s">
        <v>2051</v>
      </c>
      <c r="C59" s="574" t="s">
        <v>2051</v>
      </c>
      <c r="D59" s="560" t="s">
        <v>1960</v>
      </c>
      <c r="E59" s="561">
        <v>46073</v>
      </c>
      <c r="F59" s="560" t="s">
        <v>1934</v>
      </c>
      <c r="G59" s="560" t="s">
        <v>194</v>
      </c>
      <c r="H59" s="560" t="s">
        <v>2212</v>
      </c>
      <c r="I59" s="560" t="s">
        <v>1935</v>
      </c>
      <c r="J59" s="580">
        <v>0.5</v>
      </c>
      <c r="K59" s="560">
        <v>21.07</v>
      </c>
      <c r="L59" s="581">
        <v>0</v>
      </c>
      <c r="M59" s="582">
        <v>0</v>
      </c>
      <c r="N59" s="560">
        <v>0</v>
      </c>
      <c r="O59" s="560">
        <v>7.0249867087175857E-2</v>
      </c>
      <c r="P59" s="579">
        <v>32.865530981201601</v>
      </c>
      <c r="Q59" s="586" t="s">
        <v>1961</v>
      </c>
    </row>
    <row r="60" spans="1:17">
      <c r="A60" s="559">
        <v>46043</v>
      </c>
      <c r="B60" s="579" t="s">
        <v>2052</v>
      </c>
      <c r="C60" s="574" t="s">
        <v>2052</v>
      </c>
      <c r="D60" s="560" t="s">
        <v>1960</v>
      </c>
      <c r="E60" s="561">
        <v>46073</v>
      </c>
      <c r="F60" s="560" t="s">
        <v>1934</v>
      </c>
      <c r="G60" s="560" t="s">
        <v>194</v>
      </c>
      <c r="H60" s="560" t="s">
        <v>2213</v>
      </c>
      <c r="I60" s="560" t="s">
        <v>1935</v>
      </c>
      <c r="J60" s="580">
        <v>1.75</v>
      </c>
      <c r="K60" s="560">
        <v>22.32</v>
      </c>
      <c r="L60" s="581">
        <v>0</v>
      </c>
      <c r="M60" s="582">
        <v>0</v>
      </c>
      <c r="N60" s="560">
        <v>0</v>
      </c>
      <c r="O60" s="560">
        <v>0.31576112026731851</v>
      </c>
      <c r="P60" s="579">
        <v>28.894481070162296</v>
      </c>
      <c r="Q60" s="586" t="s">
        <v>1961</v>
      </c>
    </row>
    <row r="61" spans="1:17">
      <c r="A61" s="559">
        <v>46043</v>
      </c>
      <c r="B61" s="579" t="s">
        <v>2053</v>
      </c>
      <c r="C61" s="574" t="s">
        <v>2053</v>
      </c>
      <c r="D61" s="560" t="s">
        <v>1960</v>
      </c>
      <c r="E61" s="561">
        <v>46073</v>
      </c>
      <c r="F61" s="560" t="s">
        <v>1939</v>
      </c>
      <c r="G61" s="560" t="s">
        <v>194</v>
      </c>
      <c r="H61" s="560" t="s">
        <v>2214</v>
      </c>
      <c r="I61" s="560" t="s">
        <v>1935</v>
      </c>
      <c r="J61" s="580">
        <v>0.02</v>
      </c>
      <c r="K61" s="560">
        <v>0</v>
      </c>
      <c r="L61" s="581">
        <v>0</v>
      </c>
      <c r="M61" s="582">
        <v>0</v>
      </c>
      <c r="N61" s="560">
        <v>0</v>
      </c>
      <c r="O61" s="560">
        <v>2.4477726579235281E-5</v>
      </c>
      <c r="P61" s="579">
        <v>24.4024208719242</v>
      </c>
      <c r="Q61" s="586" t="s">
        <v>1961</v>
      </c>
    </row>
    <row r="62" spans="1:17">
      <c r="A62" s="559">
        <v>46043</v>
      </c>
      <c r="B62" s="579" t="s">
        <v>2054</v>
      </c>
      <c r="C62" s="574" t="s">
        <v>2054</v>
      </c>
      <c r="D62" s="560" t="s">
        <v>1960</v>
      </c>
      <c r="E62" s="561">
        <v>46073</v>
      </c>
      <c r="F62" s="560" t="s">
        <v>1934</v>
      </c>
      <c r="G62" s="560" t="s">
        <v>194</v>
      </c>
      <c r="H62" s="560" t="s">
        <v>2215</v>
      </c>
      <c r="I62" s="560" t="s">
        <v>1935</v>
      </c>
      <c r="J62" s="580">
        <v>2.21</v>
      </c>
      <c r="K62" s="560">
        <v>21.61</v>
      </c>
      <c r="L62" s="581">
        <v>0</v>
      </c>
      <c r="M62" s="582">
        <v>0</v>
      </c>
      <c r="N62" s="560">
        <v>0</v>
      </c>
      <c r="O62" s="560">
        <v>0.28068163497806586</v>
      </c>
      <c r="P62" s="579">
        <v>29.255414488604696</v>
      </c>
      <c r="Q62" s="586" t="s">
        <v>1961</v>
      </c>
    </row>
    <row r="63" spans="1:17">
      <c r="A63" s="559">
        <v>46043</v>
      </c>
      <c r="B63" s="579" t="s">
        <v>2055</v>
      </c>
      <c r="C63" s="574" t="s">
        <v>2055</v>
      </c>
      <c r="D63" s="560" t="s">
        <v>1960</v>
      </c>
      <c r="E63" s="561">
        <v>46073</v>
      </c>
      <c r="F63" s="560" t="s">
        <v>1934</v>
      </c>
      <c r="G63" s="560" t="s">
        <v>194</v>
      </c>
      <c r="H63" s="560" t="s">
        <v>2216</v>
      </c>
      <c r="I63" s="560" t="s">
        <v>1935</v>
      </c>
      <c r="J63" s="580">
        <v>2.6</v>
      </c>
      <c r="K63" s="560">
        <v>23.72</v>
      </c>
      <c r="L63" s="581">
        <v>0</v>
      </c>
      <c r="M63" s="582">
        <v>0</v>
      </c>
      <c r="N63" s="560">
        <v>0</v>
      </c>
      <c r="O63" s="560">
        <v>0.69580131259233913</v>
      </c>
      <c r="P63" s="579">
        <v>26.146172837752399</v>
      </c>
      <c r="Q63" s="586" t="s">
        <v>1961</v>
      </c>
    </row>
    <row r="64" spans="1:17">
      <c r="A64" s="559">
        <v>46043</v>
      </c>
      <c r="B64" s="579" t="s">
        <v>2064</v>
      </c>
      <c r="C64" s="574" t="s">
        <v>2064</v>
      </c>
      <c r="D64" s="560" t="s">
        <v>2065</v>
      </c>
      <c r="E64" s="561">
        <v>46073</v>
      </c>
      <c r="F64" s="560" t="s">
        <v>1934</v>
      </c>
      <c r="G64" s="560" t="s">
        <v>194</v>
      </c>
      <c r="H64" s="560" t="s">
        <v>2217</v>
      </c>
      <c r="I64" s="560" t="s">
        <v>1935</v>
      </c>
      <c r="J64" s="580">
        <v>0.21</v>
      </c>
      <c r="K64" s="560">
        <v>18.79</v>
      </c>
      <c r="L64" s="581">
        <v>0</v>
      </c>
      <c r="M64" s="582">
        <v>0</v>
      </c>
      <c r="N64" s="560">
        <v>0</v>
      </c>
      <c r="O64" s="560">
        <v>5.6798848542431495E-2</v>
      </c>
      <c r="P64" s="579">
        <v>53.598958410347002</v>
      </c>
      <c r="Q64" s="586" t="s">
        <v>1961</v>
      </c>
    </row>
    <row r="65" spans="1:17">
      <c r="A65" s="559">
        <v>46043</v>
      </c>
      <c r="B65" s="579" t="s">
        <v>2066</v>
      </c>
      <c r="C65" s="574" t="s">
        <v>2066</v>
      </c>
      <c r="D65" s="560" t="s">
        <v>2065</v>
      </c>
      <c r="E65" s="561">
        <v>46073</v>
      </c>
      <c r="F65" s="560" t="s">
        <v>1934</v>
      </c>
      <c r="G65" s="560" t="s">
        <v>194</v>
      </c>
      <c r="H65" s="560" t="s">
        <v>2218</v>
      </c>
      <c r="I65" s="560" t="s">
        <v>1935</v>
      </c>
      <c r="J65" s="580">
        <v>0.4</v>
      </c>
      <c r="K65" s="560">
        <v>20.100000000000001</v>
      </c>
      <c r="L65" s="581">
        <v>0</v>
      </c>
      <c r="M65" s="582">
        <v>0</v>
      </c>
      <c r="N65" s="560">
        <v>0</v>
      </c>
      <c r="O65" s="560">
        <v>0.12636773074219035</v>
      </c>
      <c r="P65" s="579">
        <v>51.149977339705302</v>
      </c>
      <c r="Q65" s="586" t="s">
        <v>1961</v>
      </c>
    </row>
    <row r="66" spans="1:17">
      <c r="A66" s="559">
        <v>46043</v>
      </c>
      <c r="B66" s="579" t="s">
        <v>2085</v>
      </c>
      <c r="C66" s="574" t="s">
        <v>2085</v>
      </c>
      <c r="D66" s="560" t="s">
        <v>1962</v>
      </c>
      <c r="E66" s="561">
        <v>46073</v>
      </c>
      <c r="F66" s="560" t="s">
        <v>1934</v>
      </c>
      <c r="G66" s="560" t="s">
        <v>194</v>
      </c>
      <c r="H66" s="560" t="s">
        <v>2219</v>
      </c>
      <c r="I66" s="560" t="s">
        <v>1935</v>
      </c>
      <c r="J66" s="580">
        <v>0.02</v>
      </c>
      <c r="K66" s="560">
        <v>12.09</v>
      </c>
      <c r="L66" s="581">
        <v>0</v>
      </c>
      <c r="M66" s="582">
        <v>0</v>
      </c>
      <c r="N66" s="560">
        <v>0</v>
      </c>
      <c r="O66" s="560">
        <v>2.9655480835484626E-3</v>
      </c>
      <c r="P66" s="579">
        <v>42.464509041817401</v>
      </c>
      <c r="Q66" s="586" t="s">
        <v>1961</v>
      </c>
    </row>
    <row r="67" spans="1:17">
      <c r="A67" s="559">
        <v>46043</v>
      </c>
      <c r="B67" s="579" t="s">
        <v>2086</v>
      </c>
      <c r="C67" s="574" t="s">
        <v>2086</v>
      </c>
      <c r="D67" s="560" t="s">
        <v>1962</v>
      </c>
      <c r="E67" s="561">
        <v>46073</v>
      </c>
      <c r="F67" s="560" t="s">
        <v>1934</v>
      </c>
      <c r="G67" s="560" t="s">
        <v>194</v>
      </c>
      <c r="H67" s="560" t="s">
        <v>2220</v>
      </c>
      <c r="I67" s="560" t="s">
        <v>1935</v>
      </c>
      <c r="J67" s="580">
        <v>0.06</v>
      </c>
      <c r="K67" s="560">
        <v>13.299999999999999</v>
      </c>
      <c r="L67" s="581">
        <v>0</v>
      </c>
      <c r="M67" s="582">
        <v>0</v>
      </c>
      <c r="N67" s="560">
        <v>0</v>
      </c>
      <c r="O67" s="560">
        <v>1.0958702915717329E-2</v>
      </c>
      <c r="P67" s="579">
        <v>34.344866575380998</v>
      </c>
      <c r="Q67" s="586" t="s">
        <v>1961</v>
      </c>
    </row>
    <row r="68" spans="1:17">
      <c r="A68" s="559">
        <v>46043</v>
      </c>
      <c r="B68" s="579" t="s">
        <v>2131</v>
      </c>
      <c r="C68" s="574" t="s">
        <v>2131</v>
      </c>
      <c r="D68" s="560" t="s">
        <v>2132</v>
      </c>
      <c r="E68" s="561">
        <v>46073</v>
      </c>
      <c r="F68" s="560" t="s">
        <v>1939</v>
      </c>
      <c r="G68" s="560" t="s">
        <v>194</v>
      </c>
      <c r="H68" s="560" t="s">
        <v>2222</v>
      </c>
      <c r="I68" s="560" t="s">
        <v>1935</v>
      </c>
      <c r="J68" s="580">
        <v>2.72</v>
      </c>
      <c r="K68" s="560">
        <v>0</v>
      </c>
      <c r="L68" s="581">
        <v>0</v>
      </c>
      <c r="M68" s="582">
        <v>0</v>
      </c>
      <c r="N68" s="560">
        <v>0</v>
      </c>
      <c r="O68" s="560">
        <v>0.48201571510692243</v>
      </c>
      <c r="P68" s="579">
        <v>29.9843951842394</v>
      </c>
      <c r="Q68" s="586" t="s">
        <v>1961</v>
      </c>
    </row>
    <row r="69" spans="1:17">
      <c r="A69" s="559">
        <v>46043</v>
      </c>
      <c r="B69" s="579" t="s">
        <v>2133</v>
      </c>
      <c r="C69" s="574" t="s">
        <v>2133</v>
      </c>
      <c r="D69" s="560" t="s">
        <v>2132</v>
      </c>
      <c r="E69" s="561">
        <v>46073</v>
      </c>
      <c r="F69" s="560" t="s">
        <v>1934</v>
      </c>
      <c r="G69" s="560" t="s">
        <v>194</v>
      </c>
      <c r="H69" s="560" t="s">
        <v>2223</v>
      </c>
      <c r="I69" s="560" t="s">
        <v>1935</v>
      </c>
      <c r="J69" s="580">
        <v>0.1</v>
      </c>
      <c r="K69" s="560">
        <v>47.72</v>
      </c>
      <c r="L69" s="581">
        <v>0</v>
      </c>
      <c r="M69" s="582">
        <v>0</v>
      </c>
      <c r="N69" s="560">
        <v>0</v>
      </c>
      <c r="O69" s="560">
        <v>1.3837468657956951E-2</v>
      </c>
      <c r="P69" s="579">
        <v>38.956521020310795</v>
      </c>
      <c r="Q69" s="586" t="s">
        <v>1961</v>
      </c>
    </row>
    <row r="70" spans="1:17">
      <c r="A70" s="559">
        <v>46043</v>
      </c>
      <c r="B70" s="579" t="s">
        <v>2134</v>
      </c>
      <c r="C70" s="574" t="s">
        <v>2134</v>
      </c>
      <c r="D70" s="560" t="s">
        <v>2132</v>
      </c>
      <c r="E70" s="561">
        <v>46073</v>
      </c>
      <c r="F70" s="560" t="s">
        <v>1934</v>
      </c>
      <c r="G70" s="560" t="s">
        <v>194</v>
      </c>
      <c r="H70" s="560" t="s">
        <v>2224</v>
      </c>
      <c r="I70" s="560" t="s">
        <v>1935</v>
      </c>
      <c r="J70" s="580">
        <v>0.24</v>
      </c>
      <c r="K70" s="560">
        <v>51.58</v>
      </c>
      <c r="L70" s="581">
        <v>0</v>
      </c>
      <c r="M70" s="582">
        <v>0</v>
      </c>
      <c r="N70" s="560">
        <v>0</v>
      </c>
      <c r="O70" s="560">
        <v>4.4908418203839756E-2</v>
      </c>
      <c r="P70" s="579">
        <v>33.474762575137795</v>
      </c>
      <c r="Q70" s="586" t="s">
        <v>1961</v>
      </c>
    </row>
    <row r="71" spans="1:17">
      <c r="A71" s="559">
        <v>46043</v>
      </c>
      <c r="B71" s="579" t="s">
        <v>2140</v>
      </c>
      <c r="C71" s="574" t="s">
        <v>2140</v>
      </c>
      <c r="D71" s="560" t="s">
        <v>2095</v>
      </c>
      <c r="E71" s="561">
        <v>46073</v>
      </c>
      <c r="F71" s="560" t="s">
        <v>1934</v>
      </c>
      <c r="G71" s="560" t="s">
        <v>194</v>
      </c>
      <c r="H71" s="560" t="s">
        <v>2225</v>
      </c>
      <c r="I71" s="560" t="s">
        <v>1935</v>
      </c>
      <c r="J71" s="580">
        <v>0.1</v>
      </c>
      <c r="K71" s="560">
        <v>42.9</v>
      </c>
      <c r="L71" s="581">
        <v>0</v>
      </c>
      <c r="M71" s="582">
        <v>0</v>
      </c>
      <c r="N71" s="560">
        <v>0</v>
      </c>
      <c r="O71" s="560">
        <v>2.322823295551996E-3</v>
      </c>
      <c r="P71" s="579">
        <v>32.310983321315099</v>
      </c>
      <c r="Q71" s="586" t="s">
        <v>1961</v>
      </c>
    </row>
    <row r="72" spans="1:17">
      <c r="A72" s="559">
        <v>46043</v>
      </c>
      <c r="B72" s="579" t="s">
        <v>2141</v>
      </c>
      <c r="C72" s="574" t="s">
        <v>2141</v>
      </c>
      <c r="D72" s="560" t="s">
        <v>2095</v>
      </c>
      <c r="E72" s="561">
        <v>46073</v>
      </c>
      <c r="F72" s="560" t="s">
        <v>1934</v>
      </c>
      <c r="G72" s="560" t="s">
        <v>194</v>
      </c>
      <c r="H72" s="560" t="s">
        <v>2226</v>
      </c>
      <c r="I72" s="560" t="s">
        <v>1935</v>
      </c>
      <c r="J72" s="580">
        <v>0.28000000000000003</v>
      </c>
      <c r="K72" s="560">
        <v>47.72</v>
      </c>
      <c r="L72" s="581">
        <v>0</v>
      </c>
      <c r="M72" s="582">
        <v>0</v>
      </c>
      <c r="N72" s="560">
        <v>0</v>
      </c>
      <c r="O72" s="560">
        <v>3.5659058177999303E-2</v>
      </c>
      <c r="P72" s="579">
        <v>29.280377317481602</v>
      </c>
      <c r="Q72" s="586" t="s">
        <v>1961</v>
      </c>
    </row>
    <row r="73" spans="1:17">
      <c r="A73" s="559">
        <v>46043</v>
      </c>
      <c r="B73" s="573" t="s">
        <v>2152</v>
      </c>
      <c r="C73" s="573" t="s">
        <v>2152</v>
      </c>
      <c r="D73" s="560" t="s">
        <v>2153</v>
      </c>
      <c r="E73" s="561">
        <v>46073</v>
      </c>
      <c r="F73" s="560" t="s">
        <v>1934</v>
      </c>
      <c r="G73" s="560" t="s">
        <v>194</v>
      </c>
      <c r="H73" s="560" t="s">
        <v>2232</v>
      </c>
      <c r="I73" s="560" t="s">
        <v>1935</v>
      </c>
      <c r="J73" s="580">
        <v>0.56000000000000005</v>
      </c>
      <c r="K73" s="560">
        <v>49.82</v>
      </c>
      <c r="L73" s="581">
        <v>0</v>
      </c>
      <c r="M73" s="582">
        <v>0</v>
      </c>
      <c r="N73" s="560">
        <v>0</v>
      </c>
      <c r="O73" s="560">
        <v>9.2849444724647165E-2</v>
      </c>
      <c r="P73" s="579">
        <v>23.7934720048498</v>
      </c>
      <c r="Q73" s="586" t="s">
        <v>1961</v>
      </c>
    </row>
    <row r="74" spans="1:17">
      <c r="A74" s="559">
        <v>46043</v>
      </c>
      <c r="B74" s="573" t="s">
        <v>2164</v>
      </c>
      <c r="C74" s="573" t="s">
        <v>2164</v>
      </c>
      <c r="D74" s="560" t="s">
        <v>1962</v>
      </c>
      <c r="E74" s="561">
        <v>46073</v>
      </c>
      <c r="F74" s="560" t="s">
        <v>1934</v>
      </c>
      <c r="G74" s="560" t="s">
        <v>194</v>
      </c>
      <c r="H74" s="560" t="s">
        <v>2238</v>
      </c>
      <c r="I74" s="560" t="s">
        <v>1935</v>
      </c>
      <c r="J74" s="580">
        <v>0.02</v>
      </c>
      <c r="K74" s="560">
        <v>11.4</v>
      </c>
      <c r="L74" s="581">
        <v>0</v>
      </c>
      <c r="M74" s="582">
        <v>0</v>
      </c>
      <c r="N74" s="560">
        <v>0</v>
      </c>
      <c r="O74" s="560">
        <v>2.9655480835484626E-3</v>
      </c>
      <c r="P74" s="579">
        <v>42.464509041817401</v>
      </c>
      <c r="Q74" s="586" t="s">
        <v>1961</v>
      </c>
    </row>
    <row r="75" spans="1:17">
      <c r="A75" s="559">
        <v>46043</v>
      </c>
      <c r="B75" s="573" t="s">
        <v>2165</v>
      </c>
      <c r="C75" s="573" t="s">
        <v>2165</v>
      </c>
      <c r="D75" s="560" t="s">
        <v>1962</v>
      </c>
      <c r="E75" s="561">
        <v>46073</v>
      </c>
      <c r="F75" s="560" t="s">
        <v>1934</v>
      </c>
      <c r="G75" s="560" t="s">
        <v>194</v>
      </c>
      <c r="H75" s="560" t="s">
        <v>2239</v>
      </c>
      <c r="I75" s="560" t="s">
        <v>1935</v>
      </c>
      <c r="J75" s="580">
        <v>0.06</v>
      </c>
      <c r="K75" s="560">
        <v>12.61</v>
      </c>
      <c r="L75" s="581">
        <v>0</v>
      </c>
      <c r="M75" s="582">
        <v>0</v>
      </c>
      <c r="N75" s="560">
        <v>0</v>
      </c>
      <c r="O75" s="560">
        <v>1.0958702915717329E-2</v>
      </c>
      <c r="P75" s="579">
        <v>34.344866575380998</v>
      </c>
      <c r="Q75" s="586" t="s">
        <v>1961</v>
      </c>
    </row>
    <row r="76" spans="1:17">
      <c r="A76" s="559">
        <v>46043</v>
      </c>
      <c r="B76" s="573" t="s">
        <v>2166</v>
      </c>
      <c r="C76" s="573" t="s">
        <v>2166</v>
      </c>
      <c r="D76" s="560" t="s">
        <v>1962</v>
      </c>
      <c r="E76" s="561">
        <v>46073</v>
      </c>
      <c r="F76" s="560" t="s">
        <v>1934</v>
      </c>
      <c r="G76" s="560" t="s">
        <v>194</v>
      </c>
      <c r="H76" s="560" t="s">
        <v>2240</v>
      </c>
      <c r="I76" s="560" t="s">
        <v>1935</v>
      </c>
      <c r="J76" s="580">
        <v>0.22</v>
      </c>
      <c r="K76" s="560">
        <v>13.45</v>
      </c>
      <c r="L76" s="581">
        <v>0</v>
      </c>
      <c r="M76" s="582">
        <v>0</v>
      </c>
      <c r="N76" s="560">
        <v>0</v>
      </c>
      <c r="O76" s="560">
        <v>3.8232621065791901E-2</v>
      </c>
      <c r="P76" s="579">
        <v>30.288539204147199</v>
      </c>
      <c r="Q76" s="586" t="s">
        <v>1961</v>
      </c>
    </row>
    <row r="77" spans="1:17">
      <c r="A77" s="559">
        <v>46043</v>
      </c>
      <c r="B77" s="573" t="s">
        <v>2167</v>
      </c>
      <c r="C77" s="573" t="s">
        <v>2167</v>
      </c>
      <c r="D77" s="560" t="s">
        <v>2168</v>
      </c>
      <c r="E77" s="561">
        <v>46073</v>
      </c>
      <c r="F77" s="560" t="s">
        <v>1934</v>
      </c>
      <c r="G77" s="560" t="s">
        <v>194</v>
      </c>
      <c r="H77" s="560" t="s">
        <v>2241</v>
      </c>
      <c r="I77" s="560" t="s">
        <v>1935</v>
      </c>
      <c r="J77" s="580">
        <v>0.04</v>
      </c>
      <c r="K77" s="560">
        <v>12</v>
      </c>
      <c r="L77" s="581">
        <v>0</v>
      </c>
      <c r="M77" s="582">
        <v>0</v>
      </c>
      <c r="N77" s="560">
        <v>0</v>
      </c>
      <c r="O77" s="560">
        <v>7.3164431950001312E-3</v>
      </c>
      <c r="P77" s="579">
        <v>43.901434576974701</v>
      </c>
      <c r="Q77" s="586" t="s">
        <v>1961</v>
      </c>
    </row>
    <row r="78" spans="1:17">
      <c r="A78" s="559">
        <v>46043</v>
      </c>
      <c r="B78" s="573" t="s">
        <v>2169</v>
      </c>
      <c r="C78" s="573" t="s">
        <v>2169</v>
      </c>
      <c r="D78" s="560" t="s">
        <v>2168</v>
      </c>
      <c r="E78" s="561">
        <v>46073</v>
      </c>
      <c r="F78" s="560" t="s">
        <v>1934</v>
      </c>
      <c r="G78" s="560" t="s">
        <v>194</v>
      </c>
      <c r="H78" s="560" t="s">
        <v>2242</v>
      </c>
      <c r="I78" s="560" t="s">
        <v>1935</v>
      </c>
      <c r="J78" s="580">
        <v>0.13</v>
      </c>
      <c r="K78" s="560">
        <v>12.909999999999998</v>
      </c>
      <c r="L78" s="581">
        <v>0</v>
      </c>
      <c r="M78" s="582">
        <v>0</v>
      </c>
      <c r="N78" s="560">
        <v>0</v>
      </c>
      <c r="O78" s="560">
        <v>2.1487788414622001E-2</v>
      </c>
      <c r="P78" s="579">
        <v>39.3269412264723</v>
      </c>
      <c r="Q78" s="586" t="s">
        <v>1961</v>
      </c>
    </row>
    <row r="79" spans="1:17">
      <c r="A79" s="559">
        <v>46043</v>
      </c>
      <c r="B79" s="574" t="s">
        <v>2243</v>
      </c>
      <c r="C79" s="574" t="s">
        <v>2243</v>
      </c>
      <c r="D79" s="560" t="s">
        <v>2095</v>
      </c>
      <c r="E79" s="561">
        <v>46073</v>
      </c>
      <c r="F79" s="560" t="s">
        <v>1939</v>
      </c>
      <c r="G79" s="560" t="s">
        <v>194</v>
      </c>
      <c r="H79" s="560" t="s">
        <v>2244</v>
      </c>
      <c r="I79" s="560" t="s">
        <v>1935</v>
      </c>
      <c r="J79" s="580">
        <v>1.0900000000000001</v>
      </c>
      <c r="K79" s="560">
        <v>0</v>
      </c>
      <c r="L79" s="581">
        <v>0</v>
      </c>
      <c r="M79" s="582">
        <v>0</v>
      </c>
      <c r="N79" s="560">
        <v>0</v>
      </c>
      <c r="O79" s="560">
        <v>0.19122733595461591</v>
      </c>
      <c r="P79" s="579">
        <v>24.899757875624299</v>
      </c>
      <c r="Q79" s="586" t="s">
        <v>1961</v>
      </c>
    </row>
    <row r="80" spans="1:17">
      <c r="A80" s="559">
        <v>46043</v>
      </c>
      <c r="B80" s="574" t="s">
        <v>2245</v>
      </c>
      <c r="C80" s="574" t="s">
        <v>2245</v>
      </c>
      <c r="D80" s="560" t="s">
        <v>2095</v>
      </c>
      <c r="E80" s="561">
        <v>46073</v>
      </c>
      <c r="F80" s="560" t="s">
        <v>1934</v>
      </c>
      <c r="G80" s="560" t="s">
        <v>194</v>
      </c>
      <c r="H80" s="560" t="s">
        <v>2246</v>
      </c>
      <c r="I80" s="560" t="s">
        <v>1935</v>
      </c>
      <c r="J80" s="580">
        <v>0.18</v>
      </c>
      <c r="K80" s="560">
        <v>46.82</v>
      </c>
      <c r="L80" s="581">
        <v>0</v>
      </c>
      <c r="M80" s="582">
        <v>0</v>
      </c>
      <c r="N80" s="560">
        <v>0</v>
      </c>
      <c r="O80" s="560">
        <v>2.2128811007110477E-2</v>
      </c>
      <c r="P80" s="579">
        <v>29.934264961858098</v>
      </c>
      <c r="Q80" s="586" t="s">
        <v>1961</v>
      </c>
    </row>
    <row r="81" spans="1:17">
      <c r="A81" s="559">
        <v>46043</v>
      </c>
      <c r="B81" s="574" t="s">
        <v>2247</v>
      </c>
      <c r="C81" s="574" t="s">
        <v>2247</v>
      </c>
      <c r="D81" s="560" t="s">
        <v>2095</v>
      </c>
      <c r="E81" s="561">
        <v>46073</v>
      </c>
      <c r="F81" s="560" t="s">
        <v>1934</v>
      </c>
      <c r="G81" s="560" t="s">
        <v>194</v>
      </c>
      <c r="H81" s="560" t="s">
        <v>2248</v>
      </c>
      <c r="I81" s="560" t="s">
        <v>1935</v>
      </c>
      <c r="J81" s="580">
        <v>0.78</v>
      </c>
      <c r="K81" s="560">
        <v>49.72</v>
      </c>
      <c r="L81" s="581">
        <v>0</v>
      </c>
      <c r="M81" s="582">
        <v>0</v>
      </c>
      <c r="N81" s="560">
        <v>0</v>
      </c>
      <c r="O81" s="560">
        <v>0.10325891140246149</v>
      </c>
      <c r="P81" s="579">
        <v>27.587624880558899</v>
      </c>
      <c r="Q81" s="586" t="s">
        <v>1961</v>
      </c>
    </row>
    <row r="82" spans="1:17">
      <c r="A82" s="559">
        <v>46043</v>
      </c>
      <c r="B82" s="573" t="s">
        <v>2249</v>
      </c>
      <c r="C82" s="573" t="s">
        <v>2249</v>
      </c>
      <c r="D82" s="560" t="s">
        <v>1960</v>
      </c>
      <c r="E82" s="561">
        <v>46101</v>
      </c>
      <c r="F82" s="560" t="s">
        <v>1939</v>
      </c>
      <c r="G82" s="560" t="s">
        <v>194</v>
      </c>
      <c r="H82" s="560" t="s">
        <v>2250</v>
      </c>
      <c r="I82" s="560" t="s">
        <v>1935</v>
      </c>
      <c r="J82" s="580">
        <v>0.82</v>
      </c>
      <c r="K82" s="560">
        <v>0</v>
      </c>
      <c r="L82" s="581">
        <v>0</v>
      </c>
      <c r="M82" s="582">
        <v>0</v>
      </c>
      <c r="N82" s="560">
        <v>0</v>
      </c>
      <c r="O82" s="560">
        <v>2.2647861563624593E-2</v>
      </c>
      <c r="P82" s="579">
        <v>27.67461098902</v>
      </c>
      <c r="Q82" s="586" t="s">
        <v>1961</v>
      </c>
    </row>
    <row r="83" spans="1:17">
      <c r="A83" s="559">
        <v>46043</v>
      </c>
      <c r="B83" s="573" t="s">
        <v>2251</v>
      </c>
      <c r="C83" s="573" t="s">
        <v>2251</v>
      </c>
      <c r="D83" s="560" t="s">
        <v>1960</v>
      </c>
      <c r="E83" s="561">
        <v>46101</v>
      </c>
      <c r="F83" s="560" t="s">
        <v>1934</v>
      </c>
      <c r="G83" s="560" t="s">
        <v>194</v>
      </c>
      <c r="H83" s="560" t="s">
        <v>2252</v>
      </c>
      <c r="I83" s="560" t="s">
        <v>1935</v>
      </c>
      <c r="J83" s="580">
        <v>0.87</v>
      </c>
      <c r="K83" s="560">
        <v>20.439999999999998</v>
      </c>
      <c r="L83" s="581">
        <v>0</v>
      </c>
      <c r="M83" s="582">
        <v>0</v>
      </c>
      <c r="N83" s="560">
        <v>0</v>
      </c>
      <c r="O83" s="560">
        <v>0.14556112522469877</v>
      </c>
      <c r="P83" s="579">
        <v>31.784018941435303</v>
      </c>
      <c r="Q83" s="586" t="s">
        <v>1961</v>
      </c>
    </row>
    <row r="84" spans="1:17">
      <c r="A84" s="559">
        <v>46043</v>
      </c>
      <c r="B84" s="573" t="s">
        <v>2253</v>
      </c>
      <c r="C84" s="573" t="s">
        <v>2253</v>
      </c>
      <c r="D84" s="560" t="s">
        <v>1960</v>
      </c>
      <c r="E84" s="561">
        <v>46101</v>
      </c>
      <c r="F84" s="560" t="s">
        <v>1934</v>
      </c>
      <c r="G84" s="560" t="s">
        <v>194</v>
      </c>
      <c r="H84" s="560" t="s">
        <v>2254</v>
      </c>
      <c r="I84" s="560" t="s">
        <v>1935</v>
      </c>
      <c r="J84" s="580">
        <v>1.26</v>
      </c>
      <c r="K84" s="560">
        <v>22.049999999999997</v>
      </c>
      <c r="L84" s="581">
        <v>0</v>
      </c>
      <c r="M84" s="582">
        <v>0</v>
      </c>
      <c r="N84" s="560">
        <v>0</v>
      </c>
      <c r="O84" s="560">
        <v>0.34207224083654936</v>
      </c>
      <c r="P84" s="579">
        <v>29.559620573995502</v>
      </c>
      <c r="Q84" s="586" t="s">
        <v>1961</v>
      </c>
    </row>
    <row r="85" spans="1:17">
      <c r="A85" s="559">
        <v>46043</v>
      </c>
      <c r="B85" s="573" t="s">
        <v>2255</v>
      </c>
      <c r="C85" s="573" t="s">
        <v>2255</v>
      </c>
      <c r="D85" s="560" t="s">
        <v>2256</v>
      </c>
      <c r="E85" s="561">
        <v>46073</v>
      </c>
      <c r="F85" s="560" t="s">
        <v>1939</v>
      </c>
      <c r="G85" s="560" t="s">
        <v>194</v>
      </c>
      <c r="H85" s="560" t="s">
        <v>2257</v>
      </c>
      <c r="I85" s="560" t="s">
        <v>1935</v>
      </c>
      <c r="J85" s="580">
        <v>8.0399999999999991</v>
      </c>
      <c r="K85" s="560">
        <v>0</v>
      </c>
      <c r="L85" s="581">
        <v>0</v>
      </c>
      <c r="M85" s="582">
        <v>0</v>
      </c>
      <c r="N85" s="560">
        <v>0</v>
      </c>
      <c r="O85" s="560">
        <v>1.4727607810799017</v>
      </c>
      <c r="P85" s="579">
        <v>29.265483796874804</v>
      </c>
      <c r="Q85" s="586" t="s">
        <v>1961</v>
      </c>
    </row>
    <row r="86" spans="1:17">
      <c r="A86" s="559">
        <v>46043</v>
      </c>
      <c r="B86" s="573" t="s">
        <v>2258</v>
      </c>
      <c r="C86" s="573" t="s">
        <v>2258</v>
      </c>
      <c r="D86" s="560" t="s">
        <v>2256</v>
      </c>
      <c r="E86" s="561">
        <v>46073</v>
      </c>
      <c r="F86" s="560" t="s">
        <v>1939</v>
      </c>
      <c r="G86" s="560" t="s">
        <v>194</v>
      </c>
      <c r="H86" s="560" t="s">
        <v>2259</v>
      </c>
      <c r="I86" s="560" t="s">
        <v>1935</v>
      </c>
      <c r="J86" s="580">
        <v>4.05</v>
      </c>
      <c r="K86" s="560">
        <v>0</v>
      </c>
      <c r="L86" s="581">
        <v>0</v>
      </c>
      <c r="M86" s="582">
        <v>0</v>
      </c>
      <c r="N86" s="560">
        <v>0</v>
      </c>
      <c r="O86" s="560">
        <v>0.73502357936001228</v>
      </c>
      <c r="P86" s="579">
        <v>27.082992193174498</v>
      </c>
      <c r="Q86" s="586" t="s">
        <v>1961</v>
      </c>
    </row>
    <row r="87" spans="1:17">
      <c r="A87" s="559">
        <v>46043</v>
      </c>
      <c r="B87" s="584" t="s">
        <v>2274</v>
      </c>
      <c r="C87" s="584" t="s">
        <v>2274</v>
      </c>
      <c r="D87" s="560" t="s">
        <v>1962</v>
      </c>
      <c r="E87" s="561">
        <v>46073</v>
      </c>
      <c r="F87" s="560" t="s">
        <v>1939</v>
      </c>
      <c r="G87" s="560" t="s">
        <v>194</v>
      </c>
      <c r="H87" s="560" t="s">
        <v>2275</v>
      </c>
      <c r="I87" s="560" t="s">
        <v>1935</v>
      </c>
      <c r="J87" s="580">
        <v>0.24</v>
      </c>
      <c r="K87" s="560">
        <v>0</v>
      </c>
      <c r="L87" s="581">
        <v>0</v>
      </c>
      <c r="M87" s="582">
        <v>0</v>
      </c>
      <c r="N87" s="560">
        <v>0</v>
      </c>
      <c r="O87" s="560">
        <v>4.9360289824501989E-2</v>
      </c>
      <c r="P87" s="579">
        <v>29.819095252798597</v>
      </c>
      <c r="Q87" s="586" t="s">
        <v>1961</v>
      </c>
    </row>
    <row r="88" spans="1:17">
      <c r="A88" s="559">
        <v>46043</v>
      </c>
      <c r="B88" s="584" t="s">
        <v>2276</v>
      </c>
      <c r="C88" s="584" t="s">
        <v>2276</v>
      </c>
      <c r="D88" s="560" t="s">
        <v>2023</v>
      </c>
      <c r="E88" s="561">
        <v>46071</v>
      </c>
      <c r="F88" s="560" t="s">
        <v>1934</v>
      </c>
      <c r="G88" s="560" t="s">
        <v>194</v>
      </c>
      <c r="H88" s="560" t="s">
        <v>2277</v>
      </c>
      <c r="I88" s="560" t="s">
        <v>1935</v>
      </c>
      <c r="J88" s="580">
        <v>320</v>
      </c>
      <c r="K88" s="560">
        <v>160680</v>
      </c>
      <c r="L88" s="581">
        <v>0</v>
      </c>
      <c r="M88" s="582">
        <v>0</v>
      </c>
      <c r="N88" s="560">
        <v>0</v>
      </c>
      <c r="O88" s="560">
        <v>48.597918541014565</v>
      </c>
      <c r="P88" s="579">
        <v>19.042559221115301</v>
      </c>
      <c r="Q88" s="586" t="s">
        <v>1961</v>
      </c>
    </row>
    <row r="89" spans="1:17">
      <c r="A89" s="559">
        <v>46043</v>
      </c>
      <c r="B89" s="584" t="s">
        <v>2278</v>
      </c>
      <c r="C89" s="584" t="s">
        <v>2278</v>
      </c>
      <c r="D89" s="560" t="s">
        <v>2112</v>
      </c>
      <c r="E89" s="561">
        <v>46073</v>
      </c>
      <c r="F89" s="560" t="s">
        <v>1934</v>
      </c>
      <c r="G89" s="560" t="s">
        <v>194</v>
      </c>
      <c r="H89" s="560" t="s">
        <v>2279</v>
      </c>
      <c r="I89" s="560" t="s">
        <v>1935</v>
      </c>
      <c r="J89" s="580">
        <v>0.48</v>
      </c>
      <c r="K89" s="560">
        <v>107.52</v>
      </c>
      <c r="L89" s="581">
        <v>0</v>
      </c>
      <c r="M89" s="582">
        <v>0</v>
      </c>
      <c r="N89" s="560">
        <v>0</v>
      </c>
      <c r="O89" s="560">
        <v>8.2711072566577365E-2</v>
      </c>
      <c r="P89" s="579">
        <v>26.985176085852</v>
      </c>
      <c r="Q89" s="586" t="s">
        <v>1961</v>
      </c>
    </row>
    <row r="90" spans="1:17">
      <c r="A90" s="559">
        <v>46043</v>
      </c>
      <c r="B90" s="584" t="s">
        <v>2280</v>
      </c>
      <c r="C90" s="584" t="s">
        <v>2280</v>
      </c>
      <c r="D90" s="560" t="s">
        <v>2112</v>
      </c>
      <c r="E90" s="561">
        <v>46073</v>
      </c>
      <c r="F90" s="560" t="s">
        <v>1934</v>
      </c>
      <c r="G90" s="560" t="s">
        <v>194</v>
      </c>
      <c r="H90" s="560" t="s">
        <v>2281</v>
      </c>
      <c r="I90" s="560" t="s">
        <v>1935</v>
      </c>
      <c r="J90" s="580">
        <v>1.1399999999999999</v>
      </c>
      <c r="K90" s="560">
        <v>111.86</v>
      </c>
      <c r="L90" s="581">
        <v>0</v>
      </c>
      <c r="M90" s="582">
        <v>0</v>
      </c>
      <c r="N90" s="560">
        <v>0</v>
      </c>
      <c r="O90" s="560">
        <v>0.20213148108539297</v>
      </c>
      <c r="P90" s="579">
        <v>24.1399052188439</v>
      </c>
      <c r="Q90" s="586" t="s">
        <v>1961</v>
      </c>
    </row>
    <row r="91" spans="1:17">
      <c r="A91" s="559">
        <v>46043</v>
      </c>
      <c r="B91" s="573" t="s">
        <v>2305</v>
      </c>
      <c r="C91" s="573" t="s">
        <v>2305</v>
      </c>
      <c r="D91" s="560" t="s">
        <v>2112</v>
      </c>
      <c r="E91" s="561">
        <v>46073</v>
      </c>
      <c r="F91" s="560" t="s">
        <v>1934</v>
      </c>
      <c r="G91" s="560" t="s">
        <v>194</v>
      </c>
      <c r="H91" s="560" t="s">
        <v>2306</v>
      </c>
      <c r="I91" s="560" t="s">
        <v>1935</v>
      </c>
      <c r="J91" s="580">
        <v>1.3</v>
      </c>
      <c r="K91" s="560">
        <v>112.7</v>
      </c>
      <c r="L91" s="581">
        <v>0</v>
      </c>
      <c r="M91" s="582">
        <v>0</v>
      </c>
      <c r="N91" s="560">
        <v>0</v>
      </c>
      <c r="O91" s="560">
        <v>0.24278941872717649</v>
      </c>
      <c r="P91" s="579">
        <v>23.694589287689499</v>
      </c>
      <c r="Q91" s="586" t="s">
        <v>1961</v>
      </c>
    </row>
    <row r="92" spans="1:17">
      <c r="A92" s="559">
        <v>46043</v>
      </c>
      <c r="B92" s="573" t="s">
        <v>2307</v>
      </c>
      <c r="C92" s="573" t="s">
        <v>2307</v>
      </c>
      <c r="D92" s="560" t="s">
        <v>2308</v>
      </c>
      <c r="E92" s="561">
        <v>46073</v>
      </c>
      <c r="F92" s="560" t="s">
        <v>1939</v>
      </c>
      <c r="G92" s="560" t="s">
        <v>194</v>
      </c>
      <c r="H92" s="560" t="s">
        <v>2309</v>
      </c>
      <c r="I92" s="560" t="s">
        <v>1935</v>
      </c>
      <c r="J92" s="580">
        <v>0.54</v>
      </c>
      <c r="K92" s="560">
        <v>0</v>
      </c>
      <c r="L92" s="581">
        <v>0</v>
      </c>
      <c r="M92" s="582">
        <v>0</v>
      </c>
      <c r="N92" s="560">
        <v>0</v>
      </c>
      <c r="O92" s="560">
        <v>6.8328142200336173E-2</v>
      </c>
      <c r="P92" s="579">
        <v>30.762296410461602</v>
      </c>
      <c r="Q92" s="586" t="s">
        <v>1961</v>
      </c>
    </row>
    <row r="93" spans="1:17">
      <c r="A93" s="559">
        <v>46043</v>
      </c>
      <c r="B93" s="573" t="s">
        <v>2310</v>
      </c>
      <c r="C93" s="573" t="s">
        <v>2310</v>
      </c>
      <c r="D93" s="560" t="s">
        <v>2308</v>
      </c>
      <c r="E93" s="561">
        <v>46073</v>
      </c>
      <c r="F93" s="560" t="s">
        <v>1934</v>
      </c>
      <c r="G93" s="560" t="s">
        <v>194</v>
      </c>
      <c r="H93" s="560" t="s">
        <v>2311</v>
      </c>
      <c r="I93" s="560" t="s">
        <v>1935</v>
      </c>
      <c r="J93" s="580">
        <v>0.6</v>
      </c>
      <c r="K93" s="560">
        <v>25.29</v>
      </c>
      <c r="L93" s="581">
        <v>0</v>
      </c>
      <c r="M93" s="582">
        <v>0</v>
      </c>
      <c r="N93" s="560">
        <v>0</v>
      </c>
      <c r="O93" s="560">
        <v>5.0662734449762561E-2</v>
      </c>
      <c r="P93" s="579">
        <v>36.030588215184302</v>
      </c>
      <c r="Q93" s="586" t="s">
        <v>1961</v>
      </c>
    </row>
    <row r="94" spans="1:17">
      <c r="A94" s="559">
        <v>46043</v>
      </c>
      <c r="B94" s="573" t="s">
        <v>2312</v>
      </c>
      <c r="C94" s="573" t="s">
        <v>2312</v>
      </c>
      <c r="D94" s="560" t="s">
        <v>2308</v>
      </c>
      <c r="E94" s="561">
        <v>46073</v>
      </c>
      <c r="F94" s="560" t="s">
        <v>1934</v>
      </c>
      <c r="G94" s="560" t="s">
        <v>194</v>
      </c>
      <c r="H94" s="560" t="s">
        <v>2313</v>
      </c>
      <c r="I94" s="560" t="s">
        <v>1935</v>
      </c>
      <c r="J94" s="580">
        <v>1.1100000000000001</v>
      </c>
      <c r="K94" s="560">
        <v>27.03</v>
      </c>
      <c r="L94" s="581">
        <v>0</v>
      </c>
      <c r="M94" s="582">
        <v>0</v>
      </c>
      <c r="N94" s="560">
        <v>0</v>
      </c>
      <c r="O94" s="560">
        <v>0.1735559865843504</v>
      </c>
      <c r="P94" s="579">
        <v>33.148545081841796</v>
      </c>
      <c r="Q94" s="586" t="s">
        <v>1961</v>
      </c>
    </row>
    <row r="95" spans="1:17">
      <c r="A95" s="559">
        <v>46043</v>
      </c>
      <c r="B95" s="584" t="s">
        <v>2327</v>
      </c>
      <c r="C95" s="584" t="s">
        <v>2327</v>
      </c>
      <c r="D95" s="560" t="s">
        <v>2023</v>
      </c>
      <c r="E95" s="561">
        <v>46071</v>
      </c>
      <c r="F95" s="560" t="s">
        <v>1934</v>
      </c>
      <c r="G95" s="560" t="s">
        <v>194</v>
      </c>
      <c r="H95" s="560" t="s">
        <v>2350</v>
      </c>
      <c r="I95" s="560" t="s">
        <v>1935</v>
      </c>
      <c r="J95" s="580">
        <v>490</v>
      </c>
      <c r="K95" s="560">
        <v>162510</v>
      </c>
      <c r="L95" s="581">
        <v>0</v>
      </c>
      <c r="M95" s="582">
        <v>0</v>
      </c>
      <c r="N95" s="560">
        <v>0</v>
      </c>
      <c r="O95" s="560">
        <v>74.391490240754607</v>
      </c>
      <c r="P95" s="579">
        <v>18.488924591926398</v>
      </c>
      <c r="Q95" s="586" t="s">
        <v>1961</v>
      </c>
    </row>
    <row r="96" spans="1:17">
      <c r="A96" s="443">
        <v>46037</v>
      </c>
      <c r="B96" s="449" t="s">
        <v>2114</v>
      </c>
      <c r="C96" s="445" t="s">
        <v>2114</v>
      </c>
      <c r="D96" s="446" t="s">
        <v>2113</v>
      </c>
      <c r="E96" s="447">
        <v>46038</v>
      </c>
      <c r="F96" s="446" t="s">
        <v>1934</v>
      </c>
      <c r="G96" s="446" t="s">
        <v>194</v>
      </c>
      <c r="H96" s="446" t="s">
        <v>2221</v>
      </c>
      <c r="I96" s="446" t="s">
        <v>1935</v>
      </c>
      <c r="J96" s="450">
        <v>0.01</v>
      </c>
      <c r="K96" s="446">
        <v>12.74</v>
      </c>
      <c r="L96" s="451">
        <v>0</v>
      </c>
      <c r="M96" s="452">
        <v>0</v>
      </c>
      <c r="N96" s="446">
        <v>0</v>
      </c>
      <c r="O96" s="446">
        <v>1.5358484608964192E-5</v>
      </c>
      <c r="P96" s="449">
        <v>27.062496671144199</v>
      </c>
      <c r="Q96" s="448" t="s">
        <v>1961</v>
      </c>
    </row>
    <row r="97" spans="1:17">
      <c r="A97" s="443">
        <v>46037</v>
      </c>
      <c r="B97" s="449" t="s">
        <v>2131</v>
      </c>
      <c r="C97" s="445" t="s">
        <v>2131</v>
      </c>
      <c r="D97" s="446" t="s">
        <v>2132</v>
      </c>
      <c r="E97" s="447">
        <v>46073</v>
      </c>
      <c r="F97" s="446" t="s">
        <v>1939</v>
      </c>
      <c r="G97" s="446" t="s">
        <v>194</v>
      </c>
      <c r="H97" s="446" t="s">
        <v>2222</v>
      </c>
      <c r="I97" s="446" t="s">
        <v>1935</v>
      </c>
      <c r="J97" s="450">
        <v>1.32</v>
      </c>
      <c r="K97" s="446">
        <v>0</v>
      </c>
      <c r="L97" s="451">
        <v>0</v>
      </c>
      <c r="M97" s="452">
        <v>0</v>
      </c>
      <c r="N97" s="446">
        <v>0</v>
      </c>
      <c r="O97" s="446">
        <v>0.24868964742811109</v>
      </c>
      <c r="P97" s="449">
        <v>28.270244252576099</v>
      </c>
      <c r="Q97" s="448" t="s">
        <v>1961</v>
      </c>
    </row>
    <row r="98" spans="1:17">
      <c r="A98" s="443">
        <v>46037</v>
      </c>
      <c r="B98" s="449" t="s">
        <v>2133</v>
      </c>
      <c r="C98" s="445" t="s">
        <v>2133</v>
      </c>
      <c r="D98" s="446" t="s">
        <v>2132</v>
      </c>
      <c r="E98" s="447">
        <v>46073</v>
      </c>
      <c r="F98" s="446" t="s">
        <v>1934</v>
      </c>
      <c r="G98" s="446" t="s">
        <v>194</v>
      </c>
      <c r="H98" s="446" t="s">
        <v>2223</v>
      </c>
      <c r="I98" s="446" t="s">
        <v>1935</v>
      </c>
      <c r="J98" s="450">
        <v>0.16</v>
      </c>
      <c r="K98" s="446">
        <v>47.660000000000004</v>
      </c>
      <c r="L98" s="451">
        <v>0</v>
      </c>
      <c r="M98" s="452">
        <v>0</v>
      </c>
      <c r="N98" s="446">
        <v>0</v>
      </c>
      <c r="O98" s="446">
        <v>3.0793512691715288E-2</v>
      </c>
      <c r="P98" s="449">
        <v>34.391304361136797</v>
      </c>
      <c r="Q98" s="448" t="s">
        <v>1961</v>
      </c>
    </row>
    <row r="99" spans="1:17">
      <c r="A99" s="443">
        <v>46037</v>
      </c>
      <c r="B99" s="449" t="s">
        <v>2134</v>
      </c>
      <c r="C99" s="445" t="s">
        <v>2134</v>
      </c>
      <c r="D99" s="446" t="s">
        <v>2132</v>
      </c>
      <c r="E99" s="447">
        <v>46073</v>
      </c>
      <c r="F99" s="446" t="s">
        <v>1934</v>
      </c>
      <c r="G99" s="446" t="s">
        <v>194</v>
      </c>
      <c r="H99" s="446" t="s">
        <v>2224</v>
      </c>
      <c r="I99" s="446" t="s">
        <v>1935</v>
      </c>
      <c r="J99" s="450">
        <v>0.61</v>
      </c>
      <c r="K99" s="446">
        <v>51.21</v>
      </c>
      <c r="L99" s="451">
        <v>0</v>
      </c>
      <c r="M99" s="452">
        <v>0</v>
      </c>
      <c r="N99" s="446">
        <v>0</v>
      </c>
      <c r="O99" s="446">
        <v>0.11511544233329239</v>
      </c>
      <c r="P99" s="449">
        <v>31.199763613054202</v>
      </c>
      <c r="Q99" s="448" t="s">
        <v>1961</v>
      </c>
    </row>
    <row r="100" spans="1:17">
      <c r="A100" s="443">
        <v>46037</v>
      </c>
      <c r="B100" s="449" t="s">
        <v>2140</v>
      </c>
      <c r="C100" s="445" t="s">
        <v>2140</v>
      </c>
      <c r="D100" s="446" t="s">
        <v>2095</v>
      </c>
      <c r="E100" s="447">
        <v>46073</v>
      </c>
      <c r="F100" s="446" t="s">
        <v>1934</v>
      </c>
      <c r="G100" s="446" t="s">
        <v>194</v>
      </c>
      <c r="H100" s="446" t="s">
        <v>2225</v>
      </c>
      <c r="I100" s="446" t="s">
        <v>1935</v>
      </c>
      <c r="J100" s="450">
        <v>0.1</v>
      </c>
      <c r="K100" s="446">
        <v>42.9</v>
      </c>
      <c r="L100" s="451">
        <v>0</v>
      </c>
      <c r="M100" s="452">
        <v>0</v>
      </c>
      <c r="N100" s="446">
        <v>0</v>
      </c>
      <c r="O100" s="446">
        <v>7.4051583074918742E-3</v>
      </c>
      <c r="P100" s="449">
        <v>31.237672358727103</v>
      </c>
      <c r="Q100" s="448" t="s">
        <v>1961</v>
      </c>
    </row>
    <row r="101" spans="1:17">
      <c r="A101" s="443">
        <v>46037</v>
      </c>
      <c r="B101" s="449" t="s">
        <v>2141</v>
      </c>
      <c r="C101" s="445" t="s">
        <v>2141</v>
      </c>
      <c r="D101" s="446" t="s">
        <v>2095</v>
      </c>
      <c r="E101" s="447">
        <v>46073</v>
      </c>
      <c r="F101" s="446" t="s">
        <v>1934</v>
      </c>
      <c r="G101" s="446" t="s">
        <v>194</v>
      </c>
      <c r="H101" s="446" t="s">
        <v>2226</v>
      </c>
      <c r="I101" s="446" t="s">
        <v>1935</v>
      </c>
      <c r="J101" s="450">
        <v>0.43</v>
      </c>
      <c r="K101" s="446">
        <v>47.57</v>
      </c>
      <c r="L101" s="451">
        <v>0</v>
      </c>
      <c r="M101" s="452">
        <v>0</v>
      </c>
      <c r="N101" s="446">
        <v>0</v>
      </c>
      <c r="O101" s="446">
        <v>7.5143212557524638E-2</v>
      </c>
      <c r="P101" s="449">
        <v>28.176290884327901</v>
      </c>
      <c r="Q101" s="448" t="s">
        <v>1961</v>
      </c>
    </row>
    <row r="102" spans="1:17">
      <c r="A102" s="443">
        <v>46037</v>
      </c>
      <c r="B102" s="449" t="s">
        <v>2142</v>
      </c>
      <c r="C102" s="445" t="s">
        <v>2142</v>
      </c>
      <c r="D102" s="446" t="s">
        <v>2143</v>
      </c>
      <c r="E102" s="447">
        <v>46038</v>
      </c>
      <c r="F102" s="446" t="s">
        <v>1939</v>
      </c>
      <c r="G102" s="446" t="s">
        <v>194</v>
      </c>
      <c r="H102" s="446" t="s">
        <v>2227</v>
      </c>
      <c r="I102" s="446" t="s">
        <v>1935</v>
      </c>
      <c r="J102" s="450">
        <v>0.13</v>
      </c>
      <c r="K102" s="446">
        <v>0</v>
      </c>
      <c r="L102" s="451">
        <v>0</v>
      </c>
      <c r="M102" s="452">
        <v>0</v>
      </c>
      <c r="N102" s="446">
        <v>0</v>
      </c>
      <c r="O102" s="446">
        <v>3.4774353672907765E-4</v>
      </c>
      <c r="P102" s="449">
        <v>37.811672459656997</v>
      </c>
      <c r="Q102" s="448" t="s">
        <v>1961</v>
      </c>
    </row>
    <row r="103" spans="1:17">
      <c r="A103" s="443">
        <v>46037</v>
      </c>
      <c r="B103" s="449" t="s">
        <v>2144</v>
      </c>
      <c r="C103" s="445" t="s">
        <v>2144</v>
      </c>
      <c r="D103" s="446" t="s">
        <v>2143</v>
      </c>
      <c r="E103" s="447">
        <v>46038</v>
      </c>
      <c r="F103" s="446" t="s">
        <v>1934</v>
      </c>
      <c r="G103" s="446" t="s">
        <v>194</v>
      </c>
      <c r="H103" s="446" t="s">
        <v>2228</v>
      </c>
      <c r="I103" s="446" t="s">
        <v>1935</v>
      </c>
      <c r="J103" s="450">
        <v>0.13</v>
      </c>
      <c r="K103" s="446">
        <v>40.669999999999995</v>
      </c>
      <c r="L103" s="451">
        <v>0</v>
      </c>
      <c r="M103" s="452">
        <v>0</v>
      </c>
      <c r="N103" s="446">
        <v>0</v>
      </c>
      <c r="O103" s="446">
        <v>2.5149712726436719E-3</v>
      </c>
      <c r="P103" s="449">
        <v>53.550429931022002</v>
      </c>
      <c r="Q103" s="448" t="s">
        <v>1961</v>
      </c>
    </row>
    <row r="104" spans="1:17">
      <c r="A104" s="443">
        <v>46037</v>
      </c>
      <c r="B104" s="449" t="s">
        <v>2145</v>
      </c>
      <c r="C104" s="445" t="s">
        <v>2145</v>
      </c>
      <c r="D104" s="446" t="s">
        <v>2143</v>
      </c>
      <c r="E104" s="447">
        <v>46038</v>
      </c>
      <c r="F104" s="446" t="s">
        <v>1934</v>
      </c>
      <c r="G104" s="446" t="s">
        <v>194</v>
      </c>
      <c r="H104" s="446" t="s">
        <v>2229</v>
      </c>
      <c r="I104" s="446" t="s">
        <v>1935</v>
      </c>
      <c r="J104" s="450">
        <v>0.31</v>
      </c>
      <c r="K104" s="446">
        <v>42.989999999999995</v>
      </c>
      <c r="L104" s="451">
        <v>0</v>
      </c>
      <c r="M104" s="452">
        <v>0</v>
      </c>
      <c r="N104" s="446">
        <v>0</v>
      </c>
      <c r="O104" s="446">
        <v>7.0249955346769796E-2</v>
      </c>
      <c r="P104" s="449">
        <v>46.457230110763902</v>
      </c>
      <c r="Q104" s="448" t="s">
        <v>1961</v>
      </c>
    </row>
    <row r="105" spans="1:17">
      <c r="A105" s="443">
        <v>46037</v>
      </c>
      <c r="B105" s="444" t="s">
        <v>2150</v>
      </c>
      <c r="C105" s="444" t="s">
        <v>2150</v>
      </c>
      <c r="D105" s="446" t="s">
        <v>2038</v>
      </c>
      <c r="E105" s="447">
        <v>46038</v>
      </c>
      <c r="F105" s="446" t="s">
        <v>1939</v>
      </c>
      <c r="G105" s="446" t="s">
        <v>194</v>
      </c>
      <c r="H105" s="446" t="s">
        <v>2230</v>
      </c>
      <c r="I105" s="446" t="s">
        <v>1935</v>
      </c>
      <c r="J105" s="450">
        <v>1.45</v>
      </c>
      <c r="K105" s="446">
        <v>0</v>
      </c>
      <c r="L105" s="451">
        <v>0</v>
      </c>
      <c r="M105" s="452">
        <v>0</v>
      </c>
      <c r="N105" s="446">
        <v>0</v>
      </c>
      <c r="O105" s="446">
        <v>0.26690657931581063</v>
      </c>
      <c r="P105" s="449">
        <v>70.545545020091808</v>
      </c>
      <c r="Q105" s="448" t="s">
        <v>1961</v>
      </c>
    </row>
    <row r="106" spans="1:17">
      <c r="A106" s="443">
        <v>46037</v>
      </c>
      <c r="B106" s="444" t="s">
        <v>2151</v>
      </c>
      <c r="C106" s="444" t="s">
        <v>2151</v>
      </c>
      <c r="D106" s="446" t="s">
        <v>2038</v>
      </c>
      <c r="E106" s="447">
        <v>46038</v>
      </c>
      <c r="F106" s="446" t="s">
        <v>1939</v>
      </c>
      <c r="G106" s="446" t="s">
        <v>194</v>
      </c>
      <c r="H106" s="446" t="s">
        <v>2231</v>
      </c>
      <c r="I106" s="446" t="s">
        <v>1935</v>
      </c>
      <c r="J106" s="450">
        <v>0.9</v>
      </c>
      <c r="K106" s="446">
        <v>0</v>
      </c>
      <c r="L106" s="451">
        <v>0</v>
      </c>
      <c r="M106" s="452">
        <v>0</v>
      </c>
      <c r="N106" s="446">
        <v>0</v>
      </c>
      <c r="O106" s="446">
        <v>0.17439425036411249</v>
      </c>
      <c r="P106" s="449">
        <v>55.061194240258402</v>
      </c>
      <c r="Q106" s="448" t="s">
        <v>1961</v>
      </c>
    </row>
    <row r="107" spans="1:17">
      <c r="A107" s="443">
        <v>46037</v>
      </c>
      <c r="B107" s="444" t="s">
        <v>2152</v>
      </c>
      <c r="C107" s="444" t="s">
        <v>2152</v>
      </c>
      <c r="D107" s="446" t="s">
        <v>2153</v>
      </c>
      <c r="E107" s="447">
        <v>46073</v>
      </c>
      <c r="F107" s="446" t="s">
        <v>1934</v>
      </c>
      <c r="G107" s="446" t="s">
        <v>194</v>
      </c>
      <c r="H107" s="446" t="s">
        <v>2232</v>
      </c>
      <c r="I107" s="446" t="s">
        <v>1935</v>
      </c>
      <c r="J107" s="450">
        <v>0.57999999999999996</v>
      </c>
      <c r="K107" s="446">
        <v>49.800000000000004</v>
      </c>
      <c r="L107" s="451">
        <v>0</v>
      </c>
      <c r="M107" s="452">
        <v>0</v>
      </c>
      <c r="N107" s="446">
        <v>0</v>
      </c>
      <c r="O107" s="446">
        <v>0.10822727075425986</v>
      </c>
      <c r="P107" s="449">
        <v>24.731739173700898</v>
      </c>
      <c r="Q107" s="448" t="s">
        <v>1961</v>
      </c>
    </row>
    <row r="108" spans="1:17">
      <c r="A108" s="443">
        <v>46037</v>
      </c>
      <c r="B108" s="444" t="s">
        <v>2157</v>
      </c>
      <c r="C108" s="444" t="s">
        <v>2157</v>
      </c>
      <c r="D108" s="446" t="s">
        <v>2038</v>
      </c>
      <c r="E108" s="447">
        <v>46038</v>
      </c>
      <c r="F108" s="446" t="s">
        <v>1939</v>
      </c>
      <c r="G108" s="446" t="s">
        <v>194</v>
      </c>
      <c r="H108" s="446" t="s">
        <v>2233</v>
      </c>
      <c r="I108" s="446" t="s">
        <v>1935</v>
      </c>
      <c r="J108" s="450">
        <v>0.68</v>
      </c>
      <c r="K108" s="446">
        <v>0</v>
      </c>
      <c r="L108" s="451">
        <v>0</v>
      </c>
      <c r="M108" s="452">
        <v>0</v>
      </c>
      <c r="N108" s="446">
        <v>0</v>
      </c>
      <c r="O108" s="446">
        <v>0.12841254991425519</v>
      </c>
      <c r="P108" s="449">
        <v>45.964945535557199</v>
      </c>
      <c r="Q108" s="448" t="s">
        <v>1961</v>
      </c>
    </row>
    <row r="109" spans="1:17">
      <c r="A109" s="443">
        <v>46037</v>
      </c>
      <c r="B109" s="444" t="s">
        <v>2158</v>
      </c>
      <c r="C109" s="444" t="s">
        <v>2158</v>
      </c>
      <c r="D109" s="446" t="s">
        <v>2038</v>
      </c>
      <c r="E109" s="447">
        <v>46038</v>
      </c>
      <c r="F109" s="446" t="s">
        <v>1934</v>
      </c>
      <c r="G109" s="446" t="s">
        <v>194</v>
      </c>
      <c r="H109" s="446" t="s">
        <v>2234</v>
      </c>
      <c r="I109" s="446" t="s">
        <v>1935</v>
      </c>
      <c r="J109" s="450">
        <v>0.01</v>
      </c>
      <c r="K109" s="446">
        <v>13.01</v>
      </c>
      <c r="L109" s="451">
        <v>0</v>
      </c>
      <c r="M109" s="452">
        <v>0</v>
      </c>
      <c r="N109" s="446">
        <v>0</v>
      </c>
      <c r="O109" s="446">
        <v>3.9863231790114013E-5</v>
      </c>
      <c r="P109" s="449">
        <v>89.76166392824139</v>
      </c>
      <c r="Q109" s="448" t="s">
        <v>1961</v>
      </c>
    </row>
    <row r="110" spans="1:17">
      <c r="A110" s="443">
        <v>46037</v>
      </c>
      <c r="B110" s="444" t="s">
        <v>2159</v>
      </c>
      <c r="C110" s="444" t="s">
        <v>2159</v>
      </c>
      <c r="D110" s="446" t="s">
        <v>2038</v>
      </c>
      <c r="E110" s="447">
        <v>46038</v>
      </c>
      <c r="F110" s="446" t="s">
        <v>1934</v>
      </c>
      <c r="G110" s="446" t="s">
        <v>194</v>
      </c>
      <c r="H110" s="446" t="s">
        <v>2235</v>
      </c>
      <c r="I110" s="446" t="s">
        <v>1935</v>
      </c>
      <c r="J110" s="450">
        <v>0.01</v>
      </c>
      <c r="K110" s="446">
        <v>13.76</v>
      </c>
      <c r="L110" s="451">
        <v>0</v>
      </c>
      <c r="M110" s="452">
        <v>0</v>
      </c>
      <c r="N110" s="446">
        <v>0</v>
      </c>
      <c r="O110" s="446">
        <v>3.1298364024433207E-4</v>
      </c>
      <c r="P110" s="449">
        <v>76.62247725346009</v>
      </c>
      <c r="Q110" s="448" t="s">
        <v>1961</v>
      </c>
    </row>
    <row r="111" spans="1:17">
      <c r="A111" s="443">
        <v>46037</v>
      </c>
      <c r="B111" s="444" t="s">
        <v>2160</v>
      </c>
      <c r="C111" s="444" t="s">
        <v>2160</v>
      </c>
      <c r="D111" s="446" t="s">
        <v>2161</v>
      </c>
      <c r="E111" s="447">
        <v>46038</v>
      </c>
      <c r="F111" s="446" t="s">
        <v>1939</v>
      </c>
      <c r="G111" s="446" t="s">
        <v>194</v>
      </c>
      <c r="H111" s="446" t="s">
        <v>2236</v>
      </c>
      <c r="I111" s="446" t="s">
        <v>1935</v>
      </c>
      <c r="J111" s="450">
        <v>0.2</v>
      </c>
      <c r="K111" s="446">
        <v>0</v>
      </c>
      <c r="L111" s="451">
        <v>0</v>
      </c>
      <c r="M111" s="452">
        <v>0</v>
      </c>
      <c r="N111" s="446">
        <v>0</v>
      </c>
      <c r="O111" s="446">
        <v>3.1478252458207165E-2</v>
      </c>
      <c r="P111" s="449">
        <v>24.805842758912899</v>
      </c>
      <c r="Q111" s="448" t="s">
        <v>1961</v>
      </c>
    </row>
    <row r="112" spans="1:17">
      <c r="A112" s="443">
        <v>46037</v>
      </c>
      <c r="B112" s="444" t="s">
        <v>2163</v>
      </c>
      <c r="C112" s="445" t="s">
        <v>2163</v>
      </c>
      <c r="D112" s="446" t="s">
        <v>2161</v>
      </c>
      <c r="E112" s="447">
        <v>46038</v>
      </c>
      <c r="F112" s="446" t="s">
        <v>1939</v>
      </c>
      <c r="G112" s="446" t="s">
        <v>194</v>
      </c>
      <c r="H112" s="446" t="s">
        <v>2237</v>
      </c>
      <c r="I112" s="446" t="s">
        <v>1935</v>
      </c>
      <c r="J112" s="450">
        <v>1.52</v>
      </c>
      <c r="K112" s="446">
        <v>0</v>
      </c>
      <c r="L112" s="451">
        <v>0</v>
      </c>
      <c r="M112" s="452">
        <v>0</v>
      </c>
      <c r="N112" s="446">
        <v>0</v>
      </c>
      <c r="O112" s="446">
        <v>0.27003181270141102</v>
      </c>
      <c r="P112" s="449">
        <v>40.147098907901402</v>
      </c>
      <c r="Q112" s="448" t="s">
        <v>1961</v>
      </c>
    </row>
    <row r="113" spans="1:17">
      <c r="A113" s="443">
        <v>46037</v>
      </c>
      <c r="B113" s="444" t="s">
        <v>2164</v>
      </c>
      <c r="C113" s="444" t="s">
        <v>2164</v>
      </c>
      <c r="D113" s="446" t="s">
        <v>1962</v>
      </c>
      <c r="E113" s="447">
        <v>46073</v>
      </c>
      <c r="F113" s="446" t="s">
        <v>1934</v>
      </c>
      <c r="G113" s="446" t="s">
        <v>194</v>
      </c>
      <c r="H113" s="446" t="s">
        <v>2238</v>
      </c>
      <c r="I113" s="446" t="s">
        <v>1935</v>
      </c>
      <c r="J113" s="450">
        <v>0.02</v>
      </c>
      <c r="K113" s="446">
        <v>11.4</v>
      </c>
      <c r="L113" s="451">
        <v>0</v>
      </c>
      <c r="M113" s="452">
        <v>0</v>
      </c>
      <c r="N113" s="446">
        <v>0</v>
      </c>
      <c r="O113" s="446">
        <v>1.3385267823726934E-3</v>
      </c>
      <c r="P113" s="449">
        <v>31.7039852623904</v>
      </c>
      <c r="Q113" s="448" t="s">
        <v>1961</v>
      </c>
    </row>
    <row r="114" spans="1:17">
      <c r="A114" s="443">
        <v>46037</v>
      </c>
      <c r="B114" s="444" t="s">
        <v>2165</v>
      </c>
      <c r="C114" s="444" t="s">
        <v>2165</v>
      </c>
      <c r="D114" s="446" t="s">
        <v>1962</v>
      </c>
      <c r="E114" s="447">
        <v>46073</v>
      </c>
      <c r="F114" s="446" t="s">
        <v>1934</v>
      </c>
      <c r="G114" s="446" t="s">
        <v>194</v>
      </c>
      <c r="H114" s="446" t="s">
        <v>2239</v>
      </c>
      <c r="I114" s="446" t="s">
        <v>1935</v>
      </c>
      <c r="J114" s="450">
        <v>7.0000000000000007E-2</v>
      </c>
      <c r="K114" s="446">
        <v>12.6</v>
      </c>
      <c r="L114" s="451">
        <v>0</v>
      </c>
      <c r="M114" s="452">
        <v>0</v>
      </c>
      <c r="N114" s="446">
        <v>0</v>
      </c>
      <c r="O114" s="446">
        <v>1.2725029291833891E-2</v>
      </c>
      <c r="P114" s="449">
        <v>28.805607697378299</v>
      </c>
      <c r="Q114" s="448" t="s">
        <v>1961</v>
      </c>
    </row>
    <row r="115" spans="1:17">
      <c r="A115" s="443">
        <v>46037</v>
      </c>
      <c r="B115" s="444" t="s">
        <v>2166</v>
      </c>
      <c r="C115" s="444" t="s">
        <v>2166</v>
      </c>
      <c r="D115" s="446" t="s">
        <v>1962</v>
      </c>
      <c r="E115" s="447">
        <v>46073</v>
      </c>
      <c r="F115" s="446" t="s">
        <v>1934</v>
      </c>
      <c r="G115" s="446" t="s">
        <v>194</v>
      </c>
      <c r="H115" s="446" t="s">
        <v>2240</v>
      </c>
      <c r="I115" s="446" t="s">
        <v>1935</v>
      </c>
      <c r="J115" s="450">
        <v>0.28000000000000003</v>
      </c>
      <c r="K115" s="446">
        <v>13.39</v>
      </c>
      <c r="L115" s="451">
        <v>0</v>
      </c>
      <c r="M115" s="452">
        <v>0</v>
      </c>
      <c r="N115" s="446">
        <v>0</v>
      </c>
      <c r="O115" s="446">
        <v>5.324731892131656E-2</v>
      </c>
      <c r="P115" s="449">
        <v>27.127543330626597</v>
      </c>
      <c r="Q115" s="448" t="s">
        <v>1961</v>
      </c>
    </row>
    <row r="116" spans="1:17">
      <c r="A116" s="443">
        <v>46037</v>
      </c>
      <c r="B116" s="444" t="s">
        <v>2167</v>
      </c>
      <c r="C116" s="444" t="s">
        <v>2167</v>
      </c>
      <c r="D116" s="446" t="s">
        <v>2168</v>
      </c>
      <c r="E116" s="447">
        <v>46073</v>
      </c>
      <c r="F116" s="446" t="s">
        <v>1934</v>
      </c>
      <c r="G116" s="446" t="s">
        <v>194</v>
      </c>
      <c r="H116" s="446" t="s">
        <v>2241</v>
      </c>
      <c r="I116" s="446" t="s">
        <v>1935</v>
      </c>
      <c r="J116" s="450">
        <v>0.12</v>
      </c>
      <c r="K116" s="446">
        <v>11.92</v>
      </c>
      <c r="L116" s="451">
        <v>0</v>
      </c>
      <c r="M116" s="452">
        <v>0</v>
      </c>
      <c r="N116" s="446">
        <v>0</v>
      </c>
      <c r="O116" s="446">
        <v>2.2081877640040659E-2</v>
      </c>
      <c r="P116" s="449">
        <v>39.7571832582925</v>
      </c>
      <c r="Q116" s="448" t="s">
        <v>1961</v>
      </c>
    </row>
    <row r="117" spans="1:17">
      <c r="A117" s="443">
        <v>46037</v>
      </c>
      <c r="B117" s="444" t="s">
        <v>2169</v>
      </c>
      <c r="C117" s="444" t="s">
        <v>2169</v>
      </c>
      <c r="D117" s="446" t="s">
        <v>2168</v>
      </c>
      <c r="E117" s="447">
        <v>46073</v>
      </c>
      <c r="F117" s="446" t="s">
        <v>1934</v>
      </c>
      <c r="G117" s="446" t="s">
        <v>194</v>
      </c>
      <c r="H117" s="446" t="s">
        <v>2242</v>
      </c>
      <c r="I117" s="446" t="s">
        <v>1935</v>
      </c>
      <c r="J117" s="450">
        <v>0.34</v>
      </c>
      <c r="K117" s="446">
        <v>12.7</v>
      </c>
      <c r="L117" s="451">
        <v>0</v>
      </c>
      <c r="M117" s="452">
        <v>0</v>
      </c>
      <c r="N117" s="446">
        <v>0</v>
      </c>
      <c r="O117" s="446">
        <v>6.2729016623614048E-2</v>
      </c>
      <c r="P117" s="449">
        <v>37.173633268891699</v>
      </c>
      <c r="Q117" s="448" t="s">
        <v>1961</v>
      </c>
    </row>
    <row r="118" spans="1:17">
      <c r="A118" s="443">
        <v>46037</v>
      </c>
      <c r="B118" s="445" t="s">
        <v>2243</v>
      </c>
      <c r="C118" s="445" t="s">
        <v>2243</v>
      </c>
      <c r="D118" s="446" t="s">
        <v>2095</v>
      </c>
      <c r="E118" s="447">
        <v>46073</v>
      </c>
      <c r="F118" s="446" t="s">
        <v>1939</v>
      </c>
      <c r="G118" s="446" t="s">
        <v>194</v>
      </c>
      <c r="H118" s="446" t="s">
        <v>2244</v>
      </c>
      <c r="I118" s="446" t="s">
        <v>1935</v>
      </c>
      <c r="J118" s="450">
        <v>0.76</v>
      </c>
      <c r="K118" s="446">
        <v>0</v>
      </c>
      <c r="L118" s="451">
        <v>0</v>
      </c>
      <c r="M118" s="452">
        <v>0</v>
      </c>
      <c r="N118" s="446">
        <v>0</v>
      </c>
      <c r="O118" s="446">
        <v>0.12064517353801955</v>
      </c>
      <c r="P118" s="449">
        <v>24.118570688274598</v>
      </c>
      <c r="Q118" s="448" t="s">
        <v>1961</v>
      </c>
    </row>
    <row r="119" spans="1:17">
      <c r="A119" s="443">
        <v>46037</v>
      </c>
      <c r="B119" s="445" t="s">
        <v>2245</v>
      </c>
      <c r="C119" s="445" t="s">
        <v>2245</v>
      </c>
      <c r="D119" s="446" t="s">
        <v>2095</v>
      </c>
      <c r="E119" s="447">
        <v>46073</v>
      </c>
      <c r="F119" s="446" t="s">
        <v>1934</v>
      </c>
      <c r="G119" s="446" t="s">
        <v>194</v>
      </c>
      <c r="H119" s="446" t="s">
        <v>2246</v>
      </c>
      <c r="I119" s="446" t="s">
        <v>1935</v>
      </c>
      <c r="J119" s="450">
        <v>0.38</v>
      </c>
      <c r="K119" s="446">
        <v>46.62</v>
      </c>
      <c r="L119" s="451">
        <v>0</v>
      </c>
      <c r="M119" s="452">
        <v>0</v>
      </c>
      <c r="N119" s="446">
        <v>0</v>
      </c>
      <c r="O119" s="446">
        <v>5.0053264231713294E-2</v>
      </c>
      <c r="P119" s="449">
        <v>28.816596876256099</v>
      </c>
      <c r="Q119" s="448" t="s">
        <v>1961</v>
      </c>
    </row>
    <row r="120" spans="1:17">
      <c r="A120" s="443">
        <v>46037</v>
      </c>
      <c r="B120" s="445" t="s">
        <v>2247</v>
      </c>
      <c r="C120" s="445" t="s">
        <v>2247</v>
      </c>
      <c r="D120" s="446" t="s">
        <v>2095</v>
      </c>
      <c r="E120" s="447">
        <v>46073</v>
      </c>
      <c r="F120" s="446" t="s">
        <v>1934</v>
      </c>
      <c r="G120" s="446" t="s">
        <v>194</v>
      </c>
      <c r="H120" s="446" t="s">
        <v>2248</v>
      </c>
      <c r="I120" s="446" t="s">
        <v>1935</v>
      </c>
      <c r="J120" s="450">
        <v>1.01</v>
      </c>
      <c r="K120" s="446">
        <v>49.49</v>
      </c>
      <c r="L120" s="451">
        <v>0</v>
      </c>
      <c r="M120" s="452">
        <v>0</v>
      </c>
      <c r="N120" s="446">
        <v>0</v>
      </c>
      <c r="O120" s="446">
        <v>0.18541981335222152</v>
      </c>
      <c r="P120" s="449">
        <v>26.565497708644198</v>
      </c>
      <c r="Q120" s="448" t="s">
        <v>1961</v>
      </c>
    </row>
    <row r="121" spans="1:17">
      <c r="A121" s="443">
        <v>46037</v>
      </c>
      <c r="B121" s="444" t="s">
        <v>2249</v>
      </c>
      <c r="C121" s="444" t="s">
        <v>2249</v>
      </c>
      <c r="D121" s="446" t="s">
        <v>1960</v>
      </c>
      <c r="E121" s="447">
        <v>46101</v>
      </c>
      <c r="F121" s="446" t="s">
        <v>1939</v>
      </c>
      <c r="G121" s="446" t="s">
        <v>194</v>
      </c>
      <c r="H121" s="446" t="s">
        <v>2250</v>
      </c>
      <c r="I121" s="446" t="s">
        <v>1935</v>
      </c>
      <c r="J121" s="450">
        <v>0.82</v>
      </c>
      <c r="K121" s="446">
        <v>0</v>
      </c>
      <c r="L121" s="451">
        <v>0</v>
      </c>
      <c r="M121" s="452">
        <v>0</v>
      </c>
      <c r="N121" s="446">
        <v>0</v>
      </c>
      <c r="O121" s="446">
        <v>1.4115714771864902E-2</v>
      </c>
      <c r="P121" s="449">
        <v>26.882683866381402</v>
      </c>
      <c r="Q121" s="448" t="s">
        <v>1961</v>
      </c>
    </row>
    <row r="122" spans="1:17">
      <c r="A122" s="443">
        <v>46037</v>
      </c>
      <c r="B122" s="444" t="s">
        <v>2251</v>
      </c>
      <c r="C122" s="444" t="s">
        <v>2251</v>
      </c>
      <c r="D122" s="446" t="s">
        <v>1960</v>
      </c>
      <c r="E122" s="447">
        <v>46101</v>
      </c>
      <c r="F122" s="446" t="s">
        <v>1934</v>
      </c>
      <c r="G122" s="446" t="s">
        <v>194</v>
      </c>
      <c r="H122" s="446" t="s">
        <v>2252</v>
      </c>
      <c r="I122" s="446" t="s">
        <v>1935</v>
      </c>
      <c r="J122" s="450">
        <v>1.18</v>
      </c>
      <c r="K122" s="446">
        <v>20.13</v>
      </c>
      <c r="L122" s="451">
        <v>0</v>
      </c>
      <c r="M122" s="452">
        <v>0</v>
      </c>
      <c r="N122" s="446">
        <v>0</v>
      </c>
      <c r="O122" s="446">
        <v>0.19014183836966705</v>
      </c>
      <c r="P122" s="449">
        <v>30.714394291564499</v>
      </c>
      <c r="Q122" s="448" t="s">
        <v>1961</v>
      </c>
    </row>
    <row r="123" spans="1:17">
      <c r="A123" s="443">
        <v>46037</v>
      </c>
      <c r="B123" s="444" t="s">
        <v>2253</v>
      </c>
      <c r="C123" s="444" t="s">
        <v>2253</v>
      </c>
      <c r="D123" s="446" t="s">
        <v>1960</v>
      </c>
      <c r="E123" s="447">
        <v>46101</v>
      </c>
      <c r="F123" s="446" t="s">
        <v>1934</v>
      </c>
      <c r="G123" s="446" t="s">
        <v>194</v>
      </c>
      <c r="H123" s="446" t="s">
        <v>2254</v>
      </c>
      <c r="I123" s="446" t="s">
        <v>1935</v>
      </c>
      <c r="J123" s="450">
        <v>1.26</v>
      </c>
      <c r="K123" s="446">
        <v>22.049999999999997</v>
      </c>
      <c r="L123" s="451">
        <v>0</v>
      </c>
      <c r="M123" s="452">
        <v>0</v>
      </c>
      <c r="N123" s="446">
        <v>0</v>
      </c>
      <c r="O123" s="446">
        <v>0.4143551814005792</v>
      </c>
      <c r="P123" s="449">
        <v>28.624307012608501</v>
      </c>
      <c r="Q123" s="448" t="s">
        <v>1961</v>
      </c>
    </row>
    <row r="124" spans="1:17">
      <c r="A124" s="443">
        <v>46037</v>
      </c>
      <c r="B124" s="444" t="s">
        <v>2255</v>
      </c>
      <c r="C124" s="444" t="s">
        <v>2255</v>
      </c>
      <c r="D124" s="446" t="s">
        <v>2256</v>
      </c>
      <c r="E124" s="447">
        <v>46073</v>
      </c>
      <c r="F124" s="446" t="s">
        <v>1939</v>
      </c>
      <c r="G124" s="446" t="s">
        <v>194</v>
      </c>
      <c r="H124" s="446" t="s">
        <v>2257</v>
      </c>
      <c r="I124" s="446" t="s">
        <v>1935</v>
      </c>
      <c r="J124" s="450">
        <v>4.5599999999999996</v>
      </c>
      <c r="K124" s="446">
        <v>0</v>
      </c>
      <c r="L124" s="451">
        <v>0</v>
      </c>
      <c r="M124" s="452">
        <v>0</v>
      </c>
      <c r="N124" s="446">
        <v>0</v>
      </c>
      <c r="O124" s="446">
        <v>0.89749048728360503</v>
      </c>
      <c r="P124" s="449">
        <v>24.538374791829199</v>
      </c>
      <c r="Q124" s="448" t="s">
        <v>1961</v>
      </c>
    </row>
    <row r="125" spans="1:17">
      <c r="A125" s="443">
        <v>46037</v>
      </c>
      <c r="B125" s="444" t="s">
        <v>2258</v>
      </c>
      <c r="C125" s="444" t="s">
        <v>2258</v>
      </c>
      <c r="D125" s="446" t="s">
        <v>2256</v>
      </c>
      <c r="E125" s="447">
        <v>46073</v>
      </c>
      <c r="F125" s="446" t="s">
        <v>1939</v>
      </c>
      <c r="G125" s="446" t="s">
        <v>194</v>
      </c>
      <c r="H125" s="446" t="s">
        <v>2259</v>
      </c>
      <c r="I125" s="446" t="s">
        <v>1935</v>
      </c>
      <c r="J125" s="450">
        <v>1.75</v>
      </c>
      <c r="K125" s="446">
        <v>0</v>
      </c>
      <c r="L125" s="451">
        <v>0</v>
      </c>
      <c r="M125" s="452">
        <v>0</v>
      </c>
      <c r="N125" s="446">
        <v>0</v>
      </c>
      <c r="O125" s="446">
        <v>0.35144282712129604</v>
      </c>
      <c r="P125" s="449">
        <v>23.9868970856331</v>
      </c>
      <c r="Q125" s="448" t="s">
        <v>1961</v>
      </c>
    </row>
    <row r="126" spans="1:17">
      <c r="A126" s="443">
        <v>46037</v>
      </c>
      <c r="B126" s="455" t="s">
        <v>2274</v>
      </c>
      <c r="C126" s="455" t="s">
        <v>2274</v>
      </c>
      <c r="D126" s="446" t="s">
        <v>1962</v>
      </c>
      <c r="E126" s="447">
        <v>46073</v>
      </c>
      <c r="F126" s="446" t="s">
        <v>1939</v>
      </c>
      <c r="G126" s="446" t="s">
        <v>194</v>
      </c>
      <c r="H126" s="446" t="s">
        <v>2275</v>
      </c>
      <c r="I126" s="446" t="s">
        <v>1935</v>
      </c>
      <c r="J126" s="450">
        <v>0.18</v>
      </c>
      <c r="K126" s="446">
        <v>0</v>
      </c>
      <c r="L126" s="451">
        <v>0</v>
      </c>
      <c r="M126" s="452">
        <v>0</v>
      </c>
      <c r="N126" s="446">
        <v>0</v>
      </c>
      <c r="O126" s="446">
        <v>3.4392211836535111E-2</v>
      </c>
      <c r="P126" s="449">
        <v>28.074113674128</v>
      </c>
      <c r="Q126" s="448" t="s">
        <v>1961</v>
      </c>
    </row>
    <row r="127" spans="1:17">
      <c r="A127" s="443">
        <v>46037</v>
      </c>
      <c r="B127" s="455" t="s">
        <v>2276</v>
      </c>
      <c r="C127" s="455" t="s">
        <v>2276</v>
      </c>
      <c r="D127" s="446" t="s">
        <v>2023</v>
      </c>
      <c r="E127" s="447">
        <v>46071</v>
      </c>
      <c r="F127" s="446" t="s">
        <v>1934</v>
      </c>
      <c r="G127" s="446" t="s">
        <v>194</v>
      </c>
      <c r="H127" s="446" t="s">
        <v>2277</v>
      </c>
      <c r="I127" s="446" t="s">
        <v>1935</v>
      </c>
      <c r="J127" s="450">
        <v>820</v>
      </c>
      <c r="K127" s="446">
        <v>160180</v>
      </c>
      <c r="L127" s="451">
        <v>0</v>
      </c>
      <c r="M127" s="452">
        <v>0</v>
      </c>
      <c r="N127" s="446">
        <v>0</v>
      </c>
      <c r="O127" s="446">
        <v>147.76767723222446</v>
      </c>
      <c r="P127" s="449">
        <v>15.350922798936001</v>
      </c>
      <c r="Q127" s="448" t="s">
        <v>1961</v>
      </c>
    </row>
    <row r="128" spans="1:17">
      <c r="A128" s="443">
        <v>46037</v>
      </c>
      <c r="B128" s="455" t="s">
        <v>2278</v>
      </c>
      <c r="C128" s="455" t="s">
        <v>2278</v>
      </c>
      <c r="D128" s="446" t="s">
        <v>2112</v>
      </c>
      <c r="E128" s="447">
        <v>46073</v>
      </c>
      <c r="F128" s="446" t="s">
        <v>1934</v>
      </c>
      <c r="G128" s="446" t="s">
        <v>194</v>
      </c>
      <c r="H128" s="446" t="s">
        <v>2279</v>
      </c>
      <c r="I128" s="446" t="s">
        <v>1935</v>
      </c>
      <c r="J128" s="450">
        <v>0.79</v>
      </c>
      <c r="K128" s="446">
        <v>107.21</v>
      </c>
      <c r="L128" s="451">
        <v>0</v>
      </c>
      <c r="M128" s="452">
        <v>0</v>
      </c>
      <c r="N128" s="446">
        <v>0</v>
      </c>
      <c r="O128" s="446">
        <v>0.17243465306075081</v>
      </c>
      <c r="P128" s="449">
        <v>24.4332463526185</v>
      </c>
      <c r="Q128" s="448" t="s">
        <v>1961</v>
      </c>
    </row>
    <row r="129" spans="1:17">
      <c r="A129" s="443">
        <v>46037</v>
      </c>
      <c r="B129" s="455" t="s">
        <v>2280</v>
      </c>
      <c r="C129" s="455" t="s">
        <v>2280</v>
      </c>
      <c r="D129" s="446" t="s">
        <v>2112</v>
      </c>
      <c r="E129" s="447">
        <v>46073</v>
      </c>
      <c r="F129" s="446" t="s">
        <v>1934</v>
      </c>
      <c r="G129" s="446" t="s">
        <v>194</v>
      </c>
      <c r="H129" s="446" t="s">
        <v>2281</v>
      </c>
      <c r="I129" s="446" t="s">
        <v>1935</v>
      </c>
      <c r="J129" s="450">
        <v>1.99</v>
      </c>
      <c r="K129" s="446">
        <v>111.01</v>
      </c>
      <c r="L129" s="451">
        <v>0</v>
      </c>
      <c r="M129" s="452">
        <v>0</v>
      </c>
      <c r="N129" s="446">
        <v>0</v>
      </c>
      <c r="O129" s="446">
        <v>0.39665046573239326</v>
      </c>
      <c r="P129" s="449">
        <v>21.975721512021099</v>
      </c>
      <c r="Q129" s="448" t="s">
        <v>1961</v>
      </c>
    </row>
    <row r="130" spans="1:17">
      <c r="A130" s="443">
        <v>46037</v>
      </c>
      <c r="B130" s="444" t="s">
        <v>2305</v>
      </c>
      <c r="C130" s="444" t="s">
        <v>2305</v>
      </c>
      <c r="D130" s="446" t="s">
        <v>2112</v>
      </c>
      <c r="E130" s="447">
        <v>46073</v>
      </c>
      <c r="F130" s="446" t="s">
        <v>1934</v>
      </c>
      <c r="G130" s="446" t="s">
        <v>194</v>
      </c>
      <c r="H130" s="446" t="s">
        <v>2306</v>
      </c>
      <c r="I130" s="446" t="s">
        <v>1935</v>
      </c>
      <c r="J130" s="450">
        <v>2.36</v>
      </c>
      <c r="K130" s="446">
        <v>111.64</v>
      </c>
      <c r="L130" s="451">
        <v>0</v>
      </c>
      <c r="M130" s="452">
        <v>0</v>
      </c>
      <c r="N130" s="446">
        <v>0</v>
      </c>
      <c r="O130" s="446">
        <v>0.46739547790647695</v>
      </c>
      <c r="P130" s="449">
        <v>21.630639012963201</v>
      </c>
      <c r="Q130" s="448" t="s">
        <v>1961</v>
      </c>
    </row>
    <row r="131" spans="1:17">
      <c r="A131" s="443">
        <v>46037</v>
      </c>
      <c r="B131" s="444" t="s">
        <v>2307</v>
      </c>
      <c r="C131" s="444" t="s">
        <v>2307</v>
      </c>
      <c r="D131" s="446" t="s">
        <v>2308</v>
      </c>
      <c r="E131" s="447">
        <v>46073</v>
      </c>
      <c r="F131" s="446" t="s">
        <v>1939</v>
      </c>
      <c r="G131" s="446" t="s">
        <v>194</v>
      </c>
      <c r="H131" s="446" t="s">
        <v>2309</v>
      </c>
      <c r="I131" s="446" t="s">
        <v>1935</v>
      </c>
      <c r="J131" s="450">
        <v>0.6</v>
      </c>
      <c r="K131" s="446">
        <v>0</v>
      </c>
      <c r="L131" s="451">
        <v>0</v>
      </c>
      <c r="M131" s="452">
        <v>0</v>
      </c>
      <c r="N131" s="446">
        <v>0</v>
      </c>
      <c r="O131" s="446">
        <v>4.9923308269209099E-2</v>
      </c>
      <c r="P131" s="449">
        <v>30.116133810142003</v>
      </c>
      <c r="Q131" s="448" t="s">
        <v>1961</v>
      </c>
    </row>
    <row r="132" spans="1:17">
      <c r="A132" s="443">
        <v>46037</v>
      </c>
      <c r="B132" s="444" t="s">
        <v>2310</v>
      </c>
      <c r="C132" s="444" t="s">
        <v>2310</v>
      </c>
      <c r="D132" s="446" t="s">
        <v>2308</v>
      </c>
      <c r="E132" s="447">
        <v>46073</v>
      </c>
      <c r="F132" s="446" t="s">
        <v>1934</v>
      </c>
      <c r="G132" s="446" t="s">
        <v>194</v>
      </c>
      <c r="H132" s="446" t="s">
        <v>2311</v>
      </c>
      <c r="I132" s="446" t="s">
        <v>1935</v>
      </c>
      <c r="J132" s="450">
        <v>0.38</v>
      </c>
      <c r="K132" s="446">
        <v>25.51</v>
      </c>
      <c r="L132" s="451">
        <v>0</v>
      </c>
      <c r="M132" s="452">
        <v>0</v>
      </c>
      <c r="N132" s="446">
        <v>0</v>
      </c>
      <c r="O132" s="446">
        <v>8.4467256911697292E-2</v>
      </c>
      <c r="P132" s="449">
        <v>34.926213645091096</v>
      </c>
      <c r="Q132" s="448" t="s">
        <v>1961</v>
      </c>
    </row>
    <row r="133" spans="1:17">
      <c r="A133" s="443">
        <v>46037</v>
      </c>
      <c r="B133" s="444" t="s">
        <v>2312</v>
      </c>
      <c r="C133" s="444" t="s">
        <v>2312</v>
      </c>
      <c r="D133" s="446" t="s">
        <v>2308</v>
      </c>
      <c r="E133" s="447">
        <v>46073</v>
      </c>
      <c r="F133" s="446" t="s">
        <v>1934</v>
      </c>
      <c r="G133" s="446" t="s">
        <v>194</v>
      </c>
      <c r="H133" s="446" t="s">
        <v>2313</v>
      </c>
      <c r="I133" s="446" t="s">
        <v>1935</v>
      </c>
      <c r="J133" s="450">
        <v>1.1399999999999999</v>
      </c>
      <c r="K133" s="446">
        <v>27</v>
      </c>
      <c r="L133" s="451">
        <v>0</v>
      </c>
      <c r="M133" s="452">
        <v>0</v>
      </c>
      <c r="N133" s="446">
        <v>0</v>
      </c>
      <c r="O133" s="446">
        <v>0.24434724220007711</v>
      </c>
      <c r="P133" s="449">
        <v>32.247365967863203</v>
      </c>
      <c r="Q133" s="448" t="s">
        <v>1961</v>
      </c>
    </row>
  </sheetData>
  <conditionalFormatting sqref="B68:B104">
    <cfRule type="duplicateValues" dxfId="41" priority="38" stopIfTrue="1"/>
    <cfRule type="duplicateValues" dxfId="40" priority="39"/>
  </conditionalFormatting>
  <conditionalFormatting sqref="B75:B77">
    <cfRule type="duplicateValues" dxfId="39" priority="32"/>
  </conditionalFormatting>
  <conditionalFormatting sqref="B118:B120">
    <cfRule type="duplicateValues" dxfId="38" priority="10"/>
  </conditionalFormatting>
  <conditionalFormatting sqref="B121:B125 B1 B130:B133 B53:B117">
    <cfRule type="duplicateValues" dxfId="37" priority="27" stopIfTrue="1"/>
    <cfRule type="duplicateValues" dxfId="36" priority="28"/>
  </conditionalFormatting>
  <conditionalFormatting sqref="B121:B125 B1:B17 B130:B133 B53:B117">
    <cfRule type="duplicateValues" dxfId="35" priority="29"/>
  </conditionalFormatting>
  <conditionalFormatting sqref="B121:B125 B130:B133 B1:B117">
    <cfRule type="duplicateValues" dxfId="34" priority="23"/>
  </conditionalFormatting>
  <conditionalFormatting sqref="C2:C104">
    <cfRule type="duplicateValues" dxfId="33" priority="42"/>
  </conditionalFormatting>
  <conditionalFormatting sqref="C6:C67">
    <cfRule type="duplicateValues" dxfId="32" priority="35"/>
  </conditionalFormatting>
  <conditionalFormatting sqref="C68:C104">
    <cfRule type="duplicateValues" dxfId="31" priority="40" stopIfTrue="1"/>
    <cfRule type="duplicateValues" dxfId="30" priority="41"/>
  </conditionalFormatting>
  <conditionalFormatting sqref="C78:C80">
    <cfRule type="duplicateValues" dxfId="29" priority="25" stopIfTrue="1"/>
    <cfRule type="duplicateValues" dxfId="28" priority="26"/>
  </conditionalFormatting>
  <conditionalFormatting sqref="C81:C85">
    <cfRule type="duplicateValues" dxfId="27" priority="30" stopIfTrue="1"/>
    <cfRule type="duplicateValues" dxfId="26" priority="31"/>
  </conditionalFormatting>
  <conditionalFormatting sqref="C86:C92">
    <cfRule type="duplicateValues" dxfId="25" priority="36"/>
    <cfRule type="duplicateValues" dxfId="24" priority="37" stopIfTrue="1"/>
  </conditionalFormatting>
  <conditionalFormatting sqref="C93:C94">
    <cfRule type="duplicateValues" dxfId="23" priority="19"/>
    <cfRule type="duplicateValues" dxfId="22" priority="20" stopIfTrue="1"/>
    <cfRule type="duplicateValues" dxfId="21" priority="21"/>
    <cfRule type="duplicateValues" dxfId="20" priority="22"/>
  </conditionalFormatting>
  <conditionalFormatting sqref="C105:C107">
    <cfRule type="duplicateValues" dxfId="19" priority="33"/>
    <cfRule type="duplicateValues" dxfId="18" priority="34" stopIfTrue="1"/>
  </conditionalFormatting>
  <conditionalFormatting sqref="C108:C111">
    <cfRule type="duplicateValues" dxfId="17" priority="15"/>
    <cfRule type="duplicateValues" dxfId="16" priority="16" stopIfTrue="1"/>
    <cfRule type="duplicateValues" dxfId="15" priority="17"/>
    <cfRule type="duplicateValues" dxfId="14" priority="18"/>
  </conditionalFormatting>
  <conditionalFormatting sqref="C112 C118:C120 C1:C104">
    <cfRule type="duplicateValues" dxfId="13" priority="24"/>
  </conditionalFormatting>
  <conditionalFormatting sqref="C113:C117">
    <cfRule type="duplicateValues" dxfId="12" priority="11"/>
    <cfRule type="duplicateValues" dxfId="11" priority="12" stopIfTrue="1"/>
    <cfRule type="duplicateValues" dxfId="10" priority="13"/>
    <cfRule type="duplicateValues" dxfId="9" priority="14"/>
  </conditionalFormatting>
  <conditionalFormatting sqref="C121:C125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30:C133">
    <cfRule type="duplicateValues" dxfId="4" priority="1"/>
    <cfRule type="duplicateValues" dxfId="3" priority="2" stopIfTrue="1"/>
    <cfRule type="duplicateValues" dxfId="2" priority="3"/>
    <cfRule type="duplicateValues" dxfId="1" priority="4"/>
  </conditionalFormatting>
  <conditionalFormatting sqref="L1:M133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2026-01-22T16:05:11Z</dcterms:modified>
  <cp:category/>
  <cp:contentStatus/>
</cp:coreProperties>
</file>