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DA76C0D0-51F1-40B6-8358-86D1B72327CB}" xr6:coauthVersionLast="47" xr6:coauthVersionMax="47" xr10:uidLastSave="{00000000-0000-0000-0000-000000000000}"/>
  <bookViews>
    <workbookView xWindow="70530" yWindow="915" windowWidth="15105" windowHeight="14205" tabRatio="881" firstSheet="6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Check" sheetId="385" r:id="rId11"/>
    <sheet name="Input_APM" sheetId="384" r:id="rId12"/>
    <sheet name="Input_APM (Zenith)" sheetId="414" r:id="rId13"/>
    <sheet name="Check (Zenith)" sheetId="415" state="hidden" r:id="rId14"/>
    <sheet name="Auxiliar" sheetId="383" r:id="rId15"/>
    <sheet name="CDS" sheetId="54" r:id="rId16"/>
    <sheet name="Posições Custódia" sheetId="425" r:id="rId17"/>
    <sheet name="Check result" sheetId="444" r:id="rId18"/>
    <sheet name="Precificação" sheetId="527" r:id="rId19"/>
  </sheets>
  <functionGroups builtInGroupCount="19"/>
  <definedNames>
    <definedName name="_xlnm._FilterDatabase" localSheetId="10" hidden="1">Check!$A$4:$V$190</definedName>
    <definedName name="_xlnm._FilterDatabase" localSheetId="13" hidden="1">'Check (Zenith)'!$B$4:$E$151</definedName>
    <definedName name="_xlnm._FilterDatabase" localSheetId="11" hidden="1">Input_APM!$K$1:$O$397</definedName>
    <definedName name="_xlnm._FilterDatabase" localSheetId="7" hidden="1">'Master P&amp;L'!$A$11:$AD$33</definedName>
    <definedName name="_xlnm._FilterDatabase" localSheetId="8" hidden="1">Options!$A$3:$BD$26</definedName>
    <definedName name="_xlnm._FilterDatabase" localSheetId="16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P&amp;L'!$B$2:$AC$33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/>
  <pivotCaches>
    <pivotCache cacheId="1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1" i="2"/>
  <c r="AC8" i="2" l="1" a="1"/>
  <c r="AC8" i="2" l="1"/>
  <c r="AQ19" i="2" a="1"/>
  <c r="AQ19" i="2"/>
  <c r="AB235" i="89" a="1"/>
  <c r="AB235" i="89"/>
  <c r="AC17" i="2" a="1"/>
  <c r="AC17" i="2"/>
  <c r="AC16" i="2" a="1"/>
  <c r="AC16" i="2"/>
  <c r="AC15" i="2" a="1"/>
  <c r="AC15" i="2"/>
  <c r="AC14" i="2" a="1"/>
  <c r="AC14" i="2"/>
  <c r="AQ11" i="2" a="1"/>
  <c r="AQ11" i="2"/>
  <c r="AB8" i="89" a="1"/>
  <c r="AB8" i="89"/>
  <c r="AB7" i="89" a="1"/>
  <c r="AB7" i="89"/>
  <c r="AQ5" i="2" a="1"/>
  <c r="AQ5" i="2"/>
  <c r="AQ4" i="2" a="1"/>
  <c r="AQ4" i="2"/>
  <c r="AB56" i="89" a="1"/>
  <c r="AB56" i="89"/>
  <c r="AB55" i="89" a="1"/>
  <c r="AB55" i="89"/>
  <c r="AQ7" i="2" a="1"/>
  <c r="AQ7" i="2"/>
  <c r="AQ21" i="2" a="1"/>
  <c r="AQ21" i="2"/>
  <c r="AC9" i="2" a="1"/>
  <c r="AC9" i="2"/>
  <c r="AC10" i="2" a="1"/>
  <c r="AC10" i="2"/>
  <c r="AC19" i="2" a="1"/>
  <c r="AC19" i="2"/>
  <c r="AC7" i="2" a="1"/>
  <c r="AC7" i="2"/>
  <c r="AB234" i="89" a="1"/>
  <c r="AB234" i="89"/>
  <c r="AC5" i="2" a="1"/>
  <c r="AC5" i="2"/>
  <c r="AC4" i="2" a="1"/>
  <c r="AC4" i="2"/>
  <c r="AQ9" i="2" a="1"/>
  <c r="AQ9" i="2"/>
  <c r="AQ10" i="2" a="1"/>
  <c r="AQ10" i="2"/>
  <c r="AC11" i="2" a="1"/>
  <c r="AC11" i="2"/>
  <c r="AQ8" i="2" a="1"/>
  <c r="AQ8" i="2"/>
  <c r="AB225" i="89" a="1"/>
  <c r="AB225" i="89"/>
  <c r="AB224" i="89" a="1"/>
  <c r="AB224" i="89"/>
  <c r="AB223" i="89" a="1"/>
  <c r="AB223" i="89"/>
  <c r="AB222" i="89" a="1"/>
  <c r="AB222" i="89"/>
  <c r="AC21" i="2" a="1"/>
  <c r="AC21" i="2"/>
  <c r="AQ13" i="2" a="1"/>
  <c r="AQ13" i="2"/>
  <c r="AQ12" i="2" a="1"/>
  <c r="AQ12" i="2"/>
  <c r="AB233" i="89" a="1"/>
  <c r="AB233" i="89"/>
  <c r="AB180" i="89" a="1"/>
  <c r="AB180" i="89"/>
  <c r="AB171" i="89" a="1"/>
  <c r="AB171" i="89"/>
  <c r="AB170" i="89" a="1"/>
  <c r="AB170" i="89"/>
  <c r="AB169" i="89" a="1"/>
  <c r="AB169" i="89"/>
  <c r="AQ17" i="2" a="1"/>
  <c r="AQ17" i="2"/>
  <c r="AQ16" i="2" a="1"/>
  <c r="AQ16" i="2"/>
  <c r="AQ15" i="2" a="1"/>
  <c r="AQ15" i="2"/>
  <c r="AQ14" i="2" a="1"/>
  <c r="AQ14" i="2"/>
  <c r="AB63" i="89" a="1"/>
  <c r="AB63" i="89"/>
  <c r="AB62" i="89" a="1"/>
  <c r="AB62" i="89"/>
  <c r="AC13" i="2" a="1"/>
  <c r="AC13" i="2"/>
  <c r="AC12" i="2" a="1"/>
  <c r="AC12" i="2"/>
  <c r="AB39" i="89" a="1"/>
  <c r="AB39" i="89"/>
  <c r="AB197" i="89" a="1"/>
  <c r="AB197" i="89"/>
  <c r="AB196" i="89" a="1"/>
  <c r="AB196" i="89"/>
  <c r="AB195" i="89" a="1"/>
  <c r="AB195" i="89"/>
  <c r="AB129" i="89" a="1"/>
  <c r="AB129" i="89"/>
  <c r="AB90" i="89" a="1"/>
  <c r="AB90" i="89"/>
  <c r="AB89" i="89" a="1"/>
  <c r="AB89" i="89"/>
  <c r="R145" i="89" a="1"/>
  <c r="R145" i="89"/>
  <c r="R144" i="89" a="1"/>
  <c r="R144" i="89"/>
  <c r="R90" i="89" a="1"/>
  <c r="R90" i="89"/>
  <c r="R89" i="89" a="1"/>
  <c r="R89" i="89"/>
  <c r="AB160" i="89" a="1"/>
  <c r="AB160" i="89"/>
  <c r="AB154" i="89" a="1"/>
  <c r="AB154" i="89"/>
  <c r="AB153" i="89" a="1"/>
  <c r="AB153" i="89"/>
  <c r="AB50" i="89" a="1"/>
  <c r="AB50" i="89"/>
  <c r="AB49" i="89" a="1"/>
  <c r="AB49" i="89"/>
  <c r="AB188" i="89" a="1"/>
  <c r="AB188" i="89"/>
  <c r="AB187" i="89" a="1"/>
  <c r="AB187" i="89"/>
  <c r="AB186" i="89" a="1"/>
  <c r="AB186" i="89"/>
  <c r="R129" i="89" a="1"/>
  <c r="R129" i="89"/>
  <c r="AB145" i="89" a="1"/>
  <c r="AB145" i="89"/>
  <c r="AB144" i="89" a="1"/>
  <c r="AB144" i="89"/>
  <c r="AB237" i="89" a="1"/>
  <c r="AB237" i="89"/>
  <c r="AB138" i="89" a="1"/>
  <c r="AB138" i="89"/>
  <c r="AB137" i="89" a="1"/>
  <c r="AB137" i="89"/>
  <c r="AB136" i="89" a="1"/>
  <c r="AB136" i="89"/>
  <c r="R108" i="89" a="1"/>
  <c r="R108" i="89"/>
  <c r="AB96" i="89" a="1"/>
  <c r="AB96" i="89"/>
  <c r="AB95" i="89" a="1"/>
  <c r="AB95" i="89"/>
  <c r="AB102" i="89" a="1"/>
  <c r="AB102" i="89"/>
  <c r="AB101" i="89" a="1"/>
  <c r="AB101" i="89"/>
  <c r="AB34" i="89" a="1"/>
  <c r="AB34" i="89"/>
  <c r="AB27" i="89" a="1"/>
  <c r="AB27" i="89"/>
  <c r="AB26" i="89" a="1"/>
  <c r="AB26" i="89"/>
  <c r="R123" i="89" a="1"/>
  <c r="R123" i="89"/>
  <c r="R122" i="89" a="1"/>
  <c r="R122" i="89"/>
  <c r="R116" i="89" a="1"/>
  <c r="R116" i="89"/>
  <c r="R115" i="89" a="1"/>
  <c r="R115" i="89"/>
  <c r="R109" i="89" a="1"/>
  <c r="R109" i="89"/>
  <c r="AB236" i="89" a="1"/>
  <c r="AB236" i="89"/>
  <c r="AB40" i="89" a="1"/>
  <c r="AB40" i="89"/>
  <c r="R138" i="89" a="1"/>
  <c r="R138" i="89"/>
  <c r="R137" i="89" a="1"/>
  <c r="R137" i="89"/>
  <c r="R136" i="89" a="1"/>
  <c r="R136" i="89"/>
  <c r="AB109" i="89" a="1"/>
  <c r="AB109" i="89"/>
  <c r="AB108" i="89" a="1"/>
  <c r="AB108" i="89"/>
  <c r="AB116" i="89" a="1"/>
  <c r="AB116" i="89"/>
  <c r="AB115" i="89" a="1"/>
  <c r="AB115" i="89"/>
  <c r="R96" i="89" a="1"/>
  <c r="R96" i="89"/>
  <c r="R95" i="89" a="1"/>
  <c r="R95" i="89"/>
  <c r="R102" i="89" a="1"/>
  <c r="R102" i="89"/>
  <c r="R101" i="89" a="1"/>
  <c r="R101" i="89"/>
  <c r="AB123" i="89" a="1"/>
  <c r="AB123" i="89"/>
  <c r="AB122" i="89" a="1"/>
  <c r="AB122" i="89"/>
  <c r="AC23" i="2" a="1"/>
  <c r="AC23" i="2"/>
  <c r="AC22" i="2" a="1"/>
  <c r="AC22" i="2"/>
  <c r="AB82" i="89" a="1"/>
  <c r="AB82" i="89"/>
  <c r="AB81" i="89" a="1"/>
  <c r="AB81" i="89"/>
  <c r="AB76" i="89" a="1"/>
  <c r="AB76" i="89"/>
  <c r="AB75" i="89" a="1"/>
  <c r="AB75" i="89"/>
  <c r="AB69" i="89" a="1"/>
  <c r="AB69" i="89"/>
  <c r="AB68" i="89" a="1"/>
  <c r="AB68" i="89"/>
  <c r="AB33" i="89" a="1"/>
  <c r="AB33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Q23" i="2" a="1"/>
  <c r="AQ23" i="2"/>
  <c r="AQ22" i="2" a="1"/>
  <c r="AQ22" i="2"/>
  <c r="AB20" i="89" a="1"/>
  <c r="AB20" i="89"/>
  <c r="AB19" i="89" a="1"/>
  <c r="AB19" i="89"/>
  <c r="AB14" i="89" a="1"/>
  <c r="AB14" i="89"/>
  <c r="AB13" i="89" a="1"/>
  <c r="AB13" i="89"/>
  <c r="Z23" i="2"/>
  <c r="AV23" i="2" s="1" a="1"/>
  <c r="Z22" i="2"/>
  <c r="AV22" i="2" s="1" a="1"/>
  <c r="S123" i="89" a="1"/>
  <c r="AV22" i="2" l="1"/>
  <c r="AV23" i="2"/>
  <c r="S123" i="89"/>
  <c r="Z10" i="2"/>
  <c r="AV10" i="2" s="1" a="1"/>
  <c r="S225" i="89" a="1"/>
  <c r="AV10" i="2" l="1"/>
  <c r="S225" i="89"/>
  <c r="R225" i="89" a="1"/>
  <c r="S108" i="89" a="1"/>
  <c r="R225" i="89" l="1"/>
  <c r="S108" i="89"/>
  <c r="S56" i="89" a="1"/>
  <c r="S56" i="89"/>
  <c r="R56" i="89" a="1"/>
  <c r="S50" i="89" a="1"/>
  <c r="R56" i="89" l="1"/>
  <c r="S50" i="89"/>
  <c r="R50" i="89" a="1"/>
  <c r="Z16" i="2"/>
  <c r="AV16" i="2" s="1" a="1"/>
  <c r="S101" i="89" a="1"/>
  <c r="R50" i="89" l="1"/>
  <c r="AV16" i="2"/>
  <c r="S101" i="89"/>
  <c r="S109" i="89" a="1"/>
  <c r="S109" i="89"/>
  <c r="S180" i="89" a="1"/>
  <c r="S180" i="89"/>
  <c r="R180" i="89" a="1"/>
  <c r="S213" i="89" a="1"/>
  <c r="R180" i="89" l="1"/>
  <c r="S213" i="89"/>
  <c r="R213" i="89" a="1"/>
  <c r="S154" i="89" a="1"/>
  <c r="R213" i="89" l="1"/>
  <c r="S154" i="89"/>
  <c r="R154" i="89" a="1"/>
  <c r="S236" i="89" a="1"/>
  <c r="R154" i="89" l="1"/>
  <c r="S236" i="89"/>
  <c r="R236" i="89" a="1"/>
  <c r="S160" i="89" a="1"/>
  <c r="R236" i="89" l="1"/>
  <c r="S160" i="89"/>
  <c r="R160" i="89" a="1"/>
  <c r="S26" i="89" a="1"/>
  <c r="R160" i="89" l="1"/>
  <c r="S26" i="89"/>
  <c r="R26" i="89" a="1"/>
  <c r="S40" i="89" a="1"/>
  <c r="R26" i="89" l="1"/>
  <c r="S40" i="89"/>
  <c r="R40" i="89" a="1"/>
  <c r="Z11" i="2"/>
  <c r="AV11" i="2" s="1" a="1"/>
  <c r="S145" i="89" a="1"/>
  <c r="R40" i="89" l="1"/>
  <c r="AV11" i="2"/>
  <c r="S145" i="89"/>
  <c r="Z21" i="2"/>
  <c r="AV21" i="2" s="1" a="1"/>
  <c r="Z7" i="2"/>
  <c r="AV7" i="2" s="1" a="1"/>
  <c r="S186" i="89" a="1"/>
  <c r="AV7" i="2" l="1"/>
  <c r="AV21" i="2"/>
  <c r="S186" i="89"/>
  <c r="R186" i="89" a="1"/>
  <c r="S39" i="89" a="1"/>
  <c r="R186" i="89" l="1"/>
  <c r="S39" i="89"/>
  <c r="R39" i="89" a="1"/>
  <c r="S138" i="89" a="1"/>
  <c r="R39" i="89" l="1"/>
  <c r="S138" i="89"/>
  <c r="S90" i="89" a="1"/>
  <c r="S90" i="89"/>
  <c r="S116" i="89" a="1"/>
  <c r="S116" i="89"/>
  <c r="S235" i="89" a="1"/>
  <c r="S235" i="89"/>
  <c r="R235" i="89" a="1"/>
  <c r="S129" i="89" a="1"/>
  <c r="R235" i="89" l="1"/>
  <c r="S129" i="89"/>
  <c r="S237" i="89" a="1"/>
  <c r="S237" i="89"/>
  <c r="R237" i="89" a="1"/>
  <c r="T224" i="89" a="1"/>
  <c r="R237" i="89" l="1"/>
  <c r="T224" i="89"/>
  <c r="V169" i="89" a="1"/>
  <c r="V169" i="89"/>
  <c r="O81" i="89" a="1"/>
  <c r="O81" i="89"/>
  <c r="V224" i="89" a="1"/>
  <c r="V224" i="89"/>
  <c r="V237" i="89" a="1"/>
  <c r="V237" i="89"/>
  <c r="V68" i="89" a="1"/>
  <c r="V68" i="89"/>
  <c r="Z81" i="89" a="1"/>
  <c r="Z81" i="89"/>
  <c r="O212" i="89" a="1"/>
  <c r="O212" i="89"/>
  <c r="Z212" i="89" a="1"/>
  <c r="C34" i="89" a="1"/>
  <c r="Z212" i="89" l="1"/>
  <c r="C34" i="89"/>
  <c r="O34" i="89" a="1"/>
  <c r="O34" i="89"/>
  <c r="T195" i="89" a="1"/>
  <c r="T195" i="89"/>
  <c r="C196" i="89" a="1"/>
  <c r="C196" i="89"/>
  <c r="T81" i="89" a="1"/>
  <c r="T81" i="89"/>
  <c r="T234" i="89" a="1"/>
  <c r="T234" i="89"/>
  <c r="C81" i="89" a="1"/>
  <c r="C81" i="89"/>
  <c r="C68" i="89" a="1"/>
  <c r="C68" i="89"/>
  <c r="C169" i="89" a="1"/>
  <c r="C169" i="89"/>
  <c r="C212" i="89" a="1"/>
  <c r="C212" i="89"/>
  <c r="V195" i="89" a="1"/>
  <c r="V195" i="89"/>
  <c r="V34" i="89" a="1"/>
  <c r="V34" i="89"/>
  <c r="T196" i="89" a="1"/>
  <c r="T196" i="89"/>
  <c r="O234" i="89" a="1"/>
  <c r="O234" i="89"/>
  <c r="Z234" i="89" a="1"/>
  <c r="T68" i="89" a="1"/>
  <c r="Z234" i="89" l="1"/>
  <c r="T68" i="89"/>
  <c r="C195" i="89" a="1"/>
  <c r="C195" i="89"/>
  <c r="T237" i="89" a="1"/>
  <c r="T237" i="89"/>
  <c r="C224" i="89" a="1"/>
  <c r="C224" i="89"/>
  <c r="V234" i="89" a="1"/>
  <c r="V234" i="89"/>
  <c r="O68" i="89" a="1"/>
  <c r="O68" i="89"/>
  <c r="O196" i="89" a="1"/>
  <c r="O196" i="89"/>
  <c r="Z196" i="89" a="1"/>
  <c r="O169" i="89" a="1"/>
  <c r="Z196" i="89" l="1"/>
  <c r="O169" i="89"/>
  <c r="Z169" i="89" a="1"/>
  <c r="C237" i="89" a="1"/>
  <c r="Z169" i="89" l="1"/>
  <c r="C237" i="89"/>
  <c r="T34" i="89" a="1"/>
  <c r="T34" i="89"/>
  <c r="V212" i="89" a="1"/>
  <c r="V212" i="89"/>
  <c r="O237" i="89" a="1"/>
  <c r="O237" i="89"/>
  <c r="O195" i="89" a="1"/>
  <c r="O195" i="89"/>
  <c r="Z195" i="89" a="1"/>
  <c r="Z237" i="89" a="1"/>
  <c r="Z195" i="89" l="1"/>
  <c r="Z237" i="89"/>
  <c r="Z34" i="89" a="1"/>
  <c r="Z34" i="89"/>
  <c r="V196" i="89" a="1"/>
  <c r="V196" i="89"/>
  <c r="T212" i="89" a="1"/>
  <c r="T212" i="89"/>
  <c r="O224" i="89" a="1"/>
  <c r="O224" i="89"/>
  <c r="Z224" i="89" a="1"/>
  <c r="Z68" i="89" a="1"/>
  <c r="Z224" i="89" l="1"/>
  <c r="Z68" i="89"/>
  <c r="AA68" i="89" a="1"/>
  <c r="AA68" i="89"/>
  <c r="V81" i="89" a="1"/>
  <c r="V81" i="89"/>
  <c r="C234" i="89" a="1"/>
  <c r="C234" i="89"/>
  <c r="T169" i="89" a="1"/>
  <c r="T169" i="89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P29" i="338" a="1"/>
  <c r="P29" i="338"/>
  <c r="X45" i="338" a="1"/>
  <c r="X45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T12" i="338" a="1"/>
  <c r="T12" i="338"/>
  <c r="S42" i="338" a="1"/>
  <c r="S4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P34" i="338" a="1"/>
  <c r="P34" i="338"/>
  <c r="X9" i="338" a="1"/>
  <c r="X9" i="338"/>
  <c r="E180" i="89" a="1"/>
  <c r="E180" i="89"/>
  <c r="E212" i="89" a="1"/>
  <c r="E212" i="89"/>
  <c r="E170" i="89" a="1"/>
  <c r="E170" i="89"/>
  <c r="E171" i="89" a="1"/>
  <c r="E171" i="89"/>
  <c r="E186" i="89" a="1"/>
  <c r="E186" i="89"/>
  <c r="E235" i="89" a="1"/>
  <c r="E235" i="89"/>
  <c r="E188" i="89" a="1"/>
  <c r="E188" i="89"/>
  <c r="E169" i="89" a="1"/>
  <c r="E169" i="89"/>
  <c r="E233" i="89" a="1"/>
  <c r="E233" i="89"/>
  <c r="E234" i="89" a="1"/>
  <c r="E234" i="89"/>
  <c r="AG15" i="1"/>
  <c r="AG21" i="1"/>
  <c r="AG17" i="1"/>
  <c r="AG31" i="1"/>
  <c r="AG20" i="1"/>
  <c r="AG13" i="1"/>
  <c r="AG28" i="1"/>
  <c r="AG27" i="1"/>
  <c r="AG30" i="1"/>
  <c r="AG23" i="1"/>
  <c r="K18" i="1" a="1"/>
  <c r="K18" i="1"/>
  <c r="E9" i="1"/>
  <c r="AH9" i="338" a="1"/>
  <c r="AH9" i="338"/>
  <c r="AH8" i="338" a="1"/>
  <c r="AH8" i="338"/>
  <c r="K28" i="1" a="1"/>
  <c r="K28" i="1"/>
  <c r="E2" i="1" a="1"/>
  <c r="E2" i="1"/>
  <c r="AG9" i="338"/>
  <c r="AF33" i="1"/>
  <c r="AK9" i="338" a="1"/>
  <c r="AK9" i="338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J9" i="338" a="1"/>
  <c r="AJ9" i="338"/>
  <c r="AJ8" i="338" a="1"/>
  <c r="AJ8" i="338"/>
  <c r="AB24" i="1"/>
  <c r="F23" i="446" a="1"/>
  <c r="F23" i="446"/>
  <c r="AC24" i="1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18" i="1"/>
  <c r="AH33" i="338" a="1"/>
  <c r="AH33" i="338"/>
  <c r="AH11" i="338" a="1"/>
  <c r="AH11" i="338"/>
  <c r="AH10" i="338" a="1"/>
  <c r="AH10" i="338"/>
  <c r="AH18" i="338" a="1"/>
  <c r="AH18" i="338"/>
  <c r="AH17" i="338" a="1"/>
  <c r="AH17" i="338"/>
  <c r="G19" i="446" a="1"/>
  <c r="G19" i="446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K6" i="1" a="1"/>
  <c r="K6" i="1"/>
  <c r="K24" i="1" a="1"/>
  <c r="K24" i="1"/>
  <c r="AF18" i="338"/>
  <c r="AF17" i="338"/>
  <c r="AF31" i="1"/>
  <c r="AI19" i="1"/>
  <c r="AF35" i="338"/>
  <c r="AF14" i="338"/>
  <c r="AF28" i="1"/>
  <c r="AI33" i="1"/>
  <c r="AC31" i="1"/>
  <c r="K19" i="1" a="1"/>
  <c r="K19" i="1"/>
  <c r="E7" i="1" a="1"/>
  <c r="E7" i="1"/>
  <c r="AC26" i="1" a="1"/>
  <c r="AC26" i="1"/>
  <c r="D35" i="446" a="1"/>
  <c r="D35" i="446"/>
  <c r="G26" i="446" a="1"/>
  <c r="G26" i="446"/>
  <c r="AJ18" i="338" a="1"/>
  <c r="AJ18" i="338"/>
  <c r="AJ17" i="338" a="1"/>
  <c r="AJ17" i="338"/>
  <c r="AI9" i="338" a="1"/>
  <c r="AI9" i="338"/>
  <c r="AB31" i="1"/>
  <c r="F14" i="446" a="1"/>
  <c r="F14" i="446"/>
  <c r="AB33" i="1"/>
  <c r="F19" i="446" a="1"/>
  <c r="F19" i="446"/>
  <c r="AC18" i="1" a="1"/>
  <c r="AC18" i="1"/>
  <c r="D26" i="446" a="1"/>
  <c r="D26" i="446"/>
  <c r="AB18" i="1"/>
  <c r="F26" i="446" a="1"/>
  <c r="F26" i="446"/>
  <c r="G23" i="446" a="1"/>
  <c r="G23" i="446"/>
  <c r="K31" i="1" a="1"/>
  <c r="K31" i="1"/>
  <c r="AI24" i="1"/>
  <c r="AC19" i="1" a="1"/>
  <c r="AC19" i="1"/>
  <c r="D30" i="446" a="1"/>
  <c r="D30" i="446"/>
  <c r="AC33" i="1"/>
  <c r="AF34" i="338"/>
  <c r="AF13" i="338"/>
  <c r="AF26" i="1"/>
  <c r="G30" i="446" a="1"/>
  <c r="G30" i="446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24" i="1"/>
  <c r="K33" i="1" a="1"/>
  <c r="K33" i="1"/>
  <c r="AC28" i="1" a="1"/>
  <c r="AC28" i="1"/>
  <c r="D36" i="446" a="1"/>
  <c r="D36" i="446"/>
  <c r="AF9" i="338"/>
  <c r="AF8" i="338"/>
  <c r="AF19" i="1"/>
  <c r="AI26" i="1"/>
  <c r="AJ33" i="338" a="1"/>
  <c r="AJ33" i="338"/>
  <c r="AJ11" i="338" a="1"/>
  <c r="AJ11" i="338"/>
  <c r="AJ10" i="338" a="1"/>
  <c r="AJ10" i="338"/>
  <c r="AI31" i="1"/>
  <c r="AB19" i="1"/>
  <c r="F30" i="446" a="1"/>
  <c r="F30" i="446"/>
  <c r="AI28" i="1"/>
  <c r="G35" i="446" a="1"/>
  <c r="G35" i="446"/>
  <c r="AB28" i="1"/>
  <c r="F36" i="446" a="1"/>
  <c r="F36" i="446"/>
  <c r="K26" i="1" a="1"/>
  <c r="K26" i="1"/>
  <c r="E3" i="1"/>
  <c r="AH34" i="338" a="1"/>
  <c r="AH34" i="338"/>
  <c r="AH13" i="338" a="1"/>
  <c r="AH13" i="338"/>
  <c r="AB26" i="1"/>
  <c r="F35" i="446" a="1"/>
  <c r="F35" i="446"/>
  <c r="G14" i="446" a="1"/>
  <c r="G14" i="446"/>
  <c r="AI18" i="1"/>
  <c r="D160" i="89" a="1"/>
  <c r="D160" i="89"/>
  <c r="T129" i="89" a="1"/>
  <c r="T129" i="89"/>
  <c r="V96" i="89" a="1"/>
  <c r="V96" i="89"/>
  <c r="E102" i="89" a="1"/>
  <c r="E102" i="89"/>
  <c r="C129" i="89" a="1"/>
  <c r="C129" i="89"/>
  <c r="V115" i="89" a="1"/>
  <c r="V115" i="89"/>
  <c r="Z116" i="89" a="1"/>
  <c r="Z116" i="89"/>
  <c r="AA116" i="89" a="1"/>
  <c r="AA116" i="89"/>
  <c r="E108" i="89" a="1"/>
  <c r="E108" i="89"/>
  <c r="C115" i="89" a="1"/>
  <c r="C115" i="89"/>
  <c r="E137" i="89" a="1"/>
  <c r="E137" i="89"/>
  <c r="V102" i="89" a="1"/>
  <c r="V102" i="89"/>
  <c r="Z96" i="89" a="1"/>
  <c r="Z96" i="89"/>
  <c r="AA96" i="89" a="1"/>
  <c r="AA96" i="89"/>
  <c r="C137" i="89" a="1"/>
  <c r="C137" i="89"/>
  <c r="D115" i="89" a="1"/>
  <c r="D115" i="89"/>
  <c r="E160" i="89" a="1"/>
  <c r="E160" i="89"/>
  <c r="D102" i="89" a="1"/>
  <c r="D102" i="89"/>
  <c r="T160" i="89" a="1"/>
  <c r="T160" i="89"/>
  <c r="E122" i="89" a="1"/>
  <c r="E122" i="89"/>
  <c r="D116" i="89" a="1"/>
  <c r="D116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V153" i="89" a="1"/>
  <c r="V153" i="89"/>
  <c r="E153" i="89" a="1"/>
  <c r="E153" i="89"/>
  <c r="T102" i="89" a="1"/>
  <c r="T102" i="89"/>
  <c r="Z153" i="89" a="1"/>
  <c r="Z153" i="89"/>
  <c r="E129" i="89" a="1"/>
  <c r="E129" i="89"/>
  <c r="T108" i="89" a="1"/>
  <c r="T108" i="89"/>
  <c r="C116" i="89" a="1"/>
  <c r="C116" i="89"/>
  <c r="D108" i="89" a="1"/>
  <c r="D108" i="89"/>
  <c r="T96" i="89" a="1"/>
  <c r="T96" i="89"/>
  <c r="Z129" i="89" a="1"/>
  <c r="Z129" i="89"/>
  <c r="AA129" i="89" a="1"/>
  <c r="AA129" i="89"/>
  <c r="T122" i="89" a="1"/>
  <c r="T122" i="89"/>
  <c r="D137" i="89" a="1"/>
  <c r="D137" i="89"/>
  <c r="E115" i="89" a="1"/>
  <c r="E115" i="89"/>
  <c r="V116" i="89" a="1"/>
  <c r="V116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Z122" i="89" a="1"/>
  <c r="Z122" i="89"/>
  <c r="AA122" i="89" a="1"/>
  <c r="AA122" i="89"/>
  <c r="V160" i="89" a="1"/>
  <c r="V160" i="89"/>
  <c r="C108" i="89" a="1"/>
  <c r="C108" i="89"/>
  <c r="V122" i="89" a="1"/>
  <c r="V122" i="89"/>
  <c r="T115" i="89" a="1"/>
  <c r="T115" i="89"/>
  <c r="D96" i="89" a="1"/>
  <c r="D96" i="89"/>
  <c r="D153" i="89" a="1"/>
  <c r="D153" i="89"/>
  <c r="C153" i="89" a="1"/>
  <c r="C153" i="89"/>
  <c r="T137" i="89" a="1"/>
  <c r="T137" i="89"/>
  <c r="C122" i="89" a="1"/>
  <c r="C122" i="89"/>
  <c r="AA102" i="89" a="1"/>
  <c r="AA102" i="89"/>
  <c r="D129" i="89" a="1"/>
  <c r="D129" i="89"/>
  <c r="AA160" i="89" a="1"/>
  <c r="AA160" i="89"/>
  <c r="D122" i="89" a="1"/>
  <c r="D122" i="89"/>
  <c r="T153" i="89" a="1"/>
  <c r="T153" i="89"/>
  <c r="T116" i="89" a="1"/>
  <c r="T116" i="89"/>
  <c r="Z108" i="89" a="1"/>
  <c r="Z108" i="89"/>
  <c r="AA108" i="89" a="1"/>
  <c r="AA108" i="89"/>
  <c r="E237" i="89" a="1"/>
  <c r="E237" i="89"/>
  <c r="E213" i="89" a="1"/>
  <c r="E213" i="89"/>
  <c r="E236" i="89" a="1"/>
  <c r="E236" i="89"/>
  <c r="E187" i="89" a="1"/>
  <c r="E187" i="89"/>
  <c r="E211" i="89" a="1"/>
  <c r="E211" i="89"/>
  <c r="AC23" i="1" a="1"/>
  <c r="AC23" i="1"/>
  <c r="AB32" i="1"/>
  <c r="K23" i="1" a="1"/>
  <c r="K23" i="1"/>
  <c r="K17" i="1" a="1"/>
  <c r="K17" i="1"/>
  <c r="E5" i="1" a="1"/>
  <c r="E5" i="1"/>
  <c r="AC20" i="1" a="1"/>
  <c r="AC20" i="1"/>
  <c r="AI20" i="1"/>
  <c r="AF22" i="1"/>
  <c r="AC21" i="1" a="1"/>
  <c r="AC21" i="1"/>
  <c r="AB17" i="1"/>
  <c r="AB16" i="1"/>
  <c r="AF12" i="1"/>
  <c r="AI22" i="1"/>
  <c r="AC12" i="1"/>
  <c r="K21" i="1" a="1"/>
  <c r="K21" i="1"/>
  <c r="K20" i="1" a="1"/>
  <c r="K20" i="1"/>
  <c r="K32" i="1" a="1"/>
  <c r="K32" i="1"/>
  <c r="AF32" i="1"/>
  <c r="AB22" i="1"/>
  <c r="AI21" i="1"/>
  <c r="AB13" i="1"/>
  <c r="AF23" i="1"/>
  <c r="AC17" i="1" a="1"/>
  <c r="AC17" i="1"/>
  <c r="AC30" i="1" a="1"/>
  <c r="AC30" i="1"/>
  <c r="AI12" i="1"/>
  <c r="AC16" i="1" a="1"/>
  <c r="AC16" i="1"/>
  <c r="AF17" i="1"/>
  <c r="AI16" i="1"/>
  <c r="AC22" i="1" a="1"/>
  <c r="AC22" i="1"/>
  <c r="AB21" i="1"/>
  <c r="AI30" i="1"/>
  <c r="K12" i="1" a="1"/>
  <c r="K12" i="1"/>
  <c r="AI32" i="1"/>
  <c r="AB23" i="1"/>
  <c r="AI13" i="1"/>
  <c r="K30" i="1" a="1"/>
  <c r="K30" i="1"/>
  <c r="AC32" i="1"/>
  <c r="AF13" i="1"/>
  <c r="AC13" i="1"/>
  <c r="AF16" i="1"/>
  <c r="K16" i="1" a="1"/>
  <c r="K16" i="1"/>
  <c r="AF21" i="1"/>
  <c r="K13" i="1" a="1"/>
  <c r="K13" i="1"/>
  <c r="AB30" i="1"/>
  <c r="AI23" i="1"/>
  <c r="AF30" i="1"/>
  <c r="AB12" i="1"/>
  <c r="AI17" i="1"/>
  <c r="AB20" i="1"/>
  <c r="AF20" i="1"/>
  <c r="K22" i="1" a="1"/>
  <c r="K22" i="1"/>
  <c r="AG16" i="1"/>
  <c r="AG33" i="1"/>
  <c r="AG18" i="1"/>
  <c r="AG22" i="1"/>
  <c r="AG32" i="1"/>
  <c r="AG26" i="1"/>
  <c r="AG29" i="1"/>
  <c r="AG25" i="1"/>
  <c r="AG24" i="1"/>
  <c r="AG12" i="1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T50" i="338" a="1"/>
  <c r="T50" i="338"/>
  <c r="S49" i="338" a="1"/>
  <c r="S49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C19" i="89"/>
  <c r="V236" i="89" a="1"/>
  <c r="V236" i="89"/>
  <c r="V49" i="89" a="1"/>
  <c r="V49" i="89"/>
  <c r="V19" i="89"/>
  <c r="C39" i="89" a="1"/>
  <c r="C39" i="89"/>
  <c r="T197" i="89" a="1"/>
  <c r="T197" i="89"/>
  <c r="O7" i="89" a="1"/>
  <c r="O7" i="89"/>
  <c r="T7" i="89" a="1"/>
  <c r="T7" i="89"/>
  <c r="O211" i="89" a="1"/>
  <c r="O211" i="89"/>
  <c r="C211" i="89" a="1"/>
  <c r="C211" i="89"/>
  <c r="Z7" i="89"/>
  <c r="O236" i="89" a="1"/>
  <c r="O236" i="89"/>
  <c r="V211" i="89" a="1"/>
  <c r="V211" i="89"/>
  <c r="C186" i="89" a="1"/>
  <c r="C186" i="89"/>
  <c r="T75" i="89" a="1"/>
  <c r="T75" i="89"/>
  <c r="C7" i="89" a="1"/>
  <c r="C7" i="89"/>
  <c r="Z236" i="89" a="1"/>
  <c r="Z236" i="89"/>
  <c r="V39" i="89" a="1"/>
  <c r="V39" i="89"/>
  <c r="T211" i="89" a="1"/>
  <c r="T211" i="89"/>
  <c r="O186" i="89" a="1"/>
  <c r="O186" i="89"/>
  <c r="Z186" i="89" a="1"/>
  <c r="C213" i="89" a="1"/>
  <c r="Z186" i="89" l="1"/>
  <c r="C213" i="89"/>
  <c r="V197" i="89" a="1"/>
  <c r="V197" i="89"/>
  <c r="C49" i="89" a="1"/>
  <c r="C49" i="89"/>
  <c r="T49" i="89" a="1"/>
  <c r="T49" i="89"/>
  <c r="O75" i="89" a="1"/>
  <c r="O75" i="89"/>
  <c r="Z75" i="89" a="1"/>
  <c r="T236" i="89" a="1"/>
  <c r="Z75" i="89" l="1"/>
  <c r="T236" i="89"/>
  <c r="O197" i="89" a="1"/>
  <c r="O197" i="89"/>
  <c r="Z197" i="89" a="1"/>
  <c r="V213" i="89" a="1"/>
  <c r="Z197" i="89" l="1"/>
  <c r="V213" i="89"/>
  <c r="V186" i="89" a="1"/>
  <c r="V186" i="89"/>
  <c r="O39" i="89" a="1"/>
  <c r="O39" i="89"/>
  <c r="Z39" i="89" a="1"/>
  <c r="T19" i="89"/>
  <c r="V7" i="89" a="1"/>
  <c r="Z39" i="89" l="1"/>
  <c r="V7" i="89"/>
  <c r="T213" i="89" a="1"/>
  <c r="T213" i="89"/>
  <c r="C236" i="89" a="1"/>
  <c r="C236" i="89"/>
  <c r="Z211" i="89" a="1"/>
  <c r="Z211" i="89"/>
  <c r="O49" i="89" a="1"/>
  <c r="O49" i="89"/>
  <c r="Z49" i="89" a="1"/>
  <c r="T39" i="89" a="1"/>
  <c r="Z49" i="89" l="1"/>
  <c r="T39" i="89"/>
  <c r="T186" i="89" a="1"/>
  <c r="T186" i="89"/>
  <c r="O213" i="89" a="1"/>
  <c r="O213" i="89"/>
  <c r="Z213" i="89" a="1"/>
  <c r="V75" i="89" a="1"/>
  <c r="Z213" i="89" l="1"/>
  <c r="V75" i="89"/>
  <c r="O19" i="89"/>
  <c r="Z19" i="89" s="1" a="1"/>
  <c r="C75" i="89" a="1"/>
  <c r="Z19" i="89" l="1"/>
  <c r="C75" i="89"/>
  <c r="C197" i="89" a="1"/>
  <c r="C197" i="89"/>
  <c r="K9" i="1" a="1"/>
  <c r="K9" i="1"/>
  <c r="E8" i="1" a="1"/>
  <c r="E8" i="1"/>
  <c r="E4" i="1" a="1"/>
  <c r="E4" i="1"/>
  <c r="F18" i="446" a="1"/>
  <c r="F18" i="446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K3" i="1" a="1"/>
  <c r="K3" i="1"/>
  <c r="F22" i="446" a="1"/>
  <c r="F22" i="446"/>
  <c r="AK49" i="338" a="1"/>
  <c r="AK49" i="338"/>
  <c r="AK48" i="338" a="1"/>
  <c r="AK48" i="338"/>
  <c r="AF54" i="338"/>
  <c r="AF53" i="338"/>
  <c r="AF52" i="338"/>
  <c r="F15" i="446" a="1"/>
  <c r="F15" i="446"/>
  <c r="F21" i="446" a="1"/>
  <c r="F21" i="446"/>
  <c r="AI8" i="338" a="1"/>
  <c r="AI8" i="338"/>
  <c r="AI50" i="338" a="1"/>
  <c r="AI50" i="338"/>
  <c r="AI46" i="338" a="1"/>
  <c r="AI46" i="338"/>
  <c r="AI32" i="338" a="1"/>
  <c r="AI32" i="338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K8" i="338" a="1"/>
  <c r="AK8" i="338"/>
  <c r="AK50" i="338" a="1"/>
  <c r="AK50" i="338"/>
  <c r="AK46" i="338" a="1"/>
  <c r="AK46" i="338"/>
  <c r="AK32" i="338" a="1"/>
  <c r="AK32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2" i="1"/>
  <c r="K1" i="1"/>
  <c r="AG37" i="338"/>
  <c r="AG36" i="338"/>
  <c r="AG35" i="338"/>
  <c r="AG34" i="338"/>
  <c r="AF51" i="338"/>
  <c r="AF50" i="338"/>
  <c r="AG8" i="338"/>
  <c r="AG50" i="338"/>
  <c r="AG46" i="338"/>
  <c r="AG32" i="338"/>
  <c r="K8" i="1" a="1"/>
  <c r="K8" i="1"/>
  <c r="AG49" i="338"/>
  <c r="AG48" i="338"/>
  <c r="K5" i="1" a="1"/>
  <c r="K5" i="1"/>
  <c r="G21" i="446" a="1"/>
  <c r="G21" i="446"/>
  <c r="G24" i="446" a="1"/>
  <c r="G24" i="446"/>
  <c r="AG52" i="338"/>
  <c r="AG44" i="338"/>
  <c r="AG39" i="338"/>
  <c r="AG38" i="338"/>
  <c r="AG17" i="338"/>
  <c r="AG16" i="338"/>
  <c r="AG15" i="338"/>
  <c r="G9" i="446" a="1"/>
  <c r="G9" i="446"/>
  <c r="K4" i="1" a="1"/>
  <c r="K4" i="1"/>
  <c r="X3" i="1"/>
  <c r="G18" i="446" a="1"/>
  <c r="G18" i="446"/>
  <c r="F9" i="446" a="1"/>
  <c r="F9" i="446"/>
  <c r="AJ37" i="338" a="1"/>
  <c r="AJ37" i="338"/>
  <c r="AH37" i="338" a="1"/>
  <c r="AH37" i="338"/>
  <c r="K25" i="1" a="1"/>
  <c r="K25" i="1"/>
  <c r="E1" i="1"/>
  <c r="AJ36" i="338" a="1"/>
  <c r="AJ36" i="338"/>
  <c r="AI25" i="1"/>
  <c r="AF37" i="338"/>
  <c r="AF29" i="1"/>
  <c r="AC25" i="1" a="1"/>
  <c r="AC25" i="1"/>
  <c r="AC29" i="1" a="1"/>
  <c r="AC29" i="1"/>
  <c r="AH36" i="338" a="1"/>
  <c r="AH36" i="338"/>
  <c r="AI29" i="1"/>
  <c r="AB25" i="1"/>
  <c r="AB29" i="1"/>
  <c r="K29" i="1" a="1"/>
  <c r="K29" i="1"/>
  <c r="AF36" i="338"/>
  <c r="AF25" i="1"/>
  <c r="AK45" i="338" a="1"/>
  <c r="AK45" i="338"/>
  <c r="AG45" i="338"/>
  <c r="AI45" i="338" a="1"/>
  <c r="AI45" i="338"/>
  <c r="K7" i="1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P54" i="338" a="1"/>
  <c r="P54" i="338"/>
  <c r="S54" i="338" a="1"/>
  <c r="S54" i="338"/>
  <c r="T35" i="338" a="1"/>
  <c r="T35" i="338"/>
  <c r="P51" i="338" a="1"/>
  <c r="P51" i="338"/>
  <c r="T40" i="338" a="1"/>
  <c r="T40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AC15" i="1"/>
  <c r="G6" i="446" a="1"/>
  <c r="G6" i="446"/>
  <c r="G5" i="446" a="1"/>
  <c r="G5" i="446"/>
  <c r="AI15" i="1"/>
  <c r="AF15" i="1"/>
  <c r="AB15" i="1"/>
  <c r="F6" i="446" a="1"/>
  <c r="F6" i="446"/>
  <c r="F5" i="446" a="1"/>
  <c r="F5" i="446"/>
  <c r="K15" i="1" a="1"/>
  <c r="K15" i="1"/>
  <c r="K10" i="1"/>
  <c r="L20" i="1" a="1"/>
  <c r="L20" i="1"/>
  <c r="N95" i="89" a="1"/>
  <c r="N95" i="89"/>
  <c r="N82" i="89" a="1"/>
  <c r="N82" i="89"/>
  <c r="N76" i="89" a="1"/>
  <c r="N76" i="89"/>
  <c r="N160" i="89" a="1"/>
  <c r="N160" i="89"/>
  <c r="Z160" i="89" a="1"/>
  <c r="N102" i="89" a="1"/>
  <c r="Z160" i="89" l="1"/>
  <c r="N102" i="89"/>
  <c r="Z102" i="89" a="1"/>
  <c r="N101" i="89" a="1"/>
  <c r="Z102" i="89" l="1"/>
  <c r="N101" i="89"/>
  <c r="L33" i="1" a="1"/>
  <c r="L33" i="1"/>
  <c r="L32" i="1" a="1"/>
  <c r="L32" i="1"/>
  <c r="L31" i="1" a="1"/>
  <c r="L31" i="1"/>
  <c r="L30" i="1" a="1"/>
  <c r="L30" i="1"/>
  <c r="L29" i="1" a="1"/>
  <c r="L29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O6" i="252" a="1"/>
  <c r="O6" i="252"/>
  <c r="AI14" i="1"/>
  <c r="Y6" i="252" a="1"/>
  <c r="Y6" i="252"/>
  <c r="L6" i="252" a="1"/>
  <c r="L6" i="252"/>
  <c r="AF14" i="1"/>
  <c r="M6" i="252" a="1"/>
  <c r="M6" i="252"/>
  <c r="N6" i="252" a="1"/>
  <c r="N6" i="252"/>
  <c r="AC14" i="1"/>
  <c r="AB14" i="1"/>
  <c r="K14" i="1" a="1"/>
  <c r="K14" i="1"/>
  <c r="AF27" i="1"/>
  <c r="AI27" i="1"/>
  <c r="AB27" i="1"/>
  <c r="AC27" i="1" a="1"/>
  <c r="AC27" i="1"/>
  <c r="E145" i="89" a="1"/>
  <c r="E145" i="89"/>
  <c r="T90" i="89" a="1"/>
  <c r="T90" i="89"/>
  <c r="V89" i="89" a="1"/>
  <c r="V89" i="89"/>
  <c r="V109" i="89" a="1"/>
  <c r="V109" i="89"/>
  <c r="D145" i="89" a="1"/>
  <c r="D145" i="89"/>
  <c r="V90" i="89" a="1"/>
  <c r="V90" i="89"/>
  <c r="V144" i="89" a="1"/>
  <c r="V144" i="89"/>
  <c r="D109" i="89" a="1"/>
  <c r="D109" i="89"/>
  <c r="Z89" i="89" a="1"/>
  <c r="Z89" i="89"/>
  <c r="AA89" i="89" a="1"/>
  <c r="AA89" i="89"/>
  <c r="C90" i="89" a="1"/>
  <c r="C90" i="89"/>
  <c r="C123" i="89" a="1"/>
  <c r="C123" i="89"/>
  <c r="T136" i="89" a="1"/>
  <c r="T136" i="89"/>
  <c r="D123" i="89" a="1"/>
  <c r="D123" i="89"/>
  <c r="D101" i="89" a="1"/>
  <c r="D101" i="89"/>
  <c r="C136" i="89" a="1"/>
  <c r="C136" i="89"/>
  <c r="T138" i="89" a="1"/>
  <c r="T138" i="89"/>
  <c r="E89" i="89" a="1"/>
  <c r="E89" i="89"/>
  <c r="C95" i="89" a="1"/>
  <c r="C95" i="89"/>
  <c r="V136" i="89" a="1"/>
  <c r="V136" i="89"/>
  <c r="Z145" i="89" a="1"/>
  <c r="Z145" i="89"/>
  <c r="AA145" i="89" a="1"/>
  <c r="AA145" i="89"/>
  <c r="V101" i="89" a="1"/>
  <c r="V101" i="89"/>
  <c r="D90" i="89" a="1"/>
  <c r="D90" i="89"/>
  <c r="C89" i="89" a="1"/>
  <c r="C89" i="89"/>
  <c r="V138" i="89" a="1"/>
  <c r="V138" i="89"/>
  <c r="Z90" i="89" a="1"/>
  <c r="Z90" i="89"/>
  <c r="AA90" i="89" a="1"/>
  <c r="AA90" i="89"/>
  <c r="Z138" i="89" a="1"/>
  <c r="Z138" i="89"/>
  <c r="AA138" i="89" a="1"/>
  <c r="AA138" i="89"/>
  <c r="V95" i="89" a="1"/>
  <c r="V95" i="89"/>
  <c r="C145" i="89" a="1"/>
  <c r="C145" i="89"/>
  <c r="C138" i="89" a="1"/>
  <c r="C138" i="89"/>
  <c r="E101" i="89" a="1"/>
  <c r="E101" i="89"/>
  <c r="T123" i="89" a="1"/>
  <c r="T123" i="89"/>
  <c r="V145" i="89" a="1"/>
  <c r="V145" i="89"/>
  <c r="D95" i="89" a="1"/>
  <c r="D95" i="89"/>
  <c r="E123" i="89" a="1"/>
  <c r="E123" i="89"/>
  <c r="Z101" i="89" a="1"/>
  <c r="Z101" i="89"/>
  <c r="AA101" i="89" a="1"/>
  <c r="AA101" i="89"/>
  <c r="D89" i="89" a="1"/>
  <c r="D89" i="89"/>
  <c r="C109" i="89" a="1"/>
  <c r="C109" i="89"/>
  <c r="D138" i="89" a="1"/>
  <c r="D138" i="89"/>
  <c r="D144" i="89" a="1"/>
  <c r="D144" i="89"/>
  <c r="E6" i="1" a="1"/>
  <c r="E6" i="1"/>
  <c r="Z109" i="89" a="1"/>
  <c r="Z109" i="89"/>
  <c r="AA109" i="89" a="1"/>
  <c r="AA109" i="89"/>
  <c r="G27" i="446" a="1"/>
  <c r="G27" i="446"/>
  <c r="E109" i="89" a="1"/>
  <c r="E109" i="89"/>
  <c r="F27" i="446" a="1"/>
  <c r="F27" i="446"/>
  <c r="E95" i="89" a="1"/>
  <c r="E95" i="89"/>
  <c r="AK11" i="338" a="1"/>
  <c r="AK11" i="338"/>
  <c r="AI11" i="338" a="1"/>
  <c r="AI11" i="338"/>
  <c r="E90" i="89" a="1"/>
  <c r="E90" i="89"/>
  <c r="T145" i="89" a="1"/>
  <c r="T145" i="89"/>
  <c r="D27" i="446" a="1"/>
  <c r="D27" i="446"/>
  <c r="Z95" i="89" a="1"/>
  <c r="Z95" i="89"/>
  <c r="AA95" i="89" a="1"/>
  <c r="AA95" i="89"/>
  <c r="C101" i="89" a="1"/>
  <c r="C101" i="89"/>
  <c r="T101" i="89" a="1"/>
  <c r="T101" i="89"/>
  <c r="Z144" i="89" a="1"/>
  <c r="Z144" i="89"/>
  <c r="AA144" i="89" a="1"/>
  <c r="AA144" i="89"/>
  <c r="AG11" i="338"/>
  <c r="T144" i="89" a="1"/>
  <c r="T144" i="89"/>
  <c r="E144" i="89" a="1"/>
  <c r="E144" i="89"/>
  <c r="T95" i="89" a="1"/>
  <c r="T95" i="89"/>
  <c r="T89" i="89" a="1"/>
  <c r="T89" i="89"/>
  <c r="Z136" i="89" a="1"/>
  <c r="Z136" i="89"/>
  <c r="AA136" i="89" a="1"/>
  <c r="AA136" i="89"/>
  <c r="E136" i="89" a="1"/>
  <c r="E136" i="89"/>
  <c r="V123" i="89" a="1"/>
  <c r="V123" i="89"/>
  <c r="T109" i="89" a="1"/>
  <c r="T109" i="89"/>
  <c r="D136" i="89" a="1"/>
  <c r="D136" i="89"/>
  <c r="E138" i="89" a="1"/>
  <c r="E138" i="89"/>
  <c r="C144" i="89" a="1"/>
  <c r="C144" i="89"/>
  <c r="Z123" i="89" a="1"/>
  <c r="Z123" i="89"/>
  <c r="AA123" i="89" a="1"/>
  <c r="AA123" i="89"/>
  <c r="F39" i="446" a="1"/>
  <c r="F39" i="446"/>
  <c r="G32" i="446" a="1"/>
  <c r="G32" i="446"/>
  <c r="AJ40" i="338" a="1"/>
  <c r="AJ40" i="338"/>
  <c r="AJ38" i="338" a="1"/>
  <c r="AJ38" i="338"/>
  <c r="AJ16" i="338" a="1"/>
  <c r="AJ16" i="338"/>
  <c r="AH40" i="338" a="1"/>
  <c r="AH40" i="338"/>
  <c r="AH38" i="338" a="1"/>
  <c r="AH38" i="338"/>
  <c r="AH16" i="338" a="1"/>
  <c r="AH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F32" i="446" a="1"/>
  <c r="F32" i="446"/>
  <c r="G34" i="446" a="1"/>
  <c r="G34" i="446"/>
  <c r="G33" i="446" a="1"/>
  <c r="G33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AI30" i="338" a="1"/>
  <c r="AI30" i="338"/>
  <c r="AF12" i="338"/>
  <c r="F34" i="446" a="1"/>
  <c r="F34" i="446"/>
  <c r="AG12" i="338"/>
  <c r="AK29" i="338" a="1"/>
  <c r="AK29" i="338"/>
  <c r="F41" i="446" a="1"/>
  <c r="F41" i="446"/>
  <c r="AK18" i="338" a="1"/>
  <c r="AK18" i="338"/>
  <c r="F42" i="446" a="1"/>
  <c r="F42" i="446"/>
  <c r="G41" i="446" a="1"/>
  <c r="G41" i="446"/>
  <c r="D32" i="446" a="1"/>
  <c r="D32" i="446"/>
  <c r="AK40" i="338" a="1"/>
  <c r="AK40" i="338"/>
  <c r="AJ39" i="338" a="1"/>
  <c r="AJ39" i="338"/>
  <c r="AJ15" i="338" a="1"/>
  <c r="AJ15" i="338"/>
  <c r="D40" i="446" a="1"/>
  <c r="D40" i="446"/>
  <c r="AK30" i="338" a="1"/>
  <c r="AK30" i="338"/>
  <c r="AF40" i="338"/>
  <c r="AF38" i="338"/>
  <c r="AF16" i="338"/>
  <c r="AI40" i="338" a="1"/>
  <c r="AI40" i="338"/>
  <c r="AH39" i="338" a="1"/>
  <c r="AH39" i="338"/>
  <c r="AH15" i="338" a="1"/>
  <c r="AH15" i="338"/>
  <c r="D33" i="446" a="1"/>
  <c r="D33" i="446"/>
  <c r="AF30" i="338"/>
  <c r="AF29" i="338"/>
  <c r="F38" i="446" a="1"/>
  <c r="F38" i="446"/>
  <c r="AG18" i="338"/>
  <c r="G39" i="446" a="1"/>
  <c r="G39" i="446"/>
  <c r="D42" i="446" a="1"/>
  <c r="D42" i="446"/>
  <c r="G42" i="446" a="1"/>
  <c r="G42" i="446"/>
  <c r="AG30" i="338"/>
  <c r="G38" i="446" a="1"/>
  <c r="G38" i="446"/>
  <c r="AI29" i="338" a="1"/>
  <c r="AI29" i="338"/>
  <c r="F40" i="446" a="1"/>
  <c r="F40" i="446"/>
  <c r="D34" i="446" a="1"/>
  <c r="D34" i="446"/>
  <c r="AG29" i="338"/>
  <c r="AI18" i="338" a="1"/>
  <c r="AI18" i="338"/>
  <c r="D38" i="446" a="1"/>
  <c r="D38" i="446"/>
  <c r="G40" i="446" a="1"/>
  <c r="G40" i="446"/>
  <c r="D41" i="446" a="1"/>
  <c r="D41" i="446"/>
  <c r="E10" i="1"/>
  <c r="AF10" i="1" a="1"/>
  <c r="AF10" i="1"/>
  <c r="AG14" i="1"/>
  <c r="AG19" i="1"/>
  <c r="C50" i="89" a="1"/>
  <c r="C50" i="89"/>
  <c r="V204" i="89" a="1"/>
  <c r="V204" i="89"/>
  <c r="T233" i="89" a="1"/>
  <c r="T233" i="89"/>
  <c r="T204" i="89" a="1"/>
  <c r="T204" i="89"/>
  <c r="T20" i="89" a="1"/>
  <c r="T20" i="89"/>
  <c r="V203" i="89" a="1"/>
  <c r="V203" i="89"/>
  <c r="O171" i="89" a="1"/>
  <c r="O171" i="89"/>
  <c r="V171" i="89" a="1"/>
  <c r="V171" i="89"/>
  <c r="T222" i="89" a="1"/>
  <c r="T222" i="89"/>
  <c r="O26" i="89" a="1"/>
  <c r="O26" i="89"/>
  <c r="O222" i="89" a="1"/>
  <c r="O222" i="89"/>
  <c r="AA204" i="89" a="1"/>
  <c r="AA204" i="89"/>
  <c r="C203" i="89" a="1"/>
  <c r="C203" i="89"/>
  <c r="C187" i="89" a="1"/>
  <c r="C187" i="89"/>
  <c r="V222" i="89" a="1"/>
  <c r="V222" i="89"/>
  <c r="V26" i="89" a="1"/>
  <c r="V26" i="89"/>
  <c r="O203" i="89" a="1"/>
  <c r="O203" i="89"/>
  <c r="V20" i="89" a="1"/>
  <c r="V20" i="89"/>
  <c r="Z171" i="89" a="1"/>
  <c r="Z171" i="89"/>
  <c r="C20" i="89" a="1"/>
  <c r="C20" i="89"/>
  <c r="C188" i="89" a="1"/>
  <c r="C188" i="89"/>
  <c r="O20" i="89" a="1"/>
  <c r="O20" i="89"/>
  <c r="C233" i="89" a="1"/>
  <c r="C233" i="89"/>
  <c r="C204" i="89" a="1"/>
  <c r="C204" i="89"/>
  <c r="C26" i="89" a="1"/>
  <c r="C26" i="89"/>
  <c r="O50" i="89" a="1"/>
  <c r="O50" i="89"/>
  <c r="Z50" i="89" a="1"/>
  <c r="T203" i="89" a="1"/>
  <c r="Z50" i="89" l="1"/>
  <c r="T203" i="89"/>
  <c r="O233" i="89" a="1"/>
  <c r="O233" i="89"/>
  <c r="T26" i="89" a="1"/>
  <c r="T26" i="89"/>
  <c r="V233" i="89" a="1"/>
  <c r="V233" i="89"/>
  <c r="V50" i="89" a="1"/>
  <c r="V50" i="89"/>
  <c r="T188" i="89" a="1"/>
  <c r="T188" i="89"/>
  <c r="Z233" i="89" a="1"/>
  <c r="Z233" i="89"/>
  <c r="Z222" i="89" a="1"/>
  <c r="Z222" i="89"/>
  <c r="T187" i="89" a="1"/>
  <c r="T187" i="89"/>
  <c r="Z203" i="89" a="1"/>
  <c r="Z203" i="89"/>
  <c r="AA203" i="89" a="1"/>
  <c r="AA203" i="89"/>
  <c r="T50" i="89" a="1"/>
  <c r="T50" i="89"/>
  <c r="O187" i="89" a="1"/>
  <c r="O187" i="89"/>
  <c r="Z187" i="89" a="1"/>
  <c r="Z26" i="89" a="1"/>
  <c r="Z187" i="89" l="1"/>
  <c r="Z26" i="89"/>
  <c r="C171" i="89" a="1"/>
  <c r="C171" i="89"/>
  <c r="O204" i="89" a="1"/>
  <c r="O204" i="89"/>
  <c r="Z204" i="89" a="1"/>
  <c r="C222" i="89" a="1"/>
  <c r="Z204" i="89" l="1"/>
  <c r="C222" i="89"/>
  <c r="T171" i="89" a="1"/>
  <c r="T171" i="89"/>
  <c r="Z20" i="89" a="1"/>
  <c r="Z20" i="89"/>
  <c r="O188" i="89" a="1"/>
  <c r="O188" i="89"/>
  <c r="Z188" i="89" a="1"/>
  <c r="V187" i="89" a="1"/>
  <c r="Z188" i="89" l="1"/>
  <c r="V187" i="89"/>
  <c r="V188" i="89" a="1"/>
  <c r="V188" i="89"/>
  <c r="D69" i="89" a="1"/>
  <c r="D69" i="89"/>
  <c r="E82" i="89" a="1"/>
  <c r="E82" i="89"/>
  <c r="D76" i="89" a="1"/>
  <c r="D76" i="89"/>
  <c r="AA69" i="89" a="1"/>
  <c r="AA69" i="89"/>
  <c r="O82" i="89" a="1"/>
  <c r="O82" i="89"/>
  <c r="Z82" i="89" a="1"/>
  <c r="Z82" i="89"/>
  <c r="AA82" i="89" a="1"/>
  <c r="AA82" i="89"/>
  <c r="E76" i="89" a="1"/>
  <c r="E76" i="89"/>
  <c r="V82" i="89" a="1"/>
  <c r="V82" i="89"/>
  <c r="V69" i="89" a="1"/>
  <c r="V69" i="89"/>
  <c r="T69" i="89" a="1"/>
  <c r="T69" i="89"/>
  <c r="T76" i="89" a="1"/>
  <c r="T76" i="89"/>
  <c r="C82" i="89" a="1"/>
  <c r="C82" i="89"/>
  <c r="C76" i="89" a="1"/>
  <c r="C76" i="89"/>
  <c r="V76" i="89" a="1"/>
  <c r="V76" i="89"/>
  <c r="AA76" i="89" a="1"/>
  <c r="AA76" i="89"/>
  <c r="O76" i="89" a="1"/>
  <c r="O76" i="89"/>
  <c r="Z76" i="89" a="1"/>
  <c r="O69" i="89" a="1"/>
  <c r="Z76" i="89" l="1"/>
  <c r="O69" i="89"/>
  <c r="Z69" i="89" a="1"/>
  <c r="E69" i="89" a="1"/>
  <c r="Z69" i="89" l="1"/>
  <c r="E69" i="89"/>
  <c r="T82" i="89" a="1"/>
  <c r="T82" i="89"/>
  <c r="C69" i="89" a="1"/>
  <c r="C69" i="89"/>
  <c r="D82" i="89" a="1"/>
  <c r="D82" i="89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D20" i="2" a="1"/>
  <c r="D20" i="2"/>
  <c r="AC20" i="2" a="1"/>
  <c r="AQ20" i="2" a="1"/>
  <c r="C33" i="89" a="1"/>
  <c r="AQ20" i="2" l="1"/>
  <c r="AC20" i="2"/>
  <c r="C33" i="89"/>
  <c r="T4" i="2" a="1"/>
  <c r="T4" i="2"/>
  <c r="O55" i="89" a="1"/>
  <c r="O55" i="89"/>
  <c r="AA16" i="2" a="1"/>
  <c r="AA16" i="2"/>
  <c r="T62" i="89" a="1"/>
  <c r="T62" i="89"/>
  <c r="E11" i="2" a="1"/>
  <c r="E11" i="2"/>
  <c r="E5" i="2" a="1"/>
  <c r="E5" i="2"/>
  <c r="T22" i="2" a="1"/>
  <c r="T22" i="2"/>
  <c r="O13" i="89" a="1"/>
  <c r="O13" i="89"/>
  <c r="T5" i="2" a="1"/>
  <c r="T5" i="2"/>
  <c r="O56" i="89" a="1"/>
  <c r="O56" i="89"/>
  <c r="Z56" i="89" a="1"/>
  <c r="T16" i="2" a="1"/>
  <c r="Z56" i="89" l="1"/>
  <c r="T16" i="2"/>
  <c r="O62" i="89" a="1"/>
  <c r="O62" i="89"/>
  <c r="D4" i="2" a="1"/>
  <c r="D4" i="2"/>
  <c r="C55" i="89" a="1"/>
  <c r="C55" i="89"/>
  <c r="AA17" i="2" a="1"/>
  <c r="AA17" i="2"/>
  <c r="T63" i="89" a="1"/>
  <c r="T63" i="89"/>
  <c r="AD16" i="2" a="1"/>
  <c r="AD16" i="2"/>
  <c r="V62" i="89" a="1"/>
  <c r="V62" i="89"/>
  <c r="AR22" i="2" a="1"/>
  <c r="AR22" i="2"/>
  <c r="C16" i="2" a="1"/>
  <c r="C16" i="2"/>
  <c r="AR12" i="2" a="1"/>
  <c r="AR12" i="2"/>
  <c r="AA4" i="2" a="1"/>
  <c r="AA4" i="2"/>
  <c r="T55" i="89" a="1"/>
  <c r="T55" i="89"/>
  <c r="E4" i="2" a="1"/>
  <c r="E4" i="2"/>
  <c r="C5" i="2" a="1"/>
  <c r="C5" i="2"/>
  <c r="AR16" i="2" a="1"/>
  <c r="AR16" i="2"/>
  <c r="D12" i="2" a="1"/>
  <c r="D12" i="2"/>
  <c r="C170" i="89" a="1"/>
  <c r="C170" i="89"/>
  <c r="F8" i="2" a="1"/>
  <c r="F8" i="2"/>
  <c r="AR5" i="2" a="1"/>
  <c r="AR5" i="2"/>
  <c r="AD23" i="2" a="1"/>
  <c r="AD23" i="2"/>
  <c r="V14" i="89" a="1"/>
  <c r="V14" i="89"/>
  <c r="D17" i="2" a="1"/>
  <c r="D17" i="2"/>
  <c r="C63" i="89" a="1"/>
  <c r="C63" i="89"/>
  <c r="AA12" i="2" a="1"/>
  <c r="AA12" i="2"/>
  <c r="T170" i="89" a="1"/>
  <c r="T170" i="89"/>
  <c r="AR23" i="2" a="1"/>
  <c r="AR23" i="2"/>
  <c r="F4" i="2" a="1"/>
  <c r="F4" i="2"/>
  <c r="C20" i="2" a="1"/>
  <c r="C20" i="2"/>
  <c r="AA11" i="2" a="1"/>
  <c r="AA11" i="2"/>
  <c r="T8" i="89" a="1"/>
  <c r="T8" i="89"/>
  <c r="F11" i="2" a="1"/>
  <c r="F11" i="2"/>
  <c r="T20" i="2" a="1"/>
  <c r="T20" i="2"/>
  <c r="O33" i="89" a="1"/>
  <c r="O33" i="89"/>
  <c r="T12" i="2" a="1"/>
  <c r="T12" i="2"/>
  <c r="O170" i="89" a="1"/>
  <c r="O170" i="89"/>
  <c r="Z13" i="89" a="1"/>
  <c r="Z13" i="89"/>
  <c r="AR11" i="2" a="1"/>
  <c r="AR11" i="2"/>
  <c r="AR4" i="2" a="1"/>
  <c r="AR4" i="2"/>
  <c r="C23" i="2" a="1"/>
  <c r="C23" i="2"/>
  <c r="D5" i="2" a="1"/>
  <c r="D5" i="2"/>
  <c r="C56" i="89" a="1"/>
  <c r="C56" i="89"/>
  <c r="E8" i="2" a="1"/>
  <c r="E8" i="2"/>
  <c r="AA20" i="2" a="1"/>
  <c r="AA20" i="2"/>
  <c r="T33" i="89" a="1"/>
  <c r="T33" i="89"/>
  <c r="T8" i="2" a="1"/>
  <c r="T8" i="2"/>
  <c r="O223" i="89" a="1"/>
  <c r="O223" i="89"/>
  <c r="E16" i="2" a="1"/>
  <c r="E16" i="2"/>
  <c r="T11" i="2" a="1"/>
  <c r="T11" i="2"/>
  <c r="O8" i="89" a="1"/>
  <c r="O8" i="89"/>
  <c r="Z8" i="89" a="1"/>
  <c r="F17" i="2" a="1"/>
  <c r="Z8" i="89" l="1"/>
  <c r="F17" i="2"/>
  <c r="F5" i="2" a="1"/>
  <c r="F5" i="2"/>
  <c r="AD22" i="2" a="1"/>
  <c r="AD22" i="2"/>
  <c r="V13" i="89" a="1"/>
  <c r="V13" i="89"/>
  <c r="E23" i="2" a="1"/>
  <c r="E23" i="2"/>
  <c r="C12" i="2" a="1"/>
  <c r="C12" i="2"/>
  <c r="E17" i="2" a="1"/>
  <c r="E17" i="2"/>
  <c r="F16" i="2" a="1"/>
  <c r="F16" i="2"/>
  <c r="AD4" i="2" a="1"/>
  <c r="AD4" i="2"/>
  <c r="V55" i="89" a="1"/>
  <c r="V55" i="89"/>
  <c r="C4" i="2" a="1"/>
  <c r="C4" i="2"/>
  <c r="AD20" i="2" a="1"/>
  <c r="AD20" i="2"/>
  <c r="V33" i="89" a="1"/>
  <c r="V33" i="89"/>
  <c r="C22" i="2" a="1"/>
  <c r="C22" i="2"/>
  <c r="E22" i="2" a="1"/>
  <c r="E22" i="2"/>
  <c r="Z55" i="89" a="1"/>
  <c r="Z55" i="89"/>
  <c r="AD8" i="2" a="1"/>
  <c r="AD8" i="2"/>
  <c r="V223" i="89" a="1"/>
  <c r="V223" i="89"/>
  <c r="AA8" i="2" a="1"/>
  <c r="AA8" i="2"/>
  <c r="T223" i="89" a="1"/>
  <c r="T223" i="89"/>
  <c r="AR8" i="2" a="1"/>
  <c r="AR8" i="2"/>
  <c r="D16" i="2" a="1"/>
  <c r="D16" i="2"/>
  <c r="C62" i="89" a="1"/>
  <c r="C62" i="89"/>
  <c r="D23" i="2" a="1"/>
  <c r="D23" i="2"/>
  <c r="C14" i="89" a="1"/>
  <c r="C14" i="89"/>
  <c r="AA22" i="2" a="1"/>
  <c r="AA22" i="2"/>
  <c r="T13" i="89" a="1"/>
  <c r="T13" i="89"/>
  <c r="F23" i="2" a="1"/>
  <c r="F23" i="2"/>
  <c r="AA5" i="2" a="1"/>
  <c r="AA5" i="2"/>
  <c r="T56" i="89" a="1"/>
  <c r="T56" i="89"/>
  <c r="F20" i="2" a="1"/>
  <c r="F20" i="2"/>
  <c r="AD17" i="2" a="1"/>
  <c r="AD17" i="2"/>
  <c r="V63" i="89" a="1"/>
  <c r="V63" i="89"/>
  <c r="AD12" i="2" a="1"/>
  <c r="AD12" i="2"/>
  <c r="V170" i="89" a="1"/>
  <c r="V170" i="89"/>
  <c r="D8" i="2" a="1"/>
  <c r="D8" i="2"/>
  <c r="C223" i="89" a="1"/>
  <c r="C223" i="89"/>
  <c r="AR17" i="2" a="1"/>
  <c r="AR17" i="2"/>
  <c r="E20" i="2" a="1"/>
  <c r="E20" i="2"/>
  <c r="C11" i="2" a="1"/>
  <c r="C11" i="2"/>
  <c r="Z170" i="89" a="1"/>
  <c r="Z170" i="89"/>
  <c r="AA23" i="2" a="1"/>
  <c r="AA23" i="2"/>
  <c r="T14" i="89" a="1"/>
  <c r="T14" i="89"/>
  <c r="C8" i="2" a="1"/>
  <c r="C8" i="2"/>
  <c r="E12" i="2" a="1"/>
  <c r="E12" i="2"/>
  <c r="C17" i="2" a="1"/>
  <c r="C17" i="2"/>
  <c r="F22" i="2" a="1"/>
  <c r="F22" i="2"/>
  <c r="AR20" i="2" a="1"/>
  <c r="AR20" i="2"/>
  <c r="Z33" i="89" a="1"/>
  <c r="Z33" i="89"/>
  <c r="D11" i="2" a="1"/>
  <c r="D11" i="2"/>
  <c r="C8" i="89" a="1"/>
  <c r="C8" i="89"/>
  <c r="AD5" i="2" a="1"/>
  <c r="AD5" i="2"/>
  <c r="V56" i="89" a="1"/>
  <c r="V56" i="89"/>
  <c r="T23" i="2" a="1"/>
  <c r="T23" i="2"/>
  <c r="O14" i="89" a="1"/>
  <c r="O14" i="89"/>
  <c r="Z14" i="89" a="1"/>
  <c r="AD11" i="2" a="1"/>
  <c r="Z14" i="89" l="1"/>
  <c r="AD11" i="2"/>
  <c r="V8" i="89" a="1"/>
  <c r="V8" i="89"/>
  <c r="D22" i="2" a="1"/>
  <c r="D22" i="2"/>
  <c r="C13" i="89" a="1"/>
  <c r="C13" i="89"/>
  <c r="Z62" i="89" a="1"/>
  <c r="Z62" i="89"/>
  <c r="F12" i="2" a="1"/>
  <c r="F12" i="2"/>
  <c r="T17" i="2" a="1"/>
  <c r="T17" i="2"/>
  <c r="O63" i="89" a="1"/>
  <c r="O63" i="89"/>
  <c r="Z63" i="89" a="1"/>
  <c r="Z223" i="89" a="1"/>
  <c r="Z63" i="89" l="1"/>
  <c r="Z223" i="89"/>
  <c r="AA205" i="89" a="1"/>
  <c r="AA205" i="89"/>
  <c r="V205" i="89" a="1"/>
  <c r="V205" i="89"/>
  <c r="T205" i="89" a="1"/>
  <c r="T205" i="89"/>
  <c r="C40" i="89" a="1"/>
  <c r="C40" i="89"/>
  <c r="C180" i="89" a="1"/>
  <c r="C180" i="89"/>
  <c r="V180" i="89" a="1"/>
  <c r="V180" i="89"/>
  <c r="O235" i="89" a="1"/>
  <c r="O235" i="89"/>
  <c r="C27" i="89" a="1"/>
  <c r="C27" i="89"/>
  <c r="T27" i="89" a="1"/>
  <c r="T27" i="89"/>
  <c r="T180" i="89" a="1"/>
  <c r="T180" i="89"/>
  <c r="Z235" i="89" a="1"/>
  <c r="Z235" i="89"/>
  <c r="O225" i="89" a="1"/>
  <c r="O225" i="89"/>
  <c r="O205" i="89" a="1"/>
  <c r="O205" i="89"/>
  <c r="Z205" i="89" a="1"/>
  <c r="V235" i="89" a="1"/>
  <c r="Z205" i="89" l="1"/>
  <c r="V235" i="89"/>
  <c r="O180" i="89" a="1"/>
  <c r="O180" i="89"/>
  <c r="T40" i="89" a="1"/>
  <c r="T40" i="89"/>
  <c r="V40" i="89" a="1"/>
  <c r="V40" i="89"/>
  <c r="C225" i="89" a="1"/>
  <c r="C225" i="89"/>
  <c r="V225" i="89" a="1"/>
  <c r="V225" i="89"/>
  <c r="Z225" i="89" a="1"/>
  <c r="Z225" i="89"/>
  <c r="T225" i="89" a="1"/>
  <c r="T225" i="89"/>
  <c r="C205" i="89" a="1"/>
  <c r="C205" i="89"/>
  <c r="V27" i="89" a="1"/>
  <c r="V27" i="89"/>
  <c r="Z180" i="89" a="1"/>
  <c r="Z180" i="89"/>
  <c r="O27" i="89" a="1"/>
  <c r="O27" i="89"/>
  <c r="Z27" i="89" a="1"/>
  <c r="T235" i="89" a="1"/>
  <c r="Z27" i="89" l="1"/>
  <c r="T235" i="89"/>
  <c r="C235" i="89" a="1"/>
  <c r="C235" i="89"/>
  <c r="O40" i="89" a="1"/>
  <c r="O40" i="89"/>
  <c r="Z40" i="89" a="1"/>
  <c r="D223" i="89" a="1"/>
  <c r="Z40" i="89" l="1"/>
  <c r="D223" i="89"/>
  <c r="E40" i="89" a="1"/>
  <c r="E40" i="89"/>
  <c r="E81" i="89" a="1"/>
  <c r="E81" i="89"/>
  <c r="E55" i="89" a="1"/>
  <c r="E55" i="89"/>
  <c r="E62" i="89" a="1"/>
  <c r="E62" i="89"/>
  <c r="D63" i="89" a="1"/>
  <c r="D63" i="89"/>
  <c r="D20" i="89" a="1"/>
  <c r="D20" i="89"/>
  <c r="E8" i="89" a="1"/>
  <c r="E8" i="89"/>
  <c r="D75" i="89" a="1"/>
  <c r="D75" i="89"/>
  <c r="D55" i="89" a="1"/>
  <c r="D55" i="89"/>
  <c r="E75" i="89" a="1"/>
  <c r="E75" i="89"/>
  <c r="D8" i="89" a="1"/>
  <c r="D8" i="89"/>
  <c r="D203" i="89" a="1"/>
  <c r="D203" i="89"/>
  <c r="E20" i="89" a="1"/>
  <c r="E20" i="89"/>
  <c r="D40" i="89" a="1"/>
  <c r="D40" i="89"/>
  <c r="D81" i="89" a="1"/>
  <c r="D81" i="89"/>
  <c r="E63" i="89" a="1"/>
  <c r="E63" i="89"/>
  <c r="D62" i="89" a="1"/>
  <c r="D62" i="89"/>
  <c r="E223" i="89" a="1"/>
  <c r="E223" i="89"/>
  <c r="E203" i="89" a="1"/>
  <c r="E203" i="89"/>
  <c r="F11" i="252" a="1"/>
  <c r="F11" i="252"/>
  <c r="P17" i="252" a="1"/>
  <c r="P17" i="252"/>
  <c r="F20" i="252" a="1"/>
  <c r="F20" i="252"/>
  <c r="F19" i="252" a="1"/>
  <c r="F19" i="252"/>
  <c r="N19" i="252" a="1"/>
  <c r="N19" i="252"/>
  <c r="F14" i="252" a="1"/>
  <c r="F14" i="252"/>
  <c r="P19" i="252" a="1"/>
  <c r="P19" i="252"/>
  <c r="M17" i="252" a="1"/>
  <c r="M17" i="252"/>
  <c r="S20" i="252" a="1"/>
  <c r="S20" i="252"/>
  <c r="S19" i="252" a="1"/>
  <c r="S19" i="252"/>
  <c r="M11" i="252" a="1"/>
  <c r="M11" i="252"/>
  <c r="S10" i="252" a="1"/>
  <c r="S10" i="252"/>
  <c r="P18" i="252" a="1"/>
  <c r="P18" i="252"/>
  <c r="L14" i="252" a="1"/>
  <c r="L14" i="252"/>
  <c r="F7" i="252" a="1"/>
  <c r="F7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F10" i="252" a="1"/>
  <c r="F10" i="252"/>
  <c r="S14" i="252" a="1"/>
  <c r="S14" i="252"/>
  <c r="S18" i="252" a="1"/>
  <c r="S18" i="252"/>
  <c r="N8" i="252" a="1"/>
  <c r="N8" i="252"/>
  <c r="L10" i="252" a="1"/>
  <c r="L10" i="252"/>
  <c r="M16" i="252" a="1"/>
  <c r="M16" i="252"/>
  <c r="O19" i="252" a="1"/>
  <c r="O19" i="252"/>
  <c r="L7" i="252" a="1"/>
  <c r="L7" i="252"/>
  <c r="P11" i="252" a="1"/>
  <c r="P11" i="252"/>
  <c r="M10" i="252" a="1"/>
  <c r="M10" i="252"/>
  <c r="N18" i="252" a="1"/>
  <c r="N18" i="252"/>
  <c r="F17" i="252" a="1"/>
  <c r="F17" i="252"/>
  <c r="O16" i="252" a="1"/>
  <c r="O16" i="252"/>
  <c r="S8" i="252" a="1"/>
  <c r="S8" i="252"/>
  <c r="S11" i="252" a="1"/>
  <c r="S11" i="252"/>
  <c r="L17" i="252" a="1"/>
  <c r="L17" i="252"/>
  <c r="L8" i="252" a="1"/>
  <c r="L8" i="252"/>
  <c r="M18" i="252" a="1"/>
  <c r="M18" i="252"/>
  <c r="L11" i="252" a="1"/>
  <c r="L11" i="252"/>
  <c r="S16" i="252" a="1"/>
  <c r="S16" i="252"/>
  <c r="O14" i="252" a="1"/>
  <c r="O14" i="252"/>
  <c r="N14" i="252" a="1"/>
  <c r="N14" i="252"/>
  <c r="O17" i="252" a="1"/>
  <c r="O17" i="252"/>
  <c r="N20" i="252" a="1"/>
  <c r="N20" i="252"/>
  <c r="M20" i="252" a="1"/>
  <c r="M20" i="252"/>
  <c r="N10" i="252" a="1"/>
  <c r="N10" i="252"/>
  <c r="M19" i="252" a="1"/>
  <c r="M19" i="252"/>
  <c r="N7" i="252" a="1"/>
  <c r="N7" i="252"/>
  <c r="F16" i="252" a="1"/>
  <c r="F16" i="252"/>
  <c r="O20" i="252" a="1"/>
  <c r="O20" i="252"/>
  <c r="O11" i="252" a="1"/>
  <c r="O11" i="252"/>
  <c r="P10" i="252" a="1"/>
  <c r="P10" i="252"/>
  <c r="N16" i="252" a="1"/>
  <c r="N16" i="252"/>
  <c r="N11" i="252" a="1"/>
  <c r="N11" i="252"/>
  <c r="M14" i="252" a="1"/>
  <c r="M14" i="252"/>
  <c r="P14" i="252" a="1"/>
  <c r="P14" i="252"/>
  <c r="L19" i="252" a="1"/>
  <c r="L19" i="252"/>
  <c r="M7" i="252" a="1"/>
  <c r="M7" i="252"/>
  <c r="O10" i="252" a="1"/>
  <c r="O10" i="252"/>
  <c r="M8" i="252" a="1"/>
  <c r="M8" i="252"/>
  <c r="S7" i="252" a="1"/>
  <c r="S7" i="252"/>
  <c r="L20" i="252" a="1"/>
  <c r="L20" i="252"/>
  <c r="O7" i="252" a="1"/>
  <c r="O7" i="252"/>
  <c r="L18" i="252" a="1"/>
  <c r="L18" i="252"/>
  <c r="P16" i="252" a="1"/>
  <c r="P16" i="252"/>
  <c r="F18" i="252" a="1"/>
  <c r="F18" i="252"/>
  <c r="F8" i="252" a="1"/>
  <c r="F8" i="252"/>
  <c r="S17" i="252" a="1"/>
  <c r="S17" i="252"/>
  <c r="O18" i="252" a="1"/>
  <c r="O18" i="252"/>
  <c r="C15" i="2" a="1"/>
  <c r="C15" i="2"/>
  <c r="AR6" i="2" a="1"/>
  <c r="AR6" i="2"/>
  <c r="D14" i="2" a="1"/>
  <c r="D14" i="2"/>
  <c r="AA21" i="2" a="1"/>
  <c r="AA21" i="2"/>
  <c r="AA18" i="2" a="1"/>
  <c r="AA18" i="2"/>
  <c r="D18" i="2" a="1"/>
  <c r="D18" i="2"/>
  <c r="AC18" i="2" a="1"/>
  <c r="AQ18" i="2" a="1"/>
  <c r="F14" i="2" a="1"/>
  <c r="AQ18" i="2" l="1"/>
  <c r="AC18" i="2"/>
  <c r="F14" i="2"/>
  <c r="F9" i="2" a="1"/>
  <c r="F9" i="2"/>
  <c r="AD14" i="2" a="1"/>
  <c r="AD14" i="2"/>
  <c r="C7" i="2" a="1"/>
  <c r="C7" i="2"/>
  <c r="E13" i="2" a="1"/>
  <c r="E13" i="2"/>
  <c r="AD19" i="2" a="1"/>
  <c r="AD19" i="2"/>
  <c r="F19" i="2" a="1"/>
  <c r="F19" i="2"/>
  <c r="AA13" i="2" a="1"/>
  <c r="AA13" i="2"/>
  <c r="D6" i="2" a="1"/>
  <c r="D6" i="2"/>
  <c r="Z6" i="2"/>
  <c r="AC6" i="2" a="1"/>
  <c r="AQ6" i="2" a="1"/>
  <c r="AD18" i="2" a="1"/>
  <c r="AQ6" i="2" l="1"/>
  <c r="AC6" i="2"/>
  <c r="AD18" i="2"/>
  <c r="AD9" i="2" a="1"/>
  <c r="AD9" i="2"/>
  <c r="AD15" i="2" a="1"/>
  <c r="AD15" i="2"/>
  <c r="C14" i="2" a="1"/>
  <c r="C14" i="2"/>
  <c r="F15" i="2" a="1"/>
  <c r="F15" i="2"/>
  <c r="F10" i="2" a="1"/>
  <c r="F10" i="2"/>
  <c r="AA7" i="2" a="1"/>
  <c r="AA7" i="2"/>
  <c r="T6" i="2" a="1"/>
  <c r="T6" i="2"/>
  <c r="AA6" i="2" a="1"/>
  <c r="AA6" i="2"/>
  <c r="AV6" i="2" a="1"/>
  <c r="E14" i="2" a="1"/>
  <c r="AV6" i="2" l="1"/>
  <c r="E14" i="2"/>
  <c r="T19" i="2" a="1"/>
  <c r="T19" i="2"/>
  <c r="C13" i="2" a="1"/>
  <c r="C13" i="2"/>
  <c r="D13" i="2" a="1"/>
  <c r="D13" i="2"/>
  <c r="E7" i="2" a="1"/>
  <c r="E7" i="2"/>
  <c r="D21" i="2" a="1"/>
  <c r="D21" i="2"/>
  <c r="C6" i="2" a="1"/>
  <c r="C6" i="2"/>
  <c r="F7" i="2" a="1"/>
  <c r="F7" i="2"/>
  <c r="E15" i="2" a="1"/>
  <c r="E15" i="2"/>
  <c r="E21" i="2" a="1"/>
  <c r="E21" i="2"/>
  <c r="F13" i="2" a="1"/>
  <c r="F13" i="2"/>
  <c r="AD21" i="2" a="1"/>
  <c r="AD21" i="2"/>
  <c r="T9" i="2" a="1"/>
  <c r="T9" i="2"/>
  <c r="E6" i="2" a="1"/>
  <c r="E6" i="2"/>
  <c r="D9" i="2" a="1"/>
  <c r="D9" i="2"/>
  <c r="F6" i="2" a="1"/>
  <c r="F6" i="2"/>
  <c r="C10" i="2" a="1"/>
  <c r="C10" i="2"/>
  <c r="AR10" i="2" a="1"/>
  <c r="AR10" i="2"/>
  <c r="T18" i="2" a="1"/>
  <c r="T18" i="2"/>
  <c r="AR21" i="2" a="1"/>
  <c r="AR21" i="2"/>
  <c r="AD10" i="2" a="1"/>
  <c r="AD10" i="2"/>
  <c r="D15" i="2" a="1"/>
  <c r="D15" i="2"/>
  <c r="T15" i="2" a="1"/>
  <c r="T15" i="2"/>
  <c r="AR18" i="2" a="1"/>
  <c r="AR18" i="2"/>
  <c r="T7" i="2" a="1"/>
  <c r="T7" i="2"/>
  <c r="C21" i="2" a="1"/>
  <c r="C21" i="2"/>
  <c r="AA15" i="2" a="1"/>
  <c r="AA15" i="2"/>
  <c r="AR19" i="2" a="1"/>
  <c r="AR19" i="2"/>
  <c r="C19" i="2" a="1"/>
  <c r="C19" i="2"/>
  <c r="AR13" i="2" a="1"/>
  <c r="AR13" i="2"/>
  <c r="AD7" i="2" a="1"/>
  <c r="AD7" i="2"/>
  <c r="D19" i="2" a="1"/>
  <c r="D19" i="2"/>
  <c r="AR14" i="2" a="1"/>
  <c r="AR14" i="2"/>
  <c r="F18" i="2" a="1"/>
  <c r="F18" i="2"/>
  <c r="E9" i="2" a="1"/>
  <c r="E9" i="2"/>
  <c r="C9" i="2" a="1"/>
  <c r="C9" i="2"/>
  <c r="AD13" i="2" a="1"/>
  <c r="AD13" i="2"/>
  <c r="T13" i="2" a="1"/>
  <c r="T13" i="2"/>
  <c r="AA9" i="2" a="1"/>
  <c r="AA9" i="2"/>
  <c r="E19" i="2" a="1"/>
  <c r="E19" i="2"/>
  <c r="AR7" i="2" a="1"/>
  <c r="AR7" i="2"/>
  <c r="AA10" i="2" a="1"/>
  <c r="AA10" i="2"/>
  <c r="E10" i="2" a="1"/>
  <c r="E10" i="2"/>
  <c r="AA19" i="2" a="1"/>
  <c r="AA19" i="2"/>
  <c r="D7" i="2" a="1"/>
  <c r="D7" i="2"/>
  <c r="F21" i="2" a="1"/>
  <c r="F21" i="2"/>
  <c r="AR9" i="2" a="1"/>
  <c r="AR9" i="2"/>
  <c r="T10" i="2" a="1"/>
  <c r="T10" i="2"/>
  <c r="AR15" i="2" a="1"/>
  <c r="AR15" i="2"/>
  <c r="E18" i="2" a="1"/>
  <c r="E18" i="2"/>
  <c r="AD6" i="2" a="1"/>
  <c r="AD6" i="2"/>
  <c r="AA14" i="2" a="1"/>
  <c r="AA14" i="2"/>
  <c r="C18" i="2" a="1"/>
  <c r="C18" i="2"/>
  <c r="E204" i="89" a="1"/>
  <c r="E204" i="89"/>
  <c r="T14" i="2" a="1"/>
  <c r="T14" i="2"/>
  <c r="D196" i="89" a="1"/>
  <c r="D196" i="89"/>
  <c r="D10" i="2" a="1"/>
  <c r="D10" i="2"/>
  <c r="E224" i="89" a="1"/>
  <c r="E224" i="89"/>
  <c r="T21" i="2" a="1"/>
  <c r="T21" i="2"/>
  <c r="E50" i="89" a="1"/>
  <c r="E50" i="89"/>
  <c r="E68" i="89"/>
  <c r="E195" i="89" a="1"/>
  <c r="E195" i="89"/>
  <c r="D34" i="89" a="1"/>
  <c r="D34" i="89"/>
  <c r="D195" i="89" a="1"/>
  <c r="D195" i="89"/>
  <c r="E196" i="89" a="1"/>
  <c r="E196" i="89"/>
  <c r="D33" i="89" a="1"/>
  <c r="D33" i="89"/>
  <c r="E49" i="89" a="1"/>
  <c r="E49" i="89"/>
  <c r="D204" i="89" a="1"/>
  <c r="D204" i="89"/>
  <c r="D224" i="89" a="1"/>
  <c r="D224" i="89"/>
  <c r="E33" i="89" a="1"/>
  <c r="E33" i="89"/>
  <c r="E225" i="89" a="1"/>
  <c r="E225" i="89"/>
  <c r="D49" i="89" a="1"/>
  <c r="D49" i="89"/>
  <c r="D225" i="89" a="1"/>
  <c r="D225" i="89"/>
  <c r="E34" i="89" a="1"/>
  <c r="E34" i="89"/>
  <c r="D68" i="89"/>
  <c r="D50" i="89" a="1"/>
  <c r="D50" i="89"/>
  <c r="F10" i="446" a="1"/>
  <c r="F10" i="446"/>
  <c r="G13" i="446" a="1"/>
  <c r="G13" i="446"/>
  <c r="F12" i="446" a="1"/>
  <c r="F12" i="446"/>
  <c r="F13" i="446" a="1"/>
  <c r="F13" i="446"/>
  <c r="G11" i="446" a="1"/>
  <c r="G11" i="446"/>
  <c r="G25" i="446" a="1"/>
  <c r="G25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25" i="446" a="1"/>
  <c r="F25" i="446"/>
  <c r="F11" i="446" a="1"/>
  <c r="F11" i="446"/>
  <c r="G20" i="446" a="1"/>
  <c r="G20" i="446"/>
  <c r="G37" i="446" a="1"/>
  <c r="G37" i="446"/>
  <c r="G29" i="446" a="1"/>
  <c r="G29" i="446"/>
  <c r="F37" i="446" a="1"/>
  <c r="F37" i="446"/>
  <c r="G28" i="446" a="1"/>
  <c r="G28" i="446"/>
  <c r="D28" i="446" a="1"/>
  <c r="D28" i="446"/>
  <c r="F29" i="446" a="1"/>
  <c r="F29" i="446"/>
  <c r="F28" i="446" a="1"/>
  <c r="F28" i="446"/>
  <c r="G44" i="446" a="1"/>
  <c r="G44" i="446"/>
  <c r="D29" i="446" a="1"/>
  <c r="D29" i="446"/>
  <c r="D43" i="446" a="1"/>
  <c r="D43" i="446"/>
  <c r="F31" i="446" a="1"/>
  <c r="F31" i="446"/>
  <c r="F45" i="446" a="1"/>
  <c r="F45" i="446"/>
  <c r="G31" i="446" a="1"/>
  <c r="G31" i="446"/>
  <c r="D37" i="446" a="1"/>
  <c r="D37" i="446"/>
  <c r="G43" i="446" a="1"/>
  <c r="G43" i="446"/>
  <c r="D45" i="446" a="1"/>
  <c r="D45" i="446"/>
  <c r="F44" i="446" a="1"/>
  <c r="F44" i="446"/>
  <c r="D31" i="446" a="1"/>
  <c r="D31" i="446"/>
  <c r="D44" i="446" a="1"/>
  <c r="D44" i="446"/>
  <c r="G45" i="446" a="1"/>
  <c r="G45" i="446"/>
  <c r="F43" i="446" a="1"/>
  <c r="F43" i="446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D7" i="89"/>
  <c r="D14" i="89" a="1"/>
  <c r="D14" i="89"/>
  <c r="D19" i="89"/>
  <c r="D222" i="89" a="1"/>
  <c r="D222" i="89"/>
  <c r="D27" i="89" a="1"/>
  <c r="D27" i="89"/>
  <c r="E13" i="89" a="1"/>
  <c r="E13" i="89"/>
  <c r="E56" i="89" a="1"/>
  <c r="E56" i="89"/>
  <c r="E39" i="89" a="1"/>
  <c r="E39" i="89"/>
  <c r="D205" i="89" a="1"/>
  <c r="D205" i="89"/>
  <c r="D197" i="89" a="1"/>
  <c r="D197" i="89"/>
  <c r="D39" i="89" a="1"/>
  <c r="D39" i="89"/>
  <c r="E205" i="89" a="1"/>
  <c r="E205" i="89"/>
  <c r="E7" i="89"/>
  <c r="E14" i="89" a="1"/>
  <c r="E14" i="89"/>
  <c r="E197" i="89" a="1"/>
  <c r="E197" i="89"/>
  <c r="E27" i="89" a="1"/>
  <c r="E27" i="89"/>
  <c r="E222" i="89" a="1"/>
  <c r="E222" i="89"/>
  <c r="D56" i="89" a="1"/>
  <c r="D56" i="89"/>
  <c r="E19" i="89"/>
  <c r="D13" i="89" a="1"/>
  <c r="D13" i="89"/>
  <c r="M13" i="252" a="1"/>
  <c r="M13" i="252"/>
  <c r="F13" i="252" a="1"/>
  <c r="F13" i="252"/>
  <c r="L13" i="252" a="1"/>
  <c r="L13" i="252"/>
  <c r="O13" i="252" a="1"/>
  <c r="O13" i="252"/>
  <c r="N13" i="252" a="1"/>
  <c r="N13" i="252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M15" i="252" a="1"/>
  <c r="M15" i="252"/>
  <c r="M9" i="252" a="1"/>
  <c r="M9" i="252"/>
  <c r="O15" i="252" a="1"/>
  <c r="O15" i="252"/>
  <c r="O12" i="252" a="1"/>
  <c r="O12" i="252"/>
  <c r="L9" i="252" a="1"/>
  <c r="L9" i="252"/>
  <c r="N15" i="252" a="1"/>
  <c r="N15" i="252"/>
  <c r="M12" i="252" a="1"/>
  <c r="M12" i="252"/>
  <c r="O9" i="252" a="1"/>
  <c r="O9" i="252"/>
  <c r="N9" i="252" a="1"/>
  <c r="N9" i="252"/>
  <c r="L12" i="252" a="1"/>
  <c r="L12" i="252"/>
  <c r="N12" i="252" a="1"/>
  <c r="N12" i="252"/>
  <c r="L15" i="252" a="1"/>
  <c r="L15" i="252"/>
  <c r="Z154" i="89" a="1"/>
  <c r="Z154" i="89"/>
  <c r="E154" i="89" a="1"/>
  <c r="E154" i="89"/>
  <c r="V154" i="89" a="1"/>
  <c r="V154" i="89"/>
  <c r="T154" i="89" a="1"/>
  <c r="T154" i="89"/>
  <c r="D154" i="89" a="1"/>
  <c r="D154" i="89"/>
  <c r="C154" i="89" a="1"/>
  <c r="C154" i="89"/>
  <c r="E26" i="89" a="1"/>
  <c r="E26" i="89"/>
  <c r="D26" i="89" a="1"/>
  <c r="D26" i="89"/>
  <c r="P55" i="338" a="1"/>
  <c r="P55" i="338"/>
  <c r="C179" i="89" a="1"/>
  <c r="C179" i="89"/>
  <c r="C178" i="89" a="1"/>
  <c r="C178" i="89"/>
  <c r="U55" i="338" a="1"/>
  <c r="U55" i="338"/>
  <c r="AK55" i="338" a="1"/>
  <c r="AK55" i="338"/>
  <c r="AK14" i="338" a="1"/>
  <c r="AK14" i="338"/>
  <c r="AJ55" i="338" a="1"/>
  <c r="AJ55" i="338"/>
  <c r="L55" i="338" a="1"/>
  <c r="L55" i="338"/>
  <c r="J55" i="338" a="1"/>
  <c r="J55" i="338"/>
  <c r="J14" i="338" a="1"/>
  <c r="J14" i="338"/>
  <c r="H55" i="338" a="1"/>
  <c r="H55" i="338"/>
  <c r="V179" i="89" a="1"/>
  <c r="V179" i="89"/>
  <c r="V178" i="89" a="1"/>
  <c r="V178" i="89"/>
  <c r="V55" i="338" a="1"/>
  <c r="V55" i="338"/>
  <c r="O179" i="89" a="1"/>
  <c r="O179" i="89"/>
  <c r="O178" i="89" a="1"/>
  <c r="O178" i="89"/>
  <c r="T55" i="338" a="1"/>
  <c r="T55" i="338"/>
  <c r="X55" i="338" a="1"/>
  <c r="X55" i="338"/>
  <c r="AI55" i="338" a="1"/>
  <c r="AI55" i="338"/>
  <c r="AI14" i="338" a="1"/>
  <c r="AI14" i="338"/>
  <c r="AH55" i="338" a="1"/>
  <c r="AH55" i="338"/>
  <c r="J1" i="24" a="1"/>
  <c r="J1" i="24"/>
  <c r="K2" i="2" a="1"/>
  <c r="K2" i="2"/>
  <c r="E179" i="89" a="1"/>
  <c r="E179" i="89"/>
  <c r="E178" i="89" a="1"/>
  <c r="E178" i="89"/>
  <c r="S55" i="338" a="1"/>
  <c r="S55" i="338"/>
  <c r="T179" i="89" a="1"/>
  <c r="T179" i="89"/>
  <c r="T178" i="89" a="1"/>
  <c r="T178" i="89"/>
  <c r="AD2" i="1" a="1"/>
  <c r="AD2" i="1"/>
  <c r="AC2" i="1" a="1"/>
  <c r="AC2" i="1"/>
  <c r="AB2" i="1" a="1"/>
  <c r="AB2" i="1"/>
  <c r="Z179" i="89" a="1"/>
  <c r="Z179" i="89"/>
  <c r="Z178" i="89" a="1"/>
  <c r="Z178" i="89"/>
  <c r="AA179" i="89" a="1"/>
  <c r="AA179" i="89"/>
  <c r="AA178" i="89" a="1"/>
  <c r="AA178" i="89"/>
  <c r="E54" i="54" l="1"/>
  <c r="F54" i="54"/>
  <c r="G54" i="54"/>
  <c r="W195" i="89" a="1"/>
  <c r="L195" i="89" a="1"/>
  <c r="K195" i="89" a="1"/>
  <c r="F195" i="89" a="1"/>
  <c r="F196" i="89" a="1"/>
  <c r="L196" i="89" a="1"/>
  <c r="W196" i="89" a="1"/>
  <c r="K196" i="89" a="1"/>
  <c r="L197" i="89" a="1"/>
  <c r="K197" i="89" a="1"/>
  <c r="F197" i="89" a="1"/>
  <c r="W197" i="89" a="1"/>
  <c r="L20" i="2" a="1"/>
  <c r="I27" i="1" a="1"/>
  <c r="I50" i="54" a="1"/>
  <c r="W197" i="89" l="1"/>
  <c r="F197" i="89"/>
  <c r="K197" i="89"/>
  <c r="L197" i="89"/>
  <c r="K196" i="89"/>
  <c r="W196" i="89"/>
  <c r="L196" i="89"/>
  <c r="F196" i="89"/>
  <c r="F195" i="89"/>
  <c r="K195" i="89"/>
  <c r="L195" i="89"/>
  <c r="W195" i="89"/>
  <c r="I27" i="1"/>
  <c r="L20" i="2"/>
  <c r="I50" i="54"/>
  <c r="X2" i="527"/>
  <c r="H53" i="54" l="1"/>
  <c r="I52" i="54"/>
  <c r="H52" i="54"/>
  <c r="I53" i="54"/>
  <c r="J23" i="2"/>
  <c r="K23" i="2" s="1"/>
  <c r="J22" i="2"/>
  <c r="K22" i="2" s="1"/>
  <c r="J21" i="2"/>
  <c r="K21" i="2" s="1"/>
  <c r="J20" i="2"/>
  <c r="K20" i="2" s="1"/>
  <c r="J19" i="2"/>
  <c r="K19" i="2" s="1"/>
  <c r="J18" i="2"/>
  <c r="K18" i="2" s="1"/>
  <c r="J17" i="2"/>
  <c r="K17" i="2" s="1"/>
  <c r="J16" i="2"/>
  <c r="K16" i="2" s="1"/>
  <c r="J15" i="2"/>
  <c r="K15" i="2" s="1"/>
  <c r="J14" i="2"/>
  <c r="K14" i="2" s="1"/>
  <c r="J13" i="2"/>
  <c r="K13" i="2" s="1"/>
  <c r="J12" i="2"/>
  <c r="K12" i="2" s="1"/>
  <c r="J11" i="2"/>
  <c r="K11" i="2" s="1"/>
  <c r="J10" i="2"/>
  <c r="K10" i="2" s="1"/>
  <c r="J9" i="2"/>
  <c r="K9" i="2" s="1"/>
  <c r="J8" i="2"/>
  <c r="K8" i="2" s="1"/>
  <c r="J7" i="2"/>
  <c r="K7" i="2" s="1"/>
  <c r="J6" i="2"/>
  <c r="K6" i="2" s="1"/>
  <c r="J5" i="2"/>
  <c r="K5" i="2" s="1"/>
  <c r="U2" i="527"/>
  <c r="R2" i="527"/>
  <c r="S197" i="89" a="1"/>
  <c r="S197" i="89" l="1"/>
  <c r="J53" i="54"/>
  <c r="H54" i="54"/>
  <c r="J52" i="54"/>
  <c r="I54" i="54"/>
  <c r="R197" i="89" a="1"/>
  <c r="R197" i="89" l="1"/>
  <c r="J54" i="54"/>
  <c r="I25" i="2" l="1"/>
  <c r="I24" i="1" a="1"/>
  <c r="I24" i="1" l="1"/>
  <c r="N27" i="1" l="1"/>
  <c r="J27" i="1"/>
  <c r="N24" i="1" l="1"/>
  <c r="J24" i="1"/>
  <c r="P24" i="1" l="1"/>
  <c r="O24" i="1"/>
  <c r="AD24" i="1" l="1"/>
  <c r="BB20" i="2"/>
  <c r="BA20" i="2"/>
  <c r="Q20" i="2" a="1"/>
  <c r="AF20" i="2" a="1"/>
  <c r="P20" i="2" a="1"/>
  <c r="AN20" i="2" a="1"/>
  <c r="G20" i="2" a="1"/>
  <c r="AN20" i="2" l="1"/>
  <c r="BC20" i="2"/>
  <c r="G20" i="2"/>
  <c r="P20" i="2"/>
  <c r="Q20" i="2"/>
  <c r="AF20" i="2"/>
  <c r="S20" i="2" a="1"/>
  <c r="R20" i="2" l="1"/>
  <c r="S20" i="2"/>
  <c r="AP20" i="2" s="1"/>
  <c r="O20" i="2"/>
  <c r="U20" i="2"/>
  <c r="AO20" i="2"/>
  <c r="Z20" i="2"/>
  <c r="AV20" i="2" s="1" a="1"/>
  <c r="AV20" i="2" l="1"/>
  <c r="AT20" i="2"/>
  <c r="AS20" i="2"/>
  <c r="AL20" i="2"/>
  <c r="M20" i="2"/>
  <c r="X20" i="2"/>
  <c r="Y20" i="2" s="1"/>
  <c r="AB20" i="2"/>
  <c r="AM20" i="2"/>
  <c r="AE20" i="2"/>
  <c r="C7" i="1" a="1"/>
  <c r="I20" i="1" a="1"/>
  <c r="C4" i="1" a="1"/>
  <c r="I19" i="1" a="1"/>
  <c r="C8" i="1" a="1"/>
  <c r="I9" i="1" a="1"/>
  <c r="I16" i="1" a="1"/>
  <c r="I23" i="1" a="1"/>
  <c r="C9" i="1" a="1"/>
  <c r="C10" i="1" a="1"/>
  <c r="C2" i="1" a="1"/>
  <c r="I32" i="1" a="1"/>
  <c r="I33" i="1" a="1"/>
  <c r="I17" i="1" a="1"/>
  <c r="I28" i="1" a="1"/>
  <c r="I4" i="1" a="1"/>
  <c r="I10" i="1" a="1"/>
  <c r="I15" i="1" a="1"/>
  <c r="I3" i="1" a="1"/>
  <c r="I29" i="1" a="1"/>
  <c r="AC3" i="1" a="1"/>
  <c r="I31" i="1" a="1"/>
  <c r="C3" i="1" a="1"/>
  <c r="I13" i="1" a="1"/>
  <c r="I6" i="1" a="1"/>
  <c r="C6" i="1" a="1"/>
  <c r="I12" i="1" a="1"/>
  <c r="I1" i="1" a="1"/>
  <c r="I8" i="1" a="1"/>
  <c r="I2" i="1" a="1"/>
  <c r="I22" i="1" a="1"/>
  <c r="C1" i="1" a="1"/>
  <c r="C5" i="1" a="1"/>
  <c r="I7" i="1" a="1"/>
  <c r="I30" i="1" a="1"/>
  <c r="I21" i="1" a="1"/>
  <c r="I5" i="1" a="1"/>
  <c r="C2" i="1" l="1"/>
  <c r="C6" i="1"/>
  <c r="C7" i="1"/>
  <c r="C1" i="1"/>
  <c r="I33" i="1"/>
  <c r="I10" i="1"/>
  <c r="C9" i="1"/>
  <c r="AC3" i="1"/>
  <c r="I30" i="1"/>
  <c r="C10" i="1"/>
  <c r="I9" i="1"/>
  <c r="I15" i="1"/>
  <c r="I2" i="1"/>
  <c r="I21" i="1"/>
  <c r="C4" i="1"/>
  <c r="I19" i="1"/>
  <c r="C3" i="1"/>
  <c r="I12" i="1"/>
  <c r="I17" i="1"/>
  <c r="C8" i="1"/>
  <c r="I5" i="1"/>
  <c r="I8" i="1"/>
  <c r="I7" i="1"/>
  <c r="I31" i="1"/>
  <c r="I13" i="1"/>
  <c r="I4" i="1"/>
  <c r="I22" i="1"/>
  <c r="I23" i="1"/>
  <c r="I28" i="1"/>
  <c r="I29" i="1"/>
  <c r="I3" i="1"/>
  <c r="I1" i="1"/>
  <c r="C5" i="1"/>
  <c r="I6" i="1"/>
  <c r="I20" i="1"/>
  <c r="I32" i="1"/>
  <c r="I16" i="1"/>
  <c r="BA18" i="2" l="1"/>
  <c r="BB18" i="2"/>
  <c r="L81" i="89"/>
  <c r="F179" i="89" a="1"/>
  <c r="K234" i="89" a="1"/>
  <c r="F233" i="89" a="1"/>
  <c r="K235" i="89" a="1"/>
  <c r="K33" i="89" a="1"/>
  <c r="F237" i="89" a="1"/>
  <c r="F81" i="89"/>
  <c r="W237" i="89" a="1"/>
  <c r="W234" i="89" a="1"/>
  <c r="W180" i="89" a="1"/>
  <c r="L39" i="89" a="1"/>
  <c r="K39" i="89" a="1"/>
  <c r="F33" i="89" a="1"/>
  <c r="W33" i="89" a="1"/>
  <c r="K233" i="89" a="1"/>
  <c r="W235" i="89" a="1"/>
  <c r="W81" i="89"/>
  <c r="L180" i="89" a="1"/>
  <c r="K180" i="89" a="1"/>
  <c r="W179" i="89" a="1"/>
  <c r="L237" i="89" a="1"/>
  <c r="K81" i="89"/>
  <c r="P18" i="2" a="1"/>
  <c r="L234" i="89" a="1"/>
  <c r="K237" i="89" a="1"/>
  <c r="F234" i="89" a="1"/>
  <c r="AF18" i="2" a="1"/>
  <c r="W39" i="89" a="1"/>
  <c r="F180" i="89" a="1"/>
  <c r="F39" i="89" a="1"/>
  <c r="W233" i="89" a="1"/>
  <c r="AN18" i="2" a="1"/>
  <c r="L233" i="89" a="1"/>
  <c r="F235" i="89" a="1"/>
  <c r="G18" i="2" a="1"/>
  <c r="L33" i="89" a="1"/>
  <c r="L18" i="2" a="1"/>
  <c r="Q18" i="2" a="1"/>
  <c r="L235" i="89" a="1"/>
  <c r="AN18" i="2" l="1"/>
  <c r="L18" i="2"/>
  <c r="F237" i="89"/>
  <c r="L237" i="89"/>
  <c r="W237" i="89"/>
  <c r="K237" i="89"/>
  <c r="W235" i="89"/>
  <c r="L233" i="89"/>
  <c r="W233" i="89"/>
  <c r="K234" i="89"/>
  <c r="F234" i="89"/>
  <c r="L234" i="89"/>
  <c r="K233" i="89"/>
  <c r="W234" i="89"/>
  <c r="K235" i="89"/>
  <c r="F233" i="89"/>
  <c r="F235" i="89"/>
  <c r="L235" i="89"/>
  <c r="K33" i="89"/>
  <c r="L33" i="89"/>
  <c r="F180" i="89"/>
  <c r="W180" i="89"/>
  <c r="L180" i="89"/>
  <c r="K180" i="89"/>
  <c r="W33" i="89"/>
  <c r="W179" i="89"/>
  <c r="F179" i="89"/>
  <c r="F33" i="89"/>
  <c r="L39" i="89"/>
  <c r="W39" i="89"/>
  <c r="K39" i="89"/>
  <c r="F39" i="89"/>
  <c r="BC18" i="2"/>
  <c r="G18" i="2"/>
  <c r="Q18" i="2"/>
  <c r="AF18" i="2"/>
  <c r="P18" i="2"/>
  <c r="S18" i="2" a="1"/>
  <c r="S18" i="2" l="1"/>
  <c r="AP18" i="2" s="1"/>
  <c r="R18" i="2"/>
  <c r="O18" i="2"/>
  <c r="Z18" i="2"/>
  <c r="AV18" i="2" s="1" a="1"/>
  <c r="AV18" i="2" l="1"/>
  <c r="U18" i="2"/>
  <c r="AO18" i="2"/>
  <c r="AT18" i="2"/>
  <c r="AS18" i="2"/>
  <c r="AL18" i="2"/>
  <c r="AM18" i="2"/>
  <c r="AB18" i="2"/>
  <c r="X18" i="2"/>
  <c r="Y18" i="2" s="1"/>
  <c r="M18" i="2"/>
  <c r="AE18" i="2"/>
  <c r="BA6" i="2" l="1"/>
  <c r="BB6" i="2"/>
  <c r="BA23" i="2"/>
  <c r="BB23" i="2"/>
  <c r="BA22" i="2"/>
  <c r="BB22" i="2"/>
  <c r="AF22" i="2" a="1"/>
  <c r="Q22" i="2" a="1"/>
  <c r="AN6" i="2" a="1"/>
  <c r="Q6" i="2" a="1"/>
  <c r="G6" i="2" a="1"/>
  <c r="AF6" i="2" a="1"/>
  <c r="G22" i="2" a="1"/>
  <c r="P22" i="2" a="1"/>
  <c r="P6" i="2" a="1"/>
  <c r="L6" i="2" a="1"/>
  <c r="P23" i="2" a="1"/>
  <c r="Q23" i="2" a="1"/>
  <c r="L22" i="2" a="1"/>
  <c r="AN22" i="2" a="1"/>
  <c r="AN23" i="2" a="1"/>
  <c r="L23" i="2" a="1"/>
  <c r="AF23" i="2" a="1"/>
  <c r="G23" i="2" a="1"/>
  <c r="L6" i="2" l="1"/>
  <c r="AN6" i="2"/>
  <c r="BC22" i="2"/>
  <c r="BC6" i="2"/>
  <c r="AF6" i="2"/>
  <c r="G6" i="2"/>
  <c r="Q6" i="2"/>
  <c r="P6" i="2"/>
  <c r="BC23" i="2"/>
  <c r="P22" i="2"/>
  <c r="Q22" i="2"/>
  <c r="AF22" i="2"/>
  <c r="P23" i="2"/>
  <c r="Q23" i="2"/>
  <c r="G22" i="2"/>
  <c r="AF23" i="2"/>
  <c r="L22" i="2"/>
  <c r="L23" i="2"/>
  <c r="AN23" i="2"/>
  <c r="AN22" i="2"/>
  <c r="G23" i="2"/>
  <c r="L26" i="2"/>
  <c r="S23" i="2" a="1"/>
  <c r="S6" i="2" a="1"/>
  <c r="S22" i="2" a="1"/>
  <c r="I27" i="2" l="1"/>
  <c r="L25" i="2"/>
  <c r="L27" i="2" s="1"/>
  <c r="S6" i="2"/>
  <c r="O6" i="2"/>
  <c r="AP6" i="2"/>
  <c r="U6" i="2"/>
  <c r="R6" i="2"/>
  <c r="AO6" i="2"/>
  <c r="R23" i="2"/>
  <c r="S22" i="2"/>
  <c r="AO22" i="2" s="1"/>
  <c r="S23" i="2"/>
  <c r="AO23" i="2"/>
  <c r="AP23" i="2"/>
  <c r="O23" i="2"/>
  <c r="U23" i="2"/>
  <c r="O22" i="2"/>
  <c r="U22" i="2"/>
  <c r="AP22" i="2"/>
  <c r="R22" i="2"/>
  <c r="AE6" i="2" l="1"/>
  <c r="AS6" i="2"/>
  <c r="AL6" i="2"/>
  <c r="AT6" i="2"/>
  <c r="M6" i="2"/>
  <c r="AB6" i="2"/>
  <c r="X6" i="2"/>
  <c r="Y6" i="2" s="1"/>
  <c r="AM6" i="2"/>
  <c r="AL23" i="2"/>
  <c r="AT23" i="2"/>
  <c r="AS23" i="2"/>
  <c r="M23" i="2"/>
  <c r="X23" i="2"/>
  <c r="Y23" i="2" s="1"/>
  <c r="AB23" i="2"/>
  <c r="AM23" i="2"/>
  <c r="AE22" i="2"/>
  <c r="AE23" i="2"/>
  <c r="AS22" i="2"/>
  <c r="AL22" i="2"/>
  <c r="AT22" i="2"/>
  <c r="M22" i="2"/>
  <c r="X22" i="2"/>
  <c r="Y22" i="2" s="1"/>
  <c r="AB22" i="2"/>
  <c r="AM22" i="2"/>
  <c r="AN11" i="2" a="1"/>
  <c r="AN11" i="2" l="1"/>
  <c r="BA11" i="2"/>
  <c r="BB11" i="2"/>
  <c r="L11" i="2" a="1"/>
  <c r="AF11" i="2" a="1"/>
  <c r="G11" i="2" a="1"/>
  <c r="P11" i="2" a="1"/>
  <c r="L7" i="2" a="1"/>
  <c r="Q11" i="2" a="1"/>
  <c r="Q11" i="2" l="1"/>
  <c r="P11" i="2"/>
  <c r="AF11" i="2"/>
  <c r="G11" i="2"/>
  <c r="L11" i="2"/>
  <c r="BC11" i="2"/>
  <c r="L7" i="2"/>
  <c r="H27" i="89"/>
  <c r="S11" i="2" a="1"/>
  <c r="R11" i="2" l="1"/>
  <c r="S11" i="2"/>
  <c r="U11" i="2" s="1"/>
  <c r="O11" i="2"/>
  <c r="AP11" i="2" l="1"/>
  <c r="AO11" i="2"/>
  <c r="AE11" i="2"/>
  <c r="AT11" i="2"/>
  <c r="AS11" i="2"/>
  <c r="AL11" i="2"/>
  <c r="AM11" i="2"/>
  <c r="X11" i="2"/>
  <c r="Y11" i="2" s="1"/>
  <c r="M11" i="2"/>
  <c r="AB11" i="2"/>
  <c r="H34" i="89" l="1"/>
  <c r="AE34" i="89"/>
  <c r="F27" i="89" a="1"/>
  <c r="W26" i="89" a="1"/>
  <c r="L34" i="89" a="1"/>
  <c r="F34" i="89" a="1"/>
  <c r="K34" i="89" a="1"/>
  <c r="L27" i="89" a="1"/>
  <c r="F26" i="89" a="1"/>
  <c r="W34" i="89" a="1"/>
  <c r="K26" i="89" a="1"/>
  <c r="K27" i="89" a="1"/>
  <c r="W27" i="89" a="1"/>
  <c r="L26" i="89" a="1"/>
  <c r="L34" i="89" l="1"/>
  <c r="W27" i="89"/>
  <c r="L26" i="89"/>
  <c r="W26" i="89"/>
  <c r="F26" i="89"/>
  <c r="F34" i="89"/>
  <c r="K27" i="89"/>
  <c r="K26" i="89"/>
  <c r="W34" i="89"/>
  <c r="L27" i="89"/>
  <c r="K34" i="89"/>
  <c r="I34" i="89" s="1"/>
  <c r="F27" i="89"/>
  <c r="AA34" i="89" a="1"/>
  <c r="N34" i="89" a="1"/>
  <c r="AA34" i="89" l="1"/>
  <c r="M34" i="89"/>
  <c r="N34" i="89"/>
  <c r="P34" i="89"/>
  <c r="Q34" i="89" s="1"/>
  <c r="S34" i="89"/>
  <c r="R34" i="89" s="1" a="1"/>
  <c r="R34" i="89" l="1"/>
  <c r="AC34" i="89"/>
  <c r="Y34" i="89"/>
  <c r="J34" i="89"/>
  <c r="U34" i="89"/>
  <c r="S234" i="89" a="1"/>
  <c r="S33" i="89"/>
  <c r="R33" i="89" s="1" a="1"/>
  <c r="R33" i="89" l="1"/>
  <c r="S234" i="89"/>
  <c r="R234" i="89" a="1"/>
  <c r="R234" i="89" l="1"/>
  <c r="AE237" i="89"/>
  <c r="N237" i="89" a="1"/>
  <c r="N237" i="89" l="1"/>
  <c r="M237" i="89"/>
  <c r="I237" i="89"/>
  <c r="AA237" i="89" a="1"/>
  <c r="AA237" i="89" l="1"/>
  <c r="J237" i="89"/>
  <c r="P237" i="89"/>
  <c r="Q237" i="89" l="1"/>
  <c r="Y237" i="89"/>
  <c r="AC237" i="89"/>
  <c r="U237" i="89"/>
  <c r="D237" i="89" s="1"/>
  <c r="AN13" i="2" a="1"/>
  <c r="A237" i="89" l="1"/>
  <c r="AN13" i="2"/>
  <c r="BA13" i="2"/>
  <c r="Q13" i="2" a="1"/>
  <c r="P13" i="2" a="1"/>
  <c r="AF13" i="2" a="1"/>
  <c r="G13" i="2" a="1"/>
  <c r="L13" i="2" a="1"/>
  <c r="L13" i="2" l="1"/>
  <c r="P13" i="2"/>
  <c r="AF13" i="2"/>
  <c r="Q13" i="2"/>
  <c r="G13" i="2"/>
  <c r="BB13" i="2"/>
  <c r="BC13" i="2" s="1"/>
  <c r="S13" i="2" a="1"/>
  <c r="R13" i="2" l="1"/>
  <c r="S13" i="2"/>
  <c r="U13" i="2" s="1"/>
  <c r="O13" i="2"/>
  <c r="AP13" i="2"/>
  <c r="AO13" i="2"/>
  <c r="Z13" i="2"/>
  <c r="AV13" i="2" s="1" a="1"/>
  <c r="AV13" i="2" l="1"/>
  <c r="AE13" i="2"/>
  <c r="AL13" i="2"/>
  <c r="AT13" i="2"/>
  <c r="AS13" i="2"/>
  <c r="M13" i="2"/>
  <c r="X13" i="2"/>
  <c r="Y13" i="2" s="1"/>
  <c r="AB13" i="2"/>
  <c r="AM13" i="2"/>
  <c r="L236" i="89" a="1"/>
  <c r="L236" i="89" l="1"/>
  <c r="AE236" i="89"/>
  <c r="W236" i="89" a="1"/>
  <c r="F236" i="89" a="1"/>
  <c r="K236" i="89" a="1"/>
  <c r="F236" i="89" l="1"/>
  <c r="W236" i="89"/>
  <c r="K236" i="89"/>
  <c r="M236" i="89" s="1"/>
  <c r="I236" i="89"/>
  <c r="AA236" i="89" a="1"/>
  <c r="N236" i="89" a="1"/>
  <c r="AA236" i="89" l="1"/>
  <c r="N236" i="89"/>
  <c r="P236" i="89"/>
  <c r="J236" i="89"/>
  <c r="Q236" i="89" l="1"/>
  <c r="AC236" i="89"/>
  <c r="Y236" i="89"/>
  <c r="U236" i="89"/>
  <c r="D236" i="89" s="1"/>
  <c r="A236" i="89" l="1"/>
  <c r="L8" i="89" a="1"/>
  <c r="F7" i="89" a="1"/>
  <c r="K8" i="89" a="1"/>
  <c r="W8" i="89" a="1"/>
  <c r="L7" i="89" a="1"/>
  <c r="K7" i="89" a="1"/>
  <c r="L21" i="2" a="1"/>
  <c r="F8" i="89" a="1"/>
  <c r="W7" i="89" a="1"/>
  <c r="W8" i="89" l="1"/>
  <c r="K8" i="89"/>
  <c r="L8" i="89"/>
  <c r="W7" i="89"/>
  <c r="F8" i="89"/>
  <c r="L21" i="2"/>
  <c r="F7" i="89"/>
  <c r="L7" i="89"/>
  <c r="K7" i="89"/>
  <c r="F213" i="89" a="1"/>
  <c r="F211" i="89" a="1"/>
  <c r="L213" i="89" a="1"/>
  <c r="K213" i="89" a="1"/>
  <c r="W211" i="89" a="1"/>
  <c r="K211" i="89" a="1"/>
  <c r="W213" i="89" a="1"/>
  <c r="L211" i="89" a="1"/>
  <c r="F211" i="89" l="1"/>
  <c r="L211" i="89"/>
  <c r="L213" i="89"/>
  <c r="W211" i="89"/>
  <c r="K213" i="89"/>
  <c r="K211" i="89"/>
  <c r="W213" i="89"/>
  <c r="F213" i="89"/>
  <c r="BB21" i="2"/>
  <c r="BA21" i="2"/>
  <c r="K212" i="89" a="1"/>
  <c r="G21" i="2" a="1"/>
  <c r="AN21" i="2" a="1"/>
  <c r="W212" i="89" a="1"/>
  <c r="L212" i="89" a="1"/>
  <c r="AF21" i="2" a="1"/>
  <c r="P21" i="2" a="1"/>
  <c r="F212" i="89" a="1"/>
  <c r="Q21" i="2" a="1"/>
  <c r="Q21" i="2" l="1"/>
  <c r="AN21" i="2"/>
  <c r="W212" i="89"/>
  <c r="AF21" i="2"/>
  <c r="G21" i="2"/>
  <c r="P21" i="2"/>
  <c r="L212" i="89"/>
  <c r="F212" i="89"/>
  <c r="K212" i="89"/>
  <c r="BC21" i="2"/>
  <c r="S21" i="2" a="1"/>
  <c r="S21" i="2" l="1"/>
  <c r="AO21" i="2" s="1"/>
  <c r="R21" i="2"/>
  <c r="O21" i="2"/>
  <c r="U21" i="2" l="1"/>
  <c r="AP21" i="2"/>
  <c r="AE21" i="2"/>
  <c r="AT21" i="2"/>
  <c r="AS21" i="2"/>
  <c r="AL21" i="2"/>
  <c r="AB21" i="2"/>
  <c r="AM21" i="2"/>
  <c r="M21" i="2"/>
  <c r="X21" i="2"/>
  <c r="Y21" i="2" s="1"/>
  <c r="S178" i="89" a="1"/>
  <c r="AB178" i="89" a="1"/>
  <c r="AB178" i="89" l="1"/>
  <c r="S178" i="89"/>
  <c r="R178" i="89" a="1"/>
  <c r="R178" i="89" l="1"/>
  <c r="H28" i="1" l="1"/>
  <c r="AN17" i="2" a="1"/>
  <c r="AN17" i="2" l="1"/>
  <c r="AB179" i="89" a="1"/>
  <c r="L17" i="2" a="1"/>
  <c r="AB179" i="89" l="1"/>
  <c r="Q24" i="1"/>
  <c r="T24" i="1" s="1"/>
  <c r="S27" i="1"/>
  <c r="Q27" i="1"/>
  <c r="L17" i="2"/>
  <c r="S82" i="89" a="1"/>
  <c r="AN16" i="2" a="1"/>
  <c r="S223" i="89" a="1"/>
  <c r="Z19" i="2"/>
  <c r="AV19" i="2" s="1" a="1"/>
  <c r="S14" i="89" a="1"/>
  <c r="AV19" i="2" l="1"/>
  <c r="S82" i="89"/>
  <c r="S223" i="89"/>
  <c r="S14" i="89"/>
  <c r="T27" i="1"/>
  <c r="AN16" i="2"/>
  <c r="R82" i="89" a="1"/>
  <c r="R223" i="89" a="1"/>
  <c r="R14" i="89" a="1"/>
  <c r="L16" i="2" a="1"/>
  <c r="R14" i="89" l="1"/>
  <c r="R223" i="89"/>
  <c r="R82" i="89"/>
  <c r="L16" i="2"/>
  <c r="BA17" i="2"/>
  <c r="BB17" i="2"/>
  <c r="BA16" i="2"/>
  <c r="BB16" i="2"/>
  <c r="Q17" i="2" a="1"/>
  <c r="G17" i="2" a="1"/>
  <c r="P16" i="2" a="1"/>
  <c r="AF17" i="2" a="1"/>
  <c r="Q16" i="2" a="1"/>
  <c r="AF16" i="2" a="1"/>
  <c r="P17" i="2" a="1"/>
  <c r="G16" i="2" a="1"/>
  <c r="BC16" i="2" l="1"/>
  <c r="BC17" i="2"/>
  <c r="G17" i="2"/>
  <c r="P17" i="2"/>
  <c r="Q17" i="2"/>
  <c r="AF17" i="2"/>
  <c r="G16" i="2"/>
  <c r="P16" i="2"/>
  <c r="Q16" i="2"/>
  <c r="AF16" i="2"/>
  <c r="S16" i="2" a="1"/>
  <c r="S17" i="2" a="1"/>
  <c r="R17" i="2" l="1"/>
  <c r="S16" i="2"/>
  <c r="U16" i="2" s="1"/>
  <c r="S17" i="2"/>
  <c r="AO17" i="2" s="1"/>
  <c r="O17" i="2"/>
  <c r="O16" i="2"/>
  <c r="R16" i="2"/>
  <c r="Z17" i="2"/>
  <c r="AV17" i="2" s="1" a="1"/>
  <c r="AV17" i="2" l="1"/>
  <c r="AO16" i="2"/>
  <c r="AP16" i="2"/>
  <c r="AP17" i="2"/>
  <c r="U17" i="2"/>
  <c r="AT16" i="2"/>
  <c r="AL16" i="2"/>
  <c r="AS16" i="2"/>
  <c r="X16" i="2"/>
  <c r="Y16" i="2" s="1"/>
  <c r="AB16" i="2"/>
  <c r="AM16" i="2"/>
  <c r="M16" i="2"/>
  <c r="AE16" i="2"/>
  <c r="AE17" i="2"/>
  <c r="AS17" i="2"/>
  <c r="AT17" i="2"/>
  <c r="AL17" i="2"/>
  <c r="X17" i="2"/>
  <c r="Y17" i="2" s="1"/>
  <c r="M17" i="2"/>
  <c r="AB17" i="2"/>
  <c r="AM17" i="2"/>
  <c r="I18" i="1" a="1"/>
  <c r="I18" i="1" l="1"/>
  <c r="W62" i="89" a="1"/>
  <c r="F62" i="89" a="1"/>
  <c r="W63" i="89" a="1"/>
  <c r="L62" i="89" a="1"/>
  <c r="L63" i="89" a="1"/>
  <c r="F63" i="89" a="1"/>
  <c r="K82" i="89" a="1"/>
  <c r="W82" i="89" a="1"/>
  <c r="K63" i="89" a="1"/>
  <c r="K62" i="89" a="1"/>
  <c r="L82" i="89" a="1"/>
  <c r="W63" i="89" l="1"/>
  <c r="W82" i="89"/>
  <c r="W62" i="89"/>
  <c r="K82" i="89"/>
  <c r="F63" i="89"/>
  <c r="F62" i="89"/>
  <c r="K62" i="89"/>
  <c r="L63" i="89"/>
  <c r="K63" i="89"/>
  <c r="L82" i="89"/>
  <c r="L62" i="89"/>
  <c r="W75" i="89" a="1"/>
  <c r="L75" i="89" a="1"/>
  <c r="K75" i="89" a="1"/>
  <c r="F75" i="89" a="1"/>
  <c r="K75" i="89" l="1"/>
  <c r="L75" i="89"/>
  <c r="W75" i="89"/>
  <c r="F75" i="89"/>
  <c r="K76" i="89" a="1"/>
  <c r="L76" i="89" a="1"/>
  <c r="W76" i="89" a="1"/>
  <c r="W76" i="89" l="1"/>
  <c r="L76" i="89"/>
  <c r="K76" i="89"/>
  <c r="N21" i="1"/>
  <c r="J21" i="1"/>
  <c r="Q31" i="1" l="1"/>
  <c r="Q33" i="1"/>
  <c r="Q16" i="1"/>
  <c r="S16" i="1"/>
  <c r="Q17" i="1"/>
  <c r="Q20" i="1"/>
  <c r="S20" i="1"/>
  <c r="S31" i="1"/>
  <c r="S32" i="1"/>
  <c r="Q22" i="1"/>
  <c r="S30" i="1"/>
  <c r="Q32" i="1"/>
  <c r="S33" i="1"/>
  <c r="S22" i="1"/>
  <c r="Q28" i="1"/>
  <c r="S28" i="1"/>
  <c r="Q30" i="1"/>
  <c r="S188" i="89" a="1"/>
  <c r="S188" i="89" l="1"/>
  <c r="R188" i="89" a="1"/>
  <c r="R188" i="89" l="1"/>
  <c r="Q21" i="1"/>
  <c r="I25" i="1" a="1"/>
  <c r="I25" i="1" l="1"/>
  <c r="T21" i="1" l="1"/>
  <c r="I26" i="1" a="1"/>
  <c r="Z15" i="2"/>
  <c r="AV15" i="2" s="1" a="1"/>
  <c r="AV15" i="2" l="1"/>
  <c r="I26" i="1"/>
  <c r="J4" i="2" l="1"/>
  <c r="K4" i="2" s="1"/>
  <c r="BB10" i="2" l="1"/>
  <c r="BA10" i="2"/>
  <c r="BB9" i="2"/>
  <c r="BA9" i="2"/>
  <c r="P10" i="2" a="1"/>
  <c r="AF10" i="2" a="1"/>
  <c r="G10" i="2" a="1"/>
  <c r="G9" i="2" a="1"/>
  <c r="AN10" i="2" a="1"/>
  <c r="P9" i="2" a="1"/>
  <c r="Q10" i="2" a="1"/>
  <c r="AF9" i="2" a="1"/>
  <c r="AN9" i="2" a="1"/>
  <c r="Q9" i="2" a="1"/>
  <c r="L9" i="2" a="1"/>
  <c r="L10" i="2" a="1"/>
  <c r="BC9" i="2" l="1"/>
  <c r="BC10" i="2"/>
  <c r="AN10" i="2"/>
  <c r="L10" i="2"/>
  <c r="G10" i="2"/>
  <c r="P9" i="2"/>
  <c r="AF10" i="2"/>
  <c r="AN9" i="2"/>
  <c r="G9" i="2"/>
  <c r="P10" i="2"/>
  <c r="AF9" i="2"/>
  <c r="L9" i="2"/>
  <c r="Q9" i="2"/>
  <c r="Q10" i="2"/>
  <c r="S9" i="2" a="1"/>
  <c r="S10" i="2" a="1"/>
  <c r="J32" i="1" l="1"/>
  <c r="N32" i="1"/>
  <c r="S10" i="2"/>
  <c r="S9" i="2"/>
  <c r="U9" i="2" s="1"/>
  <c r="O10" i="2"/>
  <c r="AP10" i="2"/>
  <c r="U10" i="2"/>
  <c r="R10" i="2"/>
  <c r="AO10" i="2"/>
  <c r="AO9" i="2"/>
  <c r="R9" i="2"/>
  <c r="O9" i="2"/>
  <c r="Z9" i="2"/>
  <c r="AV9" i="2" s="1" a="1"/>
  <c r="AV9" i="2" l="1"/>
  <c r="AE9" i="2"/>
  <c r="AP9" i="2"/>
  <c r="AE10" i="2"/>
  <c r="AT9" i="2"/>
  <c r="AS9" i="2"/>
  <c r="AL9" i="2"/>
  <c r="X9" i="2"/>
  <c r="Y9" i="2" s="1"/>
  <c r="AM9" i="2"/>
  <c r="AB9" i="2"/>
  <c r="M9" i="2"/>
  <c r="AS10" i="2"/>
  <c r="AL10" i="2"/>
  <c r="AT10" i="2"/>
  <c r="AM10" i="2"/>
  <c r="M10" i="2"/>
  <c r="X10" i="2"/>
  <c r="Y10" i="2" s="1"/>
  <c r="AB10" i="2"/>
  <c r="F153" i="89" a="1"/>
  <c r="F153" i="89" l="1"/>
  <c r="K153" i="89" a="1"/>
  <c r="K153" i="89" l="1"/>
  <c r="L153" i="89" a="1"/>
  <c r="L153" i="89" l="1"/>
  <c r="W153" i="89" a="1"/>
  <c r="W153" i="89" l="1"/>
  <c r="N15" i="1" l="1"/>
  <c r="J15" i="1"/>
  <c r="N17" i="1"/>
  <c r="J17" i="1"/>
  <c r="N16" i="1"/>
  <c r="J16" i="1"/>
  <c r="J33" i="1" l="1"/>
  <c r="N33" i="1" l="1"/>
  <c r="W19" i="252" l="1"/>
  <c r="T19" i="252"/>
  <c r="W10" i="252"/>
  <c r="T8" i="252"/>
  <c r="W17" i="252"/>
  <c r="T11" i="252"/>
  <c r="T10" i="252"/>
  <c r="W18" i="252"/>
  <c r="T17" i="252"/>
  <c r="W16" i="252"/>
  <c r="T16" i="252"/>
  <c r="T14" i="252"/>
  <c r="W8" i="252"/>
  <c r="T18" i="252"/>
  <c r="W11" i="252"/>
  <c r="W14" i="252"/>
  <c r="T16" i="1" l="1"/>
  <c r="Q15" i="1"/>
  <c r="T15" i="1" s="1"/>
  <c r="T17" i="1"/>
  <c r="T33" i="1"/>
  <c r="S8" i="89" a="1"/>
  <c r="S8" i="89" l="1"/>
  <c r="T32" i="1"/>
  <c r="R8" i="89" a="1"/>
  <c r="R8" i="89" l="1"/>
  <c r="J10" i="252" a="1"/>
  <c r="J17" i="252" a="1"/>
  <c r="J20" i="252" a="1"/>
  <c r="J15" i="252" a="1"/>
  <c r="J12" i="252" a="1"/>
  <c r="J13" i="252" a="1"/>
  <c r="J14" i="252" a="1"/>
  <c r="J6" i="252" a="1"/>
  <c r="J8" i="252" a="1"/>
  <c r="J9" i="252" a="1"/>
  <c r="J19" i="252" a="1"/>
  <c r="J16" i="252" a="1"/>
  <c r="J11" i="252" a="1"/>
  <c r="J7" i="252" a="1"/>
  <c r="J18" i="252" a="1"/>
  <c r="J18" i="252" l="1"/>
  <c r="J7" i="252"/>
  <c r="J11" i="252"/>
  <c r="J16" i="252"/>
  <c r="J19" i="252"/>
  <c r="J9" i="252"/>
  <c r="J8" i="252"/>
  <c r="J6" i="252"/>
  <c r="J14" i="252"/>
  <c r="J13" i="252"/>
  <c r="J12" i="252"/>
  <c r="J15" i="252"/>
  <c r="J20" i="252"/>
  <c r="J17" i="252"/>
  <c r="J10" i="252"/>
  <c r="W20" i="252" l="1"/>
  <c r="T20" i="252"/>
  <c r="W7" i="252"/>
  <c r="T7" i="252"/>
  <c r="R165" i="444" l="1"/>
  <c r="T165" i="444" s="1"/>
  <c r="U165" i="444" s="1"/>
  <c r="G165" i="444"/>
  <c r="R164" i="444"/>
  <c r="S164" i="444" s="1"/>
  <c r="G164" i="444"/>
  <c r="R163" i="444"/>
  <c r="T163" i="444" s="1"/>
  <c r="U163" i="444" s="1"/>
  <c r="G163" i="444"/>
  <c r="R162" i="444"/>
  <c r="T162" i="444" s="1"/>
  <c r="U162" i="444" s="1"/>
  <c r="G162" i="444"/>
  <c r="R161" i="444"/>
  <c r="T161" i="444" s="1"/>
  <c r="U161" i="444" s="1"/>
  <c r="G161" i="444"/>
  <c r="T160" i="444"/>
  <c r="U160" i="444" s="1"/>
  <c r="V160" i="444" s="1"/>
  <c r="W160" i="444" s="1"/>
  <c r="S160" i="444"/>
  <c r="R160" i="444"/>
  <c r="G160" i="444"/>
  <c r="R159" i="444"/>
  <c r="T159" i="444" s="1"/>
  <c r="U159" i="444" s="1"/>
  <c r="G159" i="444"/>
  <c r="R158" i="444"/>
  <c r="T158" i="444" s="1"/>
  <c r="U158" i="444" s="1"/>
  <c r="G158" i="444"/>
  <c r="T157" i="444"/>
  <c r="U157" i="444" s="1"/>
  <c r="R157" i="444"/>
  <c r="S157" i="444" s="1"/>
  <c r="G157" i="444"/>
  <c r="R156" i="444"/>
  <c r="T156" i="444" s="1"/>
  <c r="U156" i="444" s="1"/>
  <c r="G156" i="444"/>
  <c r="R155" i="444"/>
  <c r="T155" i="444" s="1"/>
  <c r="U155" i="444" s="1"/>
  <c r="G155" i="444"/>
  <c r="S154" i="444"/>
  <c r="R154" i="444"/>
  <c r="T154" i="444" s="1"/>
  <c r="U154" i="444" s="1"/>
  <c r="V154" i="444" s="1"/>
  <c r="W154" i="444" s="1"/>
  <c r="G154" i="444"/>
  <c r="R153" i="444"/>
  <c r="G153" i="444"/>
  <c r="R152" i="444"/>
  <c r="T152" i="444" s="1"/>
  <c r="U152" i="444" s="1"/>
  <c r="G152" i="444"/>
  <c r="T151" i="444"/>
  <c r="U151" i="444" s="1"/>
  <c r="R151" i="444"/>
  <c r="S151" i="444" s="1"/>
  <c r="G151" i="444"/>
  <c r="S150" i="444"/>
  <c r="R150" i="444"/>
  <c r="T150" i="444" s="1"/>
  <c r="U150" i="444" s="1"/>
  <c r="G150" i="444"/>
  <c r="T149" i="444"/>
  <c r="U149" i="444" s="1"/>
  <c r="S149" i="444"/>
  <c r="R149" i="444"/>
  <c r="G149" i="444"/>
  <c r="R148" i="444"/>
  <c r="T148" i="444" s="1"/>
  <c r="U148" i="444" s="1"/>
  <c r="G148" i="444"/>
  <c r="T147" i="444"/>
  <c r="U147" i="444" s="1"/>
  <c r="S147" i="444"/>
  <c r="R147" i="444"/>
  <c r="G147" i="444"/>
  <c r="T146" i="444"/>
  <c r="U146" i="444" s="1"/>
  <c r="V146" i="444" s="1"/>
  <c r="W146" i="444" s="1"/>
  <c r="S146" i="444"/>
  <c r="R146" i="444"/>
  <c r="G146" i="444"/>
  <c r="R145" i="444"/>
  <c r="T145" i="444" s="1"/>
  <c r="U145" i="444" s="1"/>
  <c r="G145" i="444"/>
  <c r="R144" i="444"/>
  <c r="S144" i="444" s="1"/>
  <c r="G144" i="444"/>
  <c r="R143" i="444"/>
  <c r="T143" i="444" s="1"/>
  <c r="U143" i="444" s="1"/>
  <c r="G143" i="444"/>
  <c r="R142" i="444"/>
  <c r="T142" i="444" s="1"/>
  <c r="U142" i="444" s="1"/>
  <c r="G142" i="444"/>
  <c r="S141" i="444"/>
  <c r="R141" i="444"/>
  <c r="T141" i="444" s="1"/>
  <c r="U141" i="444" s="1"/>
  <c r="G141" i="444"/>
  <c r="T140" i="444"/>
  <c r="U140" i="444" s="1"/>
  <c r="V140" i="444" s="1"/>
  <c r="W140" i="444" s="1"/>
  <c r="S140" i="444"/>
  <c r="R140" i="444"/>
  <c r="G140" i="444"/>
  <c r="R139" i="444"/>
  <c r="T139" i="444" s="1"/>
  <c r="U139" i="444" s="1"/>
  <c r="G139" i="444"/>
  <c r="R138" i="444"/>
  <c r="T138" i="444" s="1"/>
  <c r="U138" i="444" s="1"/>
  <c r="G138" i="444"/>
  <c r="T137" i="444"/>
  <c r="U137" i="444" s="1"/>
  <c r="R137" i="444"/>
  <c r="S137" i="444" s="1"/>
  <c r="G137" i="444"/>
  <c r="R136" i="444"/>
  <c r="T136" i="444" s="1"/>
  <c r="U136" i="444" s="1"/>
  <c r="G136" i="444"/>
  <c r="R135" i="444"/>
  <c r="T135" i="444" s="1"/>
  <c r="U135" i="444" s="1"/>
  <c r="G135" i="444"/>
  <c r="S134" i="444"/>
  <c r="R134" i="444"/>
  <c r="T134" i="444" s="1"/>
  <c r="U134" i="444" s="1"/>
  <c r="V134" i="444" s="1"/>
  <c r="W134" i="444" s="1"/>
  <c r="G134" i="444"/>
  <c r="R133" i="444"/>
  <c r="G133" i="444"/>
  <c r="T132" i="444"/>
  <c r="U132" i="444" s="1"/>
  <c r="R132" i="444"/>
  <c r="S132" i="444" s="1"/>
  <c r="G132" i="444"/>
  <c r="T131" i="444"/>
  <c r="U131" i="444" s="1"/>
  <c r="R131" i="444"/>
  <c r="S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S128" i="444"/>
  <c r="R128" i="444"/>
  <c r="T128" i="444" s="1"/>
  <c r="U128" i="444" s="1"/>
  <c r="G128" i="444"/>
  <c r="T127" i="444"/>
  <c r="U127" i="444" s="1"/>
  <c r="S127" i="444"/>
  <c r="R127" i="444"/>
  <c r="G127" i="444"/>
  <c r="T126" i="444"/>
  <c r="U126" i="444" s="1"/>
  <c r="V126" i="444" s="1"/>
  <c r="W126" i="444" s="1"/>
  <c r="S126" i="444"/>
  <c r="R126" i="444"/>
  <c r="G126" i="444"/>
  <c r="T125" i="444"/>
  <c r="U125" i="444" s="1"/>
  <c r="R125" i="444"/>
  <c r="S125" i="444" s="1"/>
  <c r="G125" i="444"/>
  <c r="R124" i="444"/>
  <c r="S124" i="444" s="1"/>
  <c r="G124" i="444"/>
  <c r="R123" i="444"/>
  <c r="T123" i="444" s="1"/>
  <c r="U123" i="444" s="1"/>
  <c r="G123" i="444"/>
  <c r="R122" i="444"/>
  <c r="T122" i="444" s="1"/>
  <c r="U122" i="444" s="1"/>
  <c r="G122" i="444"/>
  <c r="R121" i="444"/>
  <c r="T121" i="444" s="1"/>
  <c r="U121" i="444" s="1"/>
  <c r="G121" i="444"/>
  <c r="T120" i="444"/>
  <c r="U120" i="444" s="1"/>
  <c r="V120" i="444" s="1"/>
  <c r="W120" i="444" s="1"/>
  <c r="S120" i="444"/>
  <c r="R120" i="444"/>
  <c r="G120" i="444"/>
  <c r="R119" i="444"/>
  <c r="T119" i="444" s="1"/>
  <c r="U119" i="444" s="1"/>
  <c r="G119" i="444"/>
  <c r="R118" i="444"/>
  <c r="T118" i="444" s="1"/>
  <c r="U118" i="444" s="1"/>
  <c r="G118" i="444"/>
  <c r="T117" i="444"/>
  <c r="U117" i="444" s="1"/>
  <c r="R117" i="444"/>
  <c r="S117" i="444" s="1"/>
  <c r="G117" i="444"/>
  <c r="R116" i="444"/>
  <c r="T116" i="444" s="1"/>
  <c r="U116" i="444" s="1"/>
  <c r="G116" i="444"/>
  <c r="T115" i="444"/>
  <c r="U115" i="444" s="1"/>
  <c r="R115" i="444"/>
  <c r="S115" i="444" s="1"/>
  <c r="G115" i="444"/>
  <c r="T114" i="444"/>
  <c r="U114" i="444" s="1"/>
  <c r="V114" i="444" s="1"/>
  <c r="W114" i="444" s="1"/>
  <c r="S114" i="444"/>
  <c r="R114" i="444"/>
  <c r="G114" i="444"/>
  <c r="R113" i="444"/>
  <c r="G113" i="444"/>
  <c r="T112" i="444"/>
  <c r="U112" i="444" s="1"/>
  <c r="V112" i="444" s="1"/>
  <c r="W112" i="444" s="1"/>
  <c r="S112" i="444"/>
  <c r="R112" i="444"/>
  <c r="G112" i="444"/>
  <c r="T111" i="444"/>
  <c r="U111" i="444" s="1"/>
  <c r="R111" i="444"/>
  <c r="S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S108" i="444"/>
  <c r="R108" i="444"/>
  <c r="T108" i="444" s="1"/>
  <c r="U108" i="444" s="1"/>
  <c r="G108" i="444"/>
  <c r="T107" i="444"/>
  <c r="U107" i="444" s="1"/>
  <c r="S107" i="444"/>
  <c r="R107" i="444"/>
  <c r="G107" i="444"/>
  <c r="T106" i="444"/>
  <c r="U106" i="444" s="1"/>
  <c r="V106" i="444" s="1"/>
  <c r="W106" i="444" s="1"/>
  <c r="S106" i="444"/>
  <c r="R106" i="444"/>
  <c r="G106" i="444"/>
  <c r="T105" i="444"/>
  <c r="U105" i="444" s="1"/>
  <c r="R105" i="444"/>
  <c r="S105" i="444" s="1"/>
  <c r="G105" i="444"/>
  <c r="R104" i="444"/>
  <c r="S104" i="444" s="1"/>
  <c r="G104" i="444"/>
  <c r="R103" i="444"/>
  <c r="T103" i="444" s="1"/>
  <c r="U103" i="444" s="1"/>
  <c r="G103" i="444"/>
  <c r="R102" i="444"/>
  <c r="T102" i="444" s="1"/>
  <c r="U102" i="444" s="1"/>
  <c r="G102" i="444"/>
  <c r="S101" i="444"/>
  <c r="R101" i="444"/>
  <c r="T101" i="444" s="1"/>
  <c r="U101" i="444" s="1"/>
  <c r="G101" i="444"/>
  <c r="T100" i="444"/>
  <c r="U100" i="444" s="1"/>
  <c r="V100" i="444" s="1"/>
  <c r="W100" i="444" s="1"/>
  <c r="S100" i="444"/>
  <c r="R100" i="444"/>
  <c r="G100" i="444"/>
  <c r="R99" i="444"/>
  <c r="T99" i="444" s="1"/>
  <c r="U99" i="444" s="1"/>
  <c r="G99" i="444"/>
  <c r="R98" i="444"/>
  <c r="T98" i="444" s="1"/>
  <c r="U98" i="444" s="1"/>
  <c r="G98" i="444"/>
  <c r="T97" i="444"/>
  <c r="U97" i="444" s="1"/>
  <c r="R97" i="444"/>
  <c r="S97" i="444" s="1"/>
  <c r="G97" i="444"/>
  <c r="R96" i="444"/>
  <c r="T96" i="444" s="1"/>
  <c r="U96" i="444" s="1"/>
  <c r="G96" i="444"/>
  <c r="T95" i="444"/>
  <c r="U95" i="444" s="1"/>
  <c r="S95" i="444"/>
  <c r="R95" i="444"/>
  <c r="G95" i="444"/>
  <c r="T94" i="444"/>
  <c r="U94" i="444" s="1"/>
  <c r="V94" i="444" s="1"/>
  <c r="W94" i="444" s="1"/>
  <c r="S94" i="444"/>
  <c r="R94" i="444"/>
  <c r="G94" i="444"/>
  <c r="R93" i="444"/>
  <c r="G93" i="444"/>
  <c r="T92" i="444"/>
  <c r="U92" i="444" s="1"/>
  <c r="S92" i="444"/>
  <c r="R92" i="444"/>
  <c r="G92" i="444"/>
  <c r="T91" i="444"/>
  <c r="U91" i="444" s="1"/>
  <c r="R91" i="444"/>
  <c r="S91" i="444" s="1"/>
  <c r="G91" i="444"/>
  <c r="R90" i="444"/>
  <c r="T90" i="444" s="1"/>
  <c r="U90" i="444" s="1"/>
  <c r="G90" i="444"/>
  <c r="T89" i="444"/>
  <c r="U89" i="444" s="1"/>
  <c r="V89" i="444" s="1"/>
  <c r="W89" i="444" s="1"/>
  <c r="S89" i="444"/>
  <c r="R89" i="444"/>
  <c r="G89" i="444"/>
  <c r="S88" i="444"/>
  <c r="R88" i="444"/>
  <c r="T88" i="444" s="1"/>
  <c r="U88" i="444" s="1"/>
  <c r="G88" i="444"/>
  <c r="T87" i="444"/>
  <c r="U87" i="444" s="1"/>
  <c r="S87" i="444"/>
  <c r="R87" i="444"/>
  <c r="G87" i="444"/>
  <c r="T86" i="444"/>
  <c r="U86" i="444" s="1"/>
  <c r="V86" i="444" s="1"/>
  <c r="W86" i="444" s="1"/>
  <c r="S86" i="444"/>
  <c r="R86" i="444"/>
  <c r="G86" i="444"/>
  <c r="T85" i="444"/>
  <c r="U85" i="444" s="1"/>
  <c r="R85" i="444"/>
  <c r="S85" i="444" s="1"/>
  <c r="G85" i="444"/>
  <c r="T84" i="444"/>
  <c r="U84" i="444" s="1"/>
  <c r="R84" i="444"/>
  <c r="S84" i="444" s="1"/>
  <c r="G84" i="444"/>
  <c r="R83" i="444"/>
  <c r="T83" i="444" s="1"/>
  <c r="U83" i="444" s="1"/>
  <c r="G83" i="444"/>
  <c r="R82" i="444"/>
  <c r="T82" i="444" s="1"/>
  <c r="U82" i="444" s="1"/>
  <c r="G82" i="444"/>
  <c r="R81" i="444"/>
  <c r="T81" i="444" s="1"/>
  <c r="U81" i="444" s="1"/>
  <c r="G81" i="444"/>
  <c r="T80" i="444"/>
  <c r="U80" i="444" s="1"/>
  <c r="V80" i="444" s="1"/>
  <c r="W80" i="444" s="1"/>
  <c r="S80" i="444"/>
  <c r="R80" i="444"/>
  <c r="G80" i="444"/>
  <c r="R79" i="444"/>
  <c r="T79" i="444" s="1"/>
  <c r="U79" i="444" s="1"/>
  <c r="G79" i="444"/>
  <c r="T78" i="444"/>
  <c r="U78" i="444" s="1"/>
  <c r="R78" i="444"/>
  <c r="S78" i="444" s="1"/>
  <c r="G78" i="444"/>
  <c r="T77" i="444"/>
  <c r="U77" i="444" s="1"/>
  <c r="R77" i="444"/>
  <c r="S77" i="444" s="1"/>
  <c r="G77" i="444"/>
  <c r="R76" i="444"/>
  <c r="T76" i="444" s="1"/>
  <c r="U76" i="444" s="1"/>
  <c r="G76" i="444"/>
  <c r="T75" i="444"/>
  <c r="U75" i="444" s="1"/>
  <c r="R75" i="444"/>
  <c r="S75" i="444" s="1"/>
  <c r="G75" i="444"/>
  <c r="T74" i="444"/>
  <c r="U74" i="444" s="1"/>
  <c r="V74" i="444" s="1"/>
  <c r="W74" i="444" s="1"/>
  <c r="S74" i="444"/>
  <c r="R74" i="444"/>
  <c r="G74" i="444"/>
  <c r="R73" i="444"/>
  <c r="G73" i="444"/>
  <c r="R72" i="444"/>
  <c r="T72" i="444" s="1"/>
  <c r="U72" i="444" s="1"/>
  <c r="G72" i="444"/>
  <c r="T71" i="444"/>
  <c r="U71" i="444" s="1"/>
  <c r="R71" i="444"/>
  <c r="S71" i="444" s="1"/>
  <c r="G71" i="444"/>
  <c r="S70" i="444"/>
  <c r="R70" i="444"/>
  <c r="T70" i="444" s="1"/>
  <c r="U70" i="444" s="1"/>
  <c r="G70" i="444"/>
  <c r="T69" i="444"/>
  <c r="U69" i="444" s="1"/>
  <c r="S69" i="444"/>
  <c r="R69" i="444"/>
  <c r="G69" i="444"/>
  <c r="S68" i="444"/>
  <c r="R68" i="444"/>
  <c r="T68" i="444" s="1"/>
  <c r="U68" i="444" s="1"/>
  <c r="G68" i="444"/>
  <c r="T67" i="444"/>
  <c r="U67" i="444" s="1"/>
  <c r="S67" i="444"/>
  <c r="R67" i="444"/>
  <c r="G67" i="444"/>
  <c r="T66" i="444"/>
  <c r="U66" i="444" s="1"/>
  <c r="V66" i="444" s="1"/>
  <c r="W66" i="444" s="1"/>
  <c r="S66" i="444"/>
  <c r="R66" i="444"/>
  <c r="G66" i="444"/>
  <c r="T65" i="444"/>
  <c r="U65" i="444" s="1"/>
  <c r="R65" i="444"/>
  <c r="S65" i="444" s="1"/>
  <c r="G65" i="444"/>
  <c r="T64" i="444"/>
  <c r="U64" i="444" s="1"/>
  <c r="R64" i="444"/>
  <c r="S64" i="444" s="1"/>
  <c r="G64" i="444"/>
  <c r="R63" i="444"/>
  <c r="T63" i="444" s="1"/>
  <c r="U63" i="444" s="1"/>
  <c r="G63" i="444"/>
  <c r="R62" i="444"/>
  <c r="T62" i="444" s="1"/>
  <c r="U62" i="444" s="1"/>
  <c r="G62" i="444"/>
  <c r="S61" i="444"/>
  <c r="R61" i="444"/>
  <c r="T61" i="444" s="1"/>
  <c r="U61" i="444" s="1"/>
  <c r="V61" i="444" s="1"/>
  <c r="W61" i="444" s="1"/>
  <c r="G61" i="444"/>
  <c r="T60" i="444"/>
  <c r="U60" i="444" s="1"/>
  <c r="V60" i="444" s="1"/>
  <c r="W60" i="444" s="1"/>
  <c r="S60" i="444"/>
  <c r="R60" i="444"/>
  <c r="G60" i="444"/>
  <c r="R59" i="444"/>
  <c r="T59" i="444" s="1"/>
  <c r="U59" i="444" s="1"/>
  <c r="G59" i="444"/>
  <c r="T58" i="444"/>
  <c r="U58" i="444" s="1"/>
  <c r="S58" i="444"/>
  <c r="R58" i="444"/>
  <c r="G58" i="444"/>
  <c r="T57" i="444"/>
  <c r="U57" i="444" s="1"/>
  <c r="R57" i="444"/>
  <c r="S57" i="444" s="1"/>
  <c r="G57" i="444"/>
  <c r="R56" i="444"/>
  <c r="T56" i="444" s="1"/>
  <c r="U56" i="444" s="1"/>
  <c r="G56" i="444"/>
  <c r="R55" i="444"/>
  <c r="T55" i="444" s="1"/>
  <c r="U55" i="444" s="1"/>
  <c r="G55" i="444"/>
  <c r="T54" i="444"/>
  <c r="U54" i="444" s="1"/>
  <c r="V54" i="444" s="1"/>
  <c r="W54" i="444" s="1"/>
  <c r="S54" i="444"/>
  <c r="R54" i="444"/>
  <c r="G54" i="444"/>
  <c r="R53" i="444"/>
  <c r="G53" i="444"/>
  <c r="T52" i="444"/>
  <c r="U52" i="444" s="1"/>
  <c r="V52" i="444" s="1"/>
  <c r="W52" i="444" s="1"/>
  <c r="S52" i="444"/>
  <c r="R52" i="444"/>
  <c r="G52" i="444"/>
  <c r="T51" i="444"/>
  <c r="U51" i="444" s="1"/>
  <c r="R51" i="444"/>
  <c r="S51" i="444" s="1"/>
  <c r="G51" i="444"/>
  <c r="R50" i="444"/>
  <c r="T50" i="444" s="1"/>
  <c r="U50" i="444" s="1"/>
  <c r="G50" i="444"/>
  <c r="T49" i="444"/>
  <c r="U49" i="444" s="1"/>
  <c r="S49" i="444"/>
  <c r="R49" i="444"/>
  <c r="G49" i="444"/>
  <c r="S48" i="444"/>
  <c r="R48" i="444"/>
  <c r="T48" i="444" s="1"/>
  <c r="U48" i="444" s="1"/>
  <c r="G48" i="444"/>
  <c r="T47" i="444"/>
  <c r="U47" i="444" s="1"/>
  <c r="S47" i="444"/>
  <c r="R47" i="444"/>
  <c r="G47" i="444"/>
  <c r="T46" i="444"/>
  <c r="U46" i="444" s="1"/>
  <c r="V46" i="444" s="1"/>
  <c r="W46" i="444" s="1"/>
  <c r="S46" i="444"/>
  <c r="R46" i="444"/>
  <c r="G46" i="444"/>
  <c r="T45" i="444"/>
  <c r="U45" i="444" s="1"/>
  <c r="R45" i="444"/>
  <c r="S45" i="444" s="1"/>
  <c r="G45" i="444"/>
  <c r="R44" i="444"/>
  <c r="S44" i="444" s="1"/>
  <c r="G44" i="444"/>
  <c r="R43" i="444"/>
  <c r="T43" i="444" s="1"/>
  <c r="U43" i="444" s="1"/>
  <c r="G43" i="444"/>
  <c r="R42" i="444"/>
  <c r="T42" i="444" s="1"/>
  <c r="U42" i="444" s="1"/>
  <c r="G42" i="444"/>
  <c r="R41" i="444"/>
  <c r="T41" i="444" s="1"/>
  <c r="U41" i="444" s="1"/>
  <c r="G41" i="444"/>
  <c r="T40" i="444"/>
  <c r="U40" i="444" s="1"/>
  <c r="V40" i="444" s="1"/>
  <c r="W40" i="444" s="1"/>
  <c r="S40" i="444"/>
  <c r="R40" i="444"/>
  <c r="G40" i="444"/>
  <c r="R39" i="444"/>
  <c r="T39" i="444" s="1"/>
  <c r="U39" i="444" s="1"/>
  <c r="G39" i="444"/>
  <c r="T38" i="444"/>
  <c r="U38" i="444" s="1"/>
  <c r="R38" i="444"/>
  <c r="S38" i="444" s="1"/>
  <c r="G38" i="444"/>
  <c r="T37" i="444"/>
  <c r="U37" i="444" s="1"/>
  <c r="R37" i="444"/>
  <c r="S37" i="444" s="1"/>
  <c r="G37" i="444"/>
  <c r="R36" i="444"/>
  <c r="T36" i="444" s="1"/>
  <c r="U36" i="444" s="1"/>
  <c r="G36" i="444"/>
  <c r="R35" i="444"/>
  <c r="T35" i="444" s="1"/>
  <c r="U35" i="444" s="1"/>
  <c r="G35" i="444"/>
  <c r="T34" i="444"/>
  <c r="U34" i="444" s="1"/>
  <c r="V34" i="444" s="1"/>
  <c r="W34" i="444" s="1"/>
  <c r="S34" i="444"/>
  <c r="R34" i="444"/>
  <c r="G34" i="444"/>
  <c r="R33" i="444"/>
  <c r="G33" i="444"/>
  <c r="R32" i="444"/>
  <c r="T32" i="444" s="1"/>
  <c r="U32" i="444" s="1"/>
  <c r="G32" i="444"/>
  <c r="T31" i="444"/>
  <c r="U31" i="444" s="1"/>
  <c r="R31" i="444"/>
  <c r="S31" i="444" s="1"/>
  <c r="G31" i="444"/>
  <c r="R30" i="444"/>
  <c r="T30" i="444" s="1"/>
  <c r="U30" i="444" s="1"/>
  <c r="G30" i="444"/>
  <c r="T29" i="444"/>
  <c r="U29" i="444" s="1"/>
  <c r="V29" i="444" s="1"/>
  <c r="W29" i="444" s="1"/>
  <c r="S29" i="444"/>
  <c r="R29" i="444"/>
  <c r="G29" i="444"/>
  <c r="S28" i="444"/>
  <c r="R28" i="444"/>
  <c r="T28" i="444" s="1"/>
  <c r="U28" i="444" s="1"/>
  <c r="G28" i="444"/>
  <c r="T27" i="444"/>
  <c r="U27" i="444" s="1"/>
  <c r="S27" i="444"/>
  <c r="R27" i="444"/>
  <c r="G27" i="444"/>
  <c r="T26" i="444"/>
  <c r="U26" i="444" s="1"/>
  <c r="V26" i="444" s="1"/>
  <c r="W26" i="444" s="1"/>
  <c r="S26" i="444"/>
  <c r="R26" i="444"/>
  <c r="G26" i="444"/>
  <c r="T25" i="444"/>
  <c r="U25" i="444" s="1"/>
  <c r="R25" i="444"/>
  <c r="S25" i="444" s="1"/>
  <c r="G25" i="444"/>
  <c r="T24" i="444"/>
  <c r="U24" i="444" s="1"/>
  <c r="R24" i="444"/>
  <c r="S24" i="444" s="1"/>
  <c r="G24" i="444"/>
  <c r="R23" i="444"/>
  <c r="T23" i="444" s="1"/>
  <c r="U23" i="444" s="1"/>
  <c r="G23" i="444"/>
  <c r="R22" i="444"/>
  <c r="T22" i="444" s="1"/>
  <c r="U22" i="444" s="1"/>
  <c r="G22" i="444"/>
  <c r="R21" i="444"/>
  <c r="T21" i="444" s="1"/>
  <c r="U21" i="444" s="1"/>
  <c r="G21" i="444"/>
  <c r="T20" i="444"/>
  <c r="U20" i="444" s="1"/>
  <c r="V20" i="444" s="1"/>
  <c r="W20" i="444" s="1"/>
  <c r="S20" i="444"/>
  <c r="R20" i="444"/>
  <c r="G20" i="444"/>
  <c r="R19" i="444"/>
  <c r="T19" i="444" s="1"/>
  <c r="U19" i="444" s="1"/>
  <c r="G19" i="444"/>
  <c r="R18" i="444"/>
  <c r="T18" i="444" s="1"/>
  <c r="U18" i="444" s="1"/>
  <c r="G18" i="444"/>
  <c r="T17" i="444"/>
  <c r="U17" i="444" s="1"/>
  <c r="R17" i="444"/>
  <c r="S17" i="444" s="1"/>
  <c r="G17" i="444"/>
  <c r="R16" i="444"/>
  <c r="T16" i="444" s="1"/>
  <c r="U16" i="444" s="1"/>
  <c r="G16" i="444"/>
  <c r="T15" i="444"/>
  <c r="U15" i="444" s="1"/>
  <c r="R15" i="444"/>
  <c r="S15" i="444" s="1"/>
  <c r="G15" i="444"/>
  <c r="T14" i="444"/>
  <c r="U14" i="444" s="1"/>
  <c r="V14" i="444" s="1"/>
  <c r="W14" i="444" s="1"/>
  <c r="S14" i="444"/>
  <c r="R14" i="444"/>
  <c r="G14" i="444"/>
  <c r="R13" i="444"/>
  <c r="G13" i="444"/>
  <c r="R12" i="444"/>
  <c r="T12" i="444" s="1"/>
  <c r="U12" i="444" s="1"/>
  <c r="G12" i="444"/>
  <c r="T11" i="444"/>
  <c r="U11" i="444" s="1"/>
  <c r="R11" i="444"/>
  <c r="S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S8" i="444"/>
  <c r="R8" i="444"/>
  <c r="T8" i="444" s="1"/>
  <c r="U8" i="444" s="1"/>
  <c r="G8" i="444"/>
  <c r="T7" i="444"/>
  <c r="U7" i="444" s="1"/>
  <c r="S7" i="444"/>
  <c r="R7" i="444"/>
  <c r="G7" i="444"/>
  <c r="T6" i="444"/>
  <c r="U6" i="444" s="1"/>
  <c r="V6" i="444" s="1"/>
  <c r="W6" i="444" s="1"/>
  <c r="S6" i="444"/>
  <c r="R6" i="444"/>
  <c r="G6" i="444"/>
  <c r="T5" i="444"/>
  <c r="U5" i="444" s="1"/>
  <c r="R5" i="444"/>
  <c r="S5" i="444" s="1"/>
  <c r="G5" i="444"/>
  <c r="R4" i="444"/>
  <c r="S4" i="444" s="1"/>
  <c r="G4" i="444"/>
  <c r="R3" i="444"/>
  <c r="T3" i="444" s="1"/>
  <c r="U3" i="444" s="1"/>
  <c r="G3" i="444"/>
  <c r="R2" i="444"/>
  <c r="T2" i="444" s="1"/>
  <c r="U2" i="444" s="1"/>
  <c r="G2" i="444"/>
  <c r="B2" i="383"/>
  <c r="B3" i="383" s="1"/>
  <c r="B5" i="383" s="1"/>
  <c r="C42" i="54"/>
  <c r="D42" i="54" s="1"/>
  <c r="C40" i="54"/>
  <c r="I32" i="54"/>
  <c r="I31" i="54"/>
  <c r="D31" i="54"/>
  <c r="C31" i="54"/>
  <c r="I30" i="54"/>
  <c r="C29" i="54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H9" i="54"/>
  <c r="G9" i="54"/>
  <c r="D3" i="54"/>
  <c r="C3" i="54"/>
  <c r="D2" i="54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D44" i="415"/>
  <c r="C44" i="415"/>
  <c r="D43" i="415"/>
  <c r="C43" i="415"/>
  <c r="D42" i="415"/>
  <c r="C42" i="415"/>
  <c r="D17" i="415"/>
  <c r="C17" i="415"/>
  <c r="D16" i="415"/>
  <c r="C16" i="415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Q84" i="385"/>
  <c r="P84" i="385"/>
  <c r="R84" i="385" s="1"/>
  <c r="M84" i="385"/>
  <c r="L84" i="385"/>
  <c r="K84" i="385"/>
  <c r="J84" i="385"/>
  <c r="H84" i="385"/>
  <c r="G84" i="385"/>
  <c r="F84" i="385"/>
  <c r="E84" i="385"/>
  <c r="D84" i="385"/>
  <c r="C84" i="385"/>
  <c r="Q83" i="385"/>
  <c r="P83" i="385"/>
  <c r="S83" i="385" s="1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S82" i="385" s="1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S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R80" i="385" s="1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M79" i="385"/>
  <c r="L79" i="385"/>
  <c r="K79" i="385"/>
  <c r="J79" i="385"/>
  <c r="H79" i="385"/>
  <c r="G79" i="385"/>
  <c r="F79" i="385"/>
  <c r="E79" i="385"/>
  <c r="D79" i="385"/>
  <c r="C79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Q73" i="385"/>
  <c r="M73" i="385"/>
  <c r="L73" i="385"/>
  <c r="K73" i="385"/>
  <c r="J73" i="385"/>
  <c r="H73" i="385"/>
  <c r="G73" i="385"/>
  <c r="F73" i="385"/>
  <c r="E73" i="385"/>
  <c r="D73" i="385"/>
  <c r="C73" i="385"/>
  <c r="Q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P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M59" i="385"/>
  <c r="L59" i="385"/>
  <c r="K59" i="385"/>
  <c r="J59" i="385"/>
  <c r="H59" i="385"/>
  <c r="G59" i="385"/>
  <c r="F59" i="385"/>
  <c r="E59" i="385"/>
  <c r="D59" i="385"/>
  <c r="C59" i="385"/>
  <c r="Q58" i="385"/>
  <c r="M58" i="385"/>
  <c r="L58" i="385"/>
  <c r="K58" i="385"/>
  <c r="J58" i="385"/>
  <c r="H58" i="385"/>
  <c r="G58" i="385"/>
  <c r="F58" i="385"/>
  <c r="E58" i="385"/>
  <c r="D58" i="385"/>
  <c r="C58" i="385"/>
  <c r="Q57" i="385"/>
  <c r="M57" i="385"/>
  <c r="L57" i="385"/>
  <c r="K57" i="385"/>
  <c r="J57" i="385"/>
  <c r="H57" i="385"/>
  <c r="G57" i="385"/>
  <c r="F57" i="385"/>
  <c r="E57" i="385"/>
  <c r="D57" i="385"/>
  <c r="C57" i="385"/>
  <c r="Q56" i="385"/>
  <c r="M56" i="385"/>
  <c r="L56" i="385"/>
  <c r="K56" i="385"/>
  <c r="J56" i="385"/>
  <c r="H56" i="385"/>
  <c r="G56" i="385"/>
  <c r="F56" i="385"/>
  <c r="E56" i="385"/>
  <c r="D56" i="385"/>
  <c r="C56" i="385"/>
  <c r="Q55" i="385"/>
  <c r="M55" i="385"/>
  <c r="L55" i="385"/>
  <c r="K55" i="385"/>
  <c r="J55" i="385"/>
  <c r="H55" i="385"/>
  <c r="G55" i="385"/>
  <c r="F55" i="385"/>
  <c r="E55" i="385"/>
  <c r="D55" i="385"/>
  <c r="C55" i="385"/>
  <c r="Q54" i="385"/>
  <c r="M54" i="385"/>
  <c r="L54" i="385"/>
  <c r="K54" i="385"/>
  <c r="J54" i="385"/>
  <c r="H54" i="385"/>
  <c r="G54" i="385"/>
  <c r="F54" i="385"/>
  <c r="E54" i="385"/>
  <c r="D54" i="385"/>
  <c r="C54" i="385"/>
  <c r="Q53" i="385"/>
  <c r="C53" i="385"/>
  <c r="Q52" i="385"/>
  <c r="C52" i="385"/>
  <c r="Q51" i="385"/>
  <c r="C51" i="385"/>
  <c r="Q50" i="385"/>
  <c r="P50" i="385"/>
  <c r="C50" i="385"/>
  <c r="Q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C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R74" i="385" l="1"/>
  <c r="R79" i="385"/>
  <c r="S77" i="385"/>
  <c r="S76" i="385"/>
  <c r="S75" i="385"/>
  <c r="S78" i="385"/>
  <c r="R81" i="385"/>
  <c r="S84" i="385"/>
  <c r="R83" i="385"/>
  <c r="S80" i="385"/>
  <c r="S79" i="385"/>
  <c r="R82" i="385"/>
  <c r="R75" i="385"/>
  <c r="R78" i="385"/>
  <c r="D38" i="385"/>
  <c r="P24" i="385"/>
  <c r="R24" i="385" s="1"/>
  <c r="D29" i="415"/>
  <c r="E44" i="415"/>
  <c r="P51" i="385"/>
  <c r="S51" i="385" s="1"/>
  <c r="P16" i="385"/>
  <c r="R16" i="385" s="1"/>
  <c r="E12" i="415"/>
  <c r="E11" i="415"/>
  <c r="E15" i="415"/>
  <c r="E17" i="415"/>
  <c r="P67" i="385"/>
  <c r="S67" i="385" s="1"/>
  <c r="P72" i="385"/>
  <c r="S72" i="385" s="1"/>
  <c r="G12" i="385"/>
  <c r="P52" i="385"/>
  <c r="P71" i="385"/>
  <c r="S71" i="385" s="1"/>
  <c r="P48" i="385"/>
  <c r="S48" i="385" s="1"/>
  <c r="P73" i="385"/>
  <c r="S73" i="385" s="1"/>
  <c r="P66" i="385"/>
  <c r="R66" i="385" s="1"/>
  <c r="P49" i="385"/>
  <c r="R49" i="385" s="1"/>
  <c r="P69" i="385"/>
  <c r="R69" i="385" s="1"/>
  <c r="P68" i="385"/>
  <c r="S68" i="385" s="1"/>
  <c r="E13" i="415"/>
  <c r="E10" i="415"/>
  <c r="S70" i="385"/>
  <c r="S74" i="385"/>
  <c r="R77" i="385"/>
  <c r="R76" i="385"/>
  <c r="R70" i="385"/>
  <c r="G52" i="385"/>
  <c r="G28" i="385"/>
  <c r="S19" i="385"/>
  <c r="S18" i="385"/>
  <c r="F33" i="385"/>
  <c r="I45" i="385"/>
  <c r="I55" i="385"/>
  <c r="F39" i="385"/>
  <c r="P57" i="385"/>
  <c r="S57" i="385" s="1"/>
  <c r="I117" i="385"/>
  <c r="G15" i="385"/>
  <c r="R20" i="385"/>
  <c r="S22" i="385"/>
  <c r="I157" i="385"/>
  <c r="G33" i="385"/>
  <c r="G9" i="385"/>
  <c r="S17" i="385"/>
  <c r="L18" i="385"/>
  <c r="D41" i="415"/>
  <c r="L13" i="385"/>
  <c r="K19" i="385"/>
  <c r="E14" i="415"/>
  <c r="E45" i="415"/>
  <c r="L41" i="385"/>
  <c r="K26" i="385"/>
  <c r="K34" i="385"/>
  <c r="L50" i="385"/>
  <c r="K7" i="385"/>
  <c r="L26" i="385"/>
  <c r="E16" i="415"/>
  <c r="K21" i="385"/>
  <c r="D7" i="415"/>
  <c r="K36" i="385"/>
  <c r="C8" i="415"/>
  <c r="C29" i="415"/>
  <c r="K29" i="385"/>
  <c r="K10" i="385"/>
  <c r="E42" i="415"/>
  <c r="K6" i="385"/>
  <c r="L16" i="385"/>
  <c r="C9" i="415"/>
  <c r="C49" i="415"/>
  <c r="D8" i="415"/>
  <c r="E43" i="415"/>
  <c r="K41" i="385"/>
  <c r="L21" i="385"/>
  <c r="L29" i="385"/>
  <c r="K38" i="385"/>
  <c r="K18" i="385"/>
  <c r="K24" i="385"/>
  <c r="R18" i="385"/>
  <c r="V151" i="444"/>
  <c r="W151" i="444" s="1"/>
  <c r="V69" i="444"/>
  <c r="W69" i="444" s="1"/>
  <c r="S20" i="385"/>
  <c r="V15" i="444"/>
  <c r="W15" i="444" s="1"/>
  <c r="V132" i="444"/>
  <c r="W132" i="444" s="1"/>
  <c r="V58" i="444"/>
  <c r="W58" i="444" s="1"/>
  <c r="V38" i="444"/>
  <c r="W38" i="444" s="1"/>
  <c r="V27" i="444"/>
  <c r="W27" i="444" s="1"/>
  <c r="V107" i="444"/>
  <c r="W107" i="444" s="1"/>
  <c r="V9" i="444"/>
  <c r="W9" i="444" s="1"/>
  <c r="V57" i="444"/>
  <c r="W57" i="444" s="1"/>
  <c r="V129" i="444"/>
  <c r="W129" i="444" s="1"/>
  <c r="V137" i="444"/>
  <c r="W137" i="444" s="1"/>
  <c r="V28" i="444"/>
  <c r="W28" i="444" s="1"/>
  <c r="V150" i="444"/>
  <c r="W150" i="444" s="1"/>
  <c r="V17" i="444"/>
  <c r="W17" i="444" s="1"/>
  <c r="V25" i="444"/>
  <c r="W25" i="444" s="1"/>
  <c r="V31" i="444"/>
  <c r="W31" i="444" s="1"/>
  <c r="V105" i="444"/>
  <c r="W105" i="444" s="1"/>
  <c r="V125" i="444"/>
  <c r="W125" i="444" s="1"/>
  <c r="V131" i="444"/>
  <c r="W131" i="444" s="1"/>
  <c r="R19" i="385"/>
  <c r="V10" i="444"/>
  <c r="W10" i="444" s="1"/>
  <c r="V45" i="444"/>
  <c r="W45" i="444" s="1"/>
  <c r="V51" i="444"/>
  <c r="W51" i="444" s="1"/>
  <c r="V75" i="444"/>
  <c r="W75" i="444" s="1"/>
  <c r="V101" i="444"/>
  <c r="W101" i="444" s="1"/>
  <c r="V70" i="444"/>
  <c r="W70" i="444" s="1"/>
  <c r="V77" i="444"/>
  <c r="W77" i="444" s="1"/>
  <c r="V108" i="444"/>
  <c r="W108" i="444" s="1"/>
  <c r="V65" i="444"/>
  <c r="W65" i="444" s="1"/>
  <c r="V47" i="444"/>
  <c r="W47" i="444" s="1"/>
  <c r="V71" i="444"/>
  <c r="W71" i="444" s="1"/>
  <c r="V147" i="444"/>
  <c r="W147" i="444" s="1"/>
  <c r="V7" i="444"/>
  <c r="W7" i="444" s="1"/>
  <c r="V78" i="444"/>
  <c r="W78" i="444" s="1"/>
  <c r="V91" i="444"/>
  <c r="W91" i="444" s="1"/>
  <c r="V97" i="444"/>
  <c r="W97" i="444" s="1"/>
  <c r="V141" i="444"/>
  <c r="W141" i="444" s="1"/>
  <c r="V8" i="444"/>
  <c r="W8" i="444" s="1"/>
  <c r="V110" i="444"/>
  <c r="W110" i="444" s="1"/>
  <c r="V149" i="444"/>
  <c r="W149" i="444" s="1"/>
  <c r="V49" i="444"/>
  <c r="W49" i="444" s="1"/>
  <c r="V67" i="444"/>
  <c r="W67" i="444" s="1"/>
  <c r="V92" i="444"/>
  <c r="W92" i="444" s="1"/>
  <c r="V111" i="444"/>
  <c r="W111" i="444" s="1"/>
  <c r="V117" i="444"/>
  <c r="W117" i="444" s="1"/>
  <c r="V87" i="444"/>
  <c r="W87" i="444" s="1"/>
  <c r="V37" i="444"/>
  <c r="W37" i="444" s="1"/>
  <c r="R17" i="385"/>
  <c r="S23" i="385"/>
  <c r="S16" i="385"/>
  <c r="R50" i="385"/>
  <c r="S21" i="385"/>
  <c r="V109" i="444"/>
  <c r="W109" i="444" s="1"/>
  <c r="V115" i="444"/>
  <c r="W115" i="444" s="1"/>
  <c r="I36" i="385"/>
  <c r="P43" i="385"/>
  <c r="F28" i="385"/>
  <c r="F21" i="385"/>
  <c r="P27" i="385"/>
  <c r="P37" i="385"/>
  <c r="G41" i="385"/>
  <c r="P44" i="385"/>
  <c r="L53" i="385"/>
  <c r="I63" i="385"/>
  <c r="P64" i="385"/>
  <c r="L10" i="385"/>
  <c r="D12" i="385"/>
  <c r="K13" i="385"/>
  <c r="D15" i="385"/>
  <c r="K16" i="385"/>
  <c r="G21" i="385"/>
  <c r="R22" i="385"/>
  <c r="I24" i="385"/>
  <c r="I29" i="385"/>
  <c r="D31" i="385"/>
  <c r="P32" i="385"/>
  <c r="L34" i="385"/>
  <c r="F36" i="385"/>
  <c r="P39" i="385"/>
  <c r="D43" i="385"/>
  <c r="P46" i="385"/>
  <c r="I48" i="385"/>
  <c r="D50" i="385"/>
  <c r="D52" i="385"/>
  <c r="I56" i="385"/>
  <c r="C6" i="415"/>
  <c r="C27" i="415"/>
  <c r="D23" i="385"/>
  <c r="D40" i="385"/>
  <c r="P41" i="385"/>
  <c r="I7" i="385"/>
  <c r="D9" i="385"/>
  <c r="D18" i="385"/>
  <c r="D26" i="385"/>
  <c r="G36" i="385"/>
  <c r="I41" i="385"/>
  <c r="I50" i="385"/>
  <c r="P53" i="385"/>
  <c r="I66" i="385"/>
  <c r="I70" i="385"/>
  <c r="I74" i="385"/>
  <c r="I78" i="385"/>
  <c r="I82" i="385"/>
  <c r="I86" i="385"/>
  <c r="I90" i="385"/>
  <c r="I94" i="385"/>
  <c r="I98" i="385"/>
  <c r="I102" i="385"/>
  <c r="I106" i="385"/>
  <c r="I110" i="385"/>
  <c r="I114" i="385"/>
  <c r="I118" i="385"/>
  <c r="I122" i="385"/>
  <c r="I126" i="385"/>
  <c r="I130" i="385"/>
  <c r="I134" i="385"/>
  <c r="I138" i="385"/>
  <c r="I142" i="385"/>
  <c r="I146" i="385"/>
  <c r="I150" i="385"/>
  <c r="I154" i="385"/>
  <c r="I158" i="385"/>
  <c r="I162" i="385"/>
  <c r="I166" i="385"/>
  <c r="I170" i="385"/>
  <c r="I174" i="385"/>
  <c r="I178" i="385"/>
  <c r="I182" i="385"/>
  <c r="I186" i="385"/>
  <c r="I190" i="385"/>
  <c r="D27" i="415"/>
  <c r="C54" i="415"/>
  <c r="V85" i="444"/>
  <c r="W85" i="444" s="1"/>
  <c r="D6" i="385"/>
  <c r="P7" i="385"/>
  <c r="F9" i="385"/>
  <c r="P10" i="385"/>
  <c r="F12" i="385"/>
  <c r="F15" i="385"/>
  <c r="I21" i="385"/>
  <c r="F31" i="385"/>
  <c r="P34" i="385"/>
  <c r="F43" i="385"/>
  <c r="D45" i="385"/>
  <c r="K48" i="385"/>
  <c r="K50" i="385"/>
  <c r="F52" i="385"/>
  <c r="I59" i="385"/>
  <c r="P60" i="385"/>
  <c r="C7" i="415"/>
  <c r="D54" i="415"/>
  <c r="F45" i="385"/>
  <c r="C28" i="415"/>
  <c r="T113" i="444"/>
  <c r="U113" i="444" s="1"/>
  <c r="S113" i="444"/>
  <c r="S118" i="444"/>
  <c r="V118" i="444" s="1"/>
  <c r="W118" i="444" s="1"/>
  <c r="F6" i="385"/>
  <c r="I18" i="385"/>
  <c r="S24" i="385"/>
  <c r="I26" i="385"/>
  <c r="D28" i="385"/>
  <c r="I31" i="385"/>
  <c r="I43" i="385"/>
  <c r="G45" i="385"/>
  <c r="I62" i="385"/>
  <c r="P63" i="385"/>
  <c r="D28" i="415"/>
  <c r="B4" i="383"/>
  <c r="V11" i="444"/>
  <c r="W11" i="444" s="1"/>
  <c r="V48" i="444"/>
  <c r="W48" i="444" s="1"/>
  <c r="T104" i="444"/>
  <c r="U104" i="444" s="1"/>
  <c r="V104" i="444" s="1"/>
  <c r="W104" i="444" s="1"/>
  <c r="V127" i="444"/>
  <c r="W127" i="444" s="1"/>
  <c r="V157" i="444"/>
  <c r="W157" i="444" s="1"/>
  <c r="S161" i="444"/>
  <c r="V161" i="444" s="1"/>
  <c r="W161" i="444" s="1"/>
  <c r="T53" i="444"/>
  <c r="U53" i="444" s="1"/>
  <c r="S53" i="444"/>
  <c r="V95" i="444"/>
  <c r="W95" i="444" s="1"/>
  <c r="F23" i="385"/>
  <c r="T44" i="444"/>
  <c r="U44" i="444" s="1"/>
  <c r="V44" i="444" s="1"/>
  <c r="W44" i="444" s="1"/>
  <c r="S72" i="444"/>
  <c r="V72" i="444" s="1"/>
  <c r="W72" i="444" s="1"/>
  <c r="S81" i="444"/>
  <c r="V81" i="444" s="1"/>
  <c r="W81" i="444" s="1"/>
  <c r="S90" i="444"/>
  <c r="V90" i="444" s="1"/>
  <c r="W90" i="444" s="1"/>
  <c r="S152" i="444"/>
  <c r="V152" i="444" s="1"/>
  <c r="W152" i="444" s="1"/>
  <c r="S35" i="444"/>
  <c r="V35" i="444" s="1"/>
  <c r="W35" i="444" s="1"/>
  <c r="S138" i="444"/>
  <c r="V138" i="444" s="1"/>
  <c r="W138" i="444" s="1"/>
  <c r="D33" i="385"/>
  <c r="I38" i="385"/>
  <c r="I89" i="385"/>
  <c r="I145" i="385"/>
  <c r="D8" i="385"/>
  <c r="K52" i="385"/>
  <c r="D5" i="385"/>
  <c r="P15" i="385"/>
  <c r="P26" i="385"/>
  <c r="K45" i="385"/>
  <c r="F49" i="385"/>
  <c r="S50" i="385"/>
  <c r="D9" i="415"/>
  <c r="S12" i="444"/>
  <c r="V12" i="444" s="1"/>
  <c r="W12" i="444" s="1"/>
  <c r="S21" i="444"/>
  <c r="V21" i="444" s="1"/>
  <c r="W21" i="444" s="1"/>
  <c r="S30" i="444"/>
  <c r="V30" i="444" s="1"/>
  <c r="W30" i="444" s="1"/>
  <c r="V128" i="444"/>
  <c r="W128" i="444" s="1"/>
  <c r="I12" i="385"/>
  <c r="I52" i="385"/>
  <c r="I77" i="385"/>
  <c r="I113" i="385"/>
  <c r="I133" i="385"/>
  <c r="I173" i="385"/>
  <c r="K12" i="385"/>
  <c r="I23" i="385"/>
  <c r="I65" i="385"/>
  <c r="L9" i="385"/>
  <c r="D14" i="385"/>
  <c r="G20" i="385"/>
  <c r="D25" i="385"/>
  <c r="F5" i="385"/>
  <c r="P6" i="385"/>
  <c r="F8" i="385"/>
  <c r="F11" i="385"/>
  <c r="G17" i="385"/>
  <c r="R21" i="385"/>
  <c r="K23" i="385"/>
  <c r="F25" i="385"/>
  <c r="I28" i="385"/>
  <c r="D30" i="385"/>
  <c r="K33" i="385"/>
  <c r="F35" i="385"/>
  <c r="P38" i="385"/>
  <c r="L45" i="385"/>
  <c r="I47" i="385"/>
  <c r="G49" i="385"/>
  <c r="S52" i="385"/>
  <c r="R52" i="385"/>
  <c r="P62" i="385"/>
  <c r="D19" i="415"/>
  <c r="C34" i="415"/>
  <c r="T133" i="444"/>
  <c r="U133" i="444" s="1"/>
  <c r="S133" i="444"/>
  <c r="S158" i="444"/>
  <c r="V158" i="444" s="1"/>
  <c r="W158" i="444" s="1"/>
  <c r="I15" i="385"/>
  <c r="P29" i="385"/>
  <c r="I97" i="385"/>
  <c r="I125" i="385"/>
  <c r="I141" i="385"/>
  <c r="I169" i="385"/>
  <c r="I185" i="385"/>
  <c r="D11" i="385"/>
  <c r="D35" i="385"/>
  <c r="P59" i="385"/>
  <c r="L12" i="385"/>
  <c r="F17" i="385"/>
  <c r="G40" i="385"/>
  <c r="G5" i="385"/>
  <c r="G8" i="385"/>
  <c r="P9" i="385"/>
  <c r="G11" i="385"/>
  <c r="P12" i="385"/>
  <c r="F14" i="385"/>
  <c r="I20" i="385"/>
  <c r="G25" i="385"/>
  <c r="L33" i="385"/>
  <c r="D37" i="385"/>
  <c r="I40" i="385"/>
  <c r="D42" i="385"/>
  <c r="D44" i="385"/>
  <c r="P47" i="385"/>
  <c r="D51" i="385"/>
  <c r="I54" i="385"/>
  <c r="P55" i="385"/>
  <c r="I61" i="385"/>
  <c r="C20" i="415"/>
  <c r="D34" i="415"/>
  <c r="V68" i="444"/>
  <c r="W68" i="444" s="1"/>
  <c r="T124" i="444"/>
  <c r="U124" i="444" s="1"/>
  <c r="V124" i="444" s="1"/>
  <c r="W124" i="444" s="1"/>
  <c r="P56" i="385"/>
  <c r="I69" i="385"/>
  <c r="D20" i="415"/>
  <c r="C46" i="415"/>
  <c r="V64" i="444"/>
  <c r="W64" i="444" s="1"/>
  <c r="T73" i="444"/>
  <c r="U73" i="444" s="1"/>
  <c r="S73" i="444"/>
  <c r="T153" i="444"/>
  <c r="U153" i="444" s="1"/>
  <c r="S153" i="444"/>
  <c r="I5" i="385"/>
  <c r="I8" i="385"/>
  <c r="I11" i="385"/>
  <c r="K14" i="385"/>
  <c r="K20" i="385"/>
  <c r="R23" i="385"/>
  <c r="I25" i="385"/>
  <c r="K30" i="385"/>
  <c r="P33" i="385"/>
  <c r="G37" i="385"/>
  <c r="K40" i="385"/>
  <c r="K42" i="385"/>
  <c r="F44" i="385"/>
  <c r="F51" i="385"/>
  <c r="D53" i="385"/>
  <c r="P58" i="385"/>
  <c r="P65" i="385"/>
  <c r="C35" i="415"/>
  <c r="C47" i="415"/>
  <c r="P13" i="385"/>
  <c r="I6" i="385"/>
  <c r="I109" i="385"/>
  <c r="K15" i="385"/>
  <c r="L38" i="385"/>
  <c r="I30" i="385"/>
  <c r="I42" i="385"/>
  <c r="I76" i="385"/>
  <c r="I112" i="385"/>
  <c r="D19" i="385"/>
  <c r="F32" i="385"/>
  <c r="P35" i="385"/>
  <c r="L42" i="385"/>
  <c r="G44" i="385"/>
  <c r="K49" i="385"/>
  <c r="F53" i="385"/>
  <c r="I57" i="385"/>
  <c r="C21" i="415"/>
  <c r="D47" i="415"/>
  <c r="T13" i="444"/>
  <c r="U13" i="444" s="1"/>
  <c r="S13" i="444"/>
  <c r="S18" i="444"/>
  <c r="V18" i="444" s="1"/>
  <c r="W18" i="444" s="1"/>
  <c r="S55" i="444"/>
  <c r="V55" i="444" s="1"/>
  <c r="W55" i="444" s="1"/>
  <c r="P31" i="385"/>
  <c r="I105" i="385"/>
  <c r="I161" i="385"/>
  <c r="I189" i="385"/>
  <c r="I58" i="385"/>
  <c r="I17" i="385"/>
  <c r="P45" i="385"/>
  <c r="I132" i="385"/>
  <c r="I152" i="385"/>
  <c r="I180" i="385"/>
  <c r="P28" i="385"/>
  <c r="K5" i="385"/>
  <c r="D7" i="385"/>
  <c r="K8" i="385"/>
  <c r="K11" i="385"/>
  <c r="D13" i="385"/>
  <c r="L17" i="385"/>
  <c r="I22" i="385"/>
  <c r="K25" i="385"/>
  <c r="G32" i="385"/>
  <c r="I37" i="385"/>
  <c r="D39" i="385"/>
  <c r="P40" i="385"/>
  <c r="L49" i="385"/>
  <c r="I51" i="385"/>
  <c r="G53" i="385"/>
  <c r="I64" i="385"/>
  <c r="D21" i="415"/>
  <c r="C36" i="415"/>
  <c r="T4" i="444"/>
  <c r="U4" i="444" s="1"/>
  <c r="V4" i="444" s="1"/>
  <c r="W4" i="444" s="1"/>
  <c r="S32" i="444"/>
  <c r="V32" i="444" s="1"/>
  <c r="W32" i="444" s="1"/>
  <c r="S41" i="444"/>
  <c r="V41" i="444" s="1"/>
  <c r="W41" i="444" s="1"/>
  <c r="S50" i="444"/>
  <c r="V50" i="444" s="1"/>
  <c r="W50" i="444" s="1"/>
  <c r="T144" i="444"/>
  <c r="U144" i="444" s="1"/>
  <c r="V144" i="444" s="1"/>
  <c r="W144" i="444" s="1"/>
  <c r="D47" i="385"/>
  <c r="I85" i="385"/>
  <c r="I121" i="385"/>
  <c r="I149" i="385"/>
  <c r="K9" i="385"/>
  <c r="D49" i="385"/>
  <c r="I35" i="385"/>
  <c r="I68" i="385"/>
  <c r="I104" i="385"/>
  <c r="I172" i="385"/>
  <c r="L14" i="385"/>
  <c r="L5" i="385"/>
  <c r="L8" i="385"/>
  <c r="D10" i="385"/>
  <c r="P11" i="385"/>
  <c r="F13" i="385"/>
  <c r="P14" i="385"/>
  <c r="F16" i="385"/>
  <c r="F19" i="385"/>
  <c r="K22" i="385"/>
  <c r="D24" i="385"/>
  <c r="L25" i="385"/>
  <c r="F27" i="385"/>
  <c r="P30" i="385"/>
  <c r="P42" i="385"/>
  <c r="I44" i="385"/>
  <c r="D46" i="385"/>
  <c r="D48" i="385"/>
  <c r="P54" i="385"/>
  <c r="P61" i="385"/>
  <c r="D39" i="415"/>
  <c r="C48" i="415"/>
  <c r="S135" i="444"/>
  <c r="V135" i="444" s="1"/>
  <c r="W135" i="444" s="1"/>
  <c r="I93" i="385"/>
  <c r="I129" i="385"/>
  <c r="I165" i="385"/>
  <c r="F20" i="385"/>
  <c r="F47" i="385"/>
  <c r="D32" i="385"/>
  <c r="I88" i="385"/>
  <c r="I116" i="385"/>
  <c r="I136" i="385"/>
  <c r="I168" i="385"/>
  <c r="D16" i="385"/>
  <c r="G13" i="385"/>
  <c r="I99" i="385"/>
  <c r="I123" i="385"/>
  <c r="I155" i="385"/>
  <c r="D22" i="415"/>
  <c r="D40" i="415"/>
  <c r="D48" i="415"/>
  <c r="V88" i="444"/>
  <c r="W88" i="444" s="1"/>
  <c r="T164" i="444"/>
  <c r="U164" i="444" s="1"/>
  <c r="V164" i="444" s="1"/>
  <c r="W164" i="444" s="1"/>
  <c r="F18" i="385"/>
  <c r="I9" i="385"/>
  <c r="I73" i="385"/>
  <c r="I101" i="385"/>
  <c r="I137" i="385"/>
  <c r="I153" i="385"/>
  <c r="I177" i="385"/>
  <c r="L6" i="385"/>
  <c r="P36" i="385"/>
  <c r="F40" i="385"/>
  <c r="G30" i="385"/>
  <c r="G14" i="385"/>
  <c r="G50" i="385"/>
  <c r="G46" i="385"/>
  <c r="G42" i="385"/>
  <c r="G38" i="385"/>
  <c r="G34" i="385"/>
  <c r="G26" i="385"/>
  <c r="G22" i="385"/>
  <c r="G18" i="385"/>
  <c r="G10" i="385"/>
  <c r="G6" i="385"/>
  <c r="F50" i="385"/>
  <c r="F46" i="385"/>
  <c r="F42" i="385"/>
  <c r="F38" i="385"/>
  <c r="F34" i="385"/>
  <c r="F30" i="385"/>
  <c r="G51" i="385"/>
  <c r="G47" i="385"/>
  <c r="G43" i="385"/>
  <c r="G39" i="385"/>
  <c r="G35" i="385"/>
  <c r="G31" i="385"/>
  <c r="G27" i="385"/>
  <c r="G23" i="385"/>
  <c r="G19" i="385"/>
  <c r="I14" i="385"/>
  <c r="D22" i="385"/>
  <c r="F37" i="385"/>
  <c r="I72" i="385"/>
  <c r="I84" i="385"/>
  <c r="I92" i="385"/>
  <c r="I100" i="385"/>
  <c r="I108" i="385"/>
  <c r="I120" i="385"/>
  <c r="I128" i="385"/>
  <c r="I140" i="385"/>
  <c r="I144" i="385"/>
  <c r="I156" i="385"/>
  <c r="I160" i="385"/>
  <c r="I176" i="385"/>
  <c r="I184" i="385"/>
  <c r="I188" i="385"/>
  <c r="F22" i="385"/>
  <c r="L30" i="385"/>
  <c r="F7" i="385"/>
  <c r="L22" i="385"/>
  <c r="K37" i="385"/>
  <c r="I46" i="385"/>
  <c r="I53" i="385"/>
  <c r="I67" i="385"/>
  <c r="I75" i="385"/>
  <c r="I87" i="385"/>
  <c r="I95" i="385"/>
  <c r="I103" i="385"/>
  <c r="I107" i="385"/>
  <c r="I115" i="385"/>
  <c r="I127" i="385"/>
  <c r="I131" i="385"/>
  <c r="I135" i="385"/>
  <c r="I147" i="385"/>
  <c r="I159" i="385"/>
  <c r="I167" i="385"/>
  <c r="I175" i="385"/>
  <c r="I187" i="385"/>
  <c r="P5" i="385"/>
  <c r="G7" i="385"/>
  <c r="P8" i="385"/>
  <c r="F10" i="385"/>
  <c r="I19" i="385"/>
  <c r="F24" i="385"/>
  <c r="P25" i="385"/>
  <c r="I27" i="385"/>
  <c r="F29" i="385"/>
  <c r="L37" i="385"/>
  <c r="D41" i="385"/>
  <c r="K44" i="385"/>
  <c r="K46" i="385"/>
  <c r="F48" i="385"/>
  <c r="R51" i="385"/>
  <c r="I60" i="385"/>
  <c r="V5" i="444"/>
  <c r="W5" i="444" s="1"/>
  <c r="V84" i="444"/>
  <c r="W84" i="444" s="1"/>
  <c r="T93" i="444"/>
  <c r="U93" i="444" s="1"/>
  <c r="S93" i="444"/>
  <c r="S98" i="444"/>
  <c r="V98" i="444" s="1"/>
  <c r="W98" i="444" s="1"/>
  <c r="S155" i="444"/>
  <c r="V155" i="444" s="1"/>
  <c r="W155" i="444" s="1"/>
  <c r="F26" i="385"/>
  <c r="D20" i="385"/>
  <c r="I81" i="385"/>
  <c r="I181" i="385"/>
  <c r="D52" i="415"/>
  <c r="C39" i="415"/>
  <c r="D32" i="415"/>
  <c r="C19" i="415"/>
  <c r="C52" i="415"/>
  <c r="C32" i="415"/>
  <c r="D25" i="415"/>
  <c r="D5" i="415"/>
  <c r="D38" i="415"/>
  <c r="C25" i="415"/>
  <c r="D18" i="415"/>
  <c r="C5" i="415"/>
  <c r="L35" i="385"/>
  <c r="L23" i="385"/>
  <c r="L19" i="385"/>
  <c r="L11" i="385"/>
  <c r="L7" i="385"/>
  <c r="D51" i="415"/>
  <c r="C38" i="415"/>
  <c r="D31" i="415"/>
  <c r="C18" i="415"/>
  <c r="L51" i="385"/>
  <c r="L47" i="385"/>
  <c r="L43" i="385"/>
  <c r="L39" i="385"/>
  <c r="L31" i="385"/>
  <c r="L27" i="385"/>
  <c r="L15" i="385"/>
  <c r="C51" i="415"/>
  <c r="C31" i="415"/>
  <c r="D24" i="415"/>
  <c r="K51" i="385"/>
  <c r="K47" i="385"/>
  <c r="K43" i="385"/>
  <c r="K39" i="385"/>
  <c r="K35" i="385"/>
  <c r="K31" i="385"/>
  <c r="K27" i="385"/>
  <c r="D37" i="415"/>
  <c r="C24" i="415"/>
  <c r="D50" i="415"/>
  <c r="C37" i="415"/>
  <c r="D30" i="415"/>
  <c r="C50" i="415"/>
  <c r="C30" i="415"/>
  <c r="D23" i="415"/>
  <c r="D36" i="415"/>
  <c r="C23" i="415"/>
  <c r="L52" i="385"/>
  <c r="L48" i="385"/>
  <c r="L44" i="385"/>
  <c r="L40" i="385"/>
  <c r="L36" i="385"/>
  <c r="L32" i="385"/>
  <c r="L28" i="385"/>
  <c r="L24" i="385"/>
  <c r="L20" i="385"/>
  <c r="D35" i="415"/>
  <c r="C22" i="415"/>
  <c r="D53" i="415"/>
  <c r="C40" i="415"/>
  <c r="D33" i="415"/>
  <c r="C53" i="415"/>
  <c r="D46" i="415"/>
  <c r="C33" i="415"/>
  <c r="D26" i="415"/>
  <c r="D6" i="415"/>
  <c r="D17" i="385"/>
  <c r="I33" i="385"/>
  <c r="K28" i="385"/>
  <c r="I49" i="385"/>
  <c r="I80" i="385"/>
  <c r="I96" i="385"/>
  <c r="I124" i="385"/>
  <c r="I148" i="385"/>
  <c r="I164" i="385"/>
  <c r="K17" i="385"/>
  <c r="D27" i="385"/>
  <c r="G16" i="385"/>
  <c r="D29" i="385"/>
  <c r="I32" i="385"/>
  <c r="D34" i="385"/>
  <c r="I71" i="385"/>
  <c r="I79" i="385"/>
  <c r="I83" i="385"/>
  <c r="I91" i="385"/>
  <c r="I111" i="385"/>
  <c r="I119" i="385"/>
  <c r="I139" i="385"/>
  <c r="I143" i="385"/>
  <c r="I151" i="385"/>
  <c r="I163" i="385"/>
  <c r="I171" i="385"/>
  <c r="I179" i="385"/>
  <c r="I183" i="385"/>
  <c r="I191" i="385"/>
  <c r="I10" i="385"/>
  <c r="I13" i="385"/>
  <c r="I16" i="385"/>
  <c r="D21" i="385"/>
  <c r="G24" i="385"/>
  <c r="G29" i="385"/>
  <c r="K32" i="385"/>
  <c r="I34" i="385"/>
  <c r="D36" i="385"/>
  <c r="I39" i="385"/>
  <c r="F41" i="385"/>
  <c r="L46" i="385"/>
  <c r="G48" i="385"/>
  <c r="K53" i="385"/>
  <c r="C26" i="415"/>
  <c r="C41" i="415"/>
  <c r="E41" i="415" s="1"/>
  <c r="D49" i="415"/>
  <c r="S121" i="444"/>
  <c r="V121" i="444" s="1"/>
  <c r="W121" i="444" s="1"/>
  <c r="S130" i="444"/>
  <c r="V130" i="444" s="1"/>
  <c r="W130" i="444" s="1"/>
  <c r="V24" i="444"/>
  <c r="W24" i="444" s="1"/>
  <c r="T33" i="444"/>
  <c r="U33" i="444" s="1"/>
  <c r="S33" i="444"/>
  <c r="S3" i="444"/>
  <c r="V3" i="444" s="1"/>
  <c r="W3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S16" i="444"/>
  <c r="V16" i="444" s="1"/>
  <c r="W16" i="444" s="1"/>
  <c r="S36" i="444"/>
  <c r="V36" i="444" s="1"/>
  <c r="W36" i="444" s="1"/>
  <c r="S56" i="444"/>
  <c r="V56" i="444" s="1"/>
  <c r="W56" i="444" s="1"/>
  <c r="S76" i="444"/>
  <c r="V76" i="444" s="1"/>
  <c r="W76" i="444" s="1"/>
  <c r="S96" i="444"/>
  <c r="V96" i="444" s="1"/>
  <c r="W96" i="444" s="1"/>
  <c r="S116" i="444"/>
  <c r="V116" i="444" s="1"/>
  <c r="W116" i="444" s="1"/>
  <c r="S136" i="444"/>
  <c r="V136" i="444" s="1"/>
  <c r="W136" i="444" s="1"/>
  <c r="S156" i="444"/>
  <c r="V156" i="444" s="1"/>
  <c r="W156" i="444" s="1"/>
  <c r="S19" i="444"/>
  <c r="V19" i="444" s="1"/>
  <c r="W19" i="444" s="1"/>
  <c r="S39" i="444"/>
  <c r="V39" i="444" s="1"/>
  <c r="W39" i="444" s="1"/>
  <c r="S59" i="444"/>
  <c r="V59" i="444" s="1"/>
  <c r="W59" i="444" s="1"/>
  <c r="S79" i="444"/>
  <c r="V79" i="444" s="1"/>
  <c r="W79" i="444" s="1"/>
  <c r="S99" i="444"/>
  <c r="V99" i="444" s="1"/>
  <c r="W99" i="444" s="1"/>
  <c r="S119" i="444"/>
  <c r="V119" i="444" s="1"/>
  <c r="W119" i="444" s="1"/>
  <c r="S139" i="444"/>
  <c r="V139" i="444" s="1"/>
  <c r="W139" i="444" s="1"/>
  <c r="S159" i="444"/>
  <c r="V159" i="444" s="1"/>
  <c r="W159" i="444" s="1"/>
  <c r="S2" i="444"/>
  <c r="V2" i="444" s="1"/>
  <c r="W2" i="444" s="1"/>
  <c r="S22" i="444"/>
  <c r="V22" i="444" s="1"/>
  <c r="W22" i="444" s="1"/>
  <c r="S42" i="444"/>
  <c r="V42" i="444" s="1"/>
  <c r="W42" i="444" s="1"/>
  <c r="S62" i="444"/>
  <c r="V62" i="444" s="1"/>
  <c r="W62" i="444" s="1"/>
  <c r="S82" i="444"/>
  <c r="V82" i="444" s="1"/>
  <c r="W82" i="444" s="1"/>
  <c r="S102" i="444"/>
  <c r="V102" i="444" s="1"/>
  <c r="W102" i="444" s="1"/>
  <c r="S122" i="444"/>
  <c r="V122" i="444" s="1"/>
  <c r="W122" i="444" s="1"/>
  <c r="S142" i="444"/>
  <c r="V142" i="444" s="1"/>
  <c r="W142" i="444" s="1"/>
  <c r="S162" i="444"/>
  <c r="V162" i="444" s="1"/>
  <c r="W162" i="444" s="1"/>
  <c r="S145" i="444"/>
  <c r="V145" i="444" s="1"/>
  <c r="W145" i="444" s="1"/>
  <c r="S165" i="444"/>
  <c r="V165" i="444" s="1"/>
  <c r="W165" i="444" s="1"/>
  <c r="S148" i="444"/>
  <c r="V148" i="444" s="1"/>
  <c r="W148" i="444" s="1"/>
  <c r="E32" i="415" l="1"/>
  <c r="E29" i="415"/>
  <c r="S49" i="385"/>
  <c r="R72" i="385"/>
  <c r="R67" i="385"/>
  <c r="R73" i="385"/>
  <c r="R48" i="385"/>
  <c r="S69" i="385"/>
  <c r="R68" i="385"/>
  <c r="S66" i="385"/>
  <c r="E8" i="415"/>
  <c r="R71" i="385"/>
  <c r="E20" i="415"/>
  <c r="E54" i="415"/>
  <c r="E9" i="415"/>
  <c r="J33" i="385"/>
  <c r="H33" i="385"/>
  <c r="R57" i="385"/>
  <c r="E40" i="415"/>
  <c r="E22" i="415"/>
  <c r="E28" i="415"/>
  <c r="E5" i="415"/>
  <c r="M33" i="385"/>
  <c r="E33" i="385" s="1"/>
  <c r="E49" i="415"/>
  <c r="E30" i="415"/>
  <c r="E33" i="415"/>
  <c r="E26" i="415"/>
  <c r="E7" i="415"/>
  <c r="E25" i="415"/>
  <c r="M39" i="385"/>
  <c r="E39" i="385" s="1"/>
  <c r="E31" i="415"/>
  <c r="E51" i="415"/>
  <c r="E23" i="415"/>
  <c r="E47" i="415"/>
  <c r="E52" i="415"/>
  <c r="E19" i="415"/>
  <c r="E50" i="415"/>
  <c r="E39" i="415"/>
  <c r="E34" i="415"/>
  <c r="V133" i="444"/>
  <c r="W133" i="444" s="1"/>
  <c r="V153" i="444"/>
  <c r="W153" i="444" s="1"/>
  <c r="M17" i="385"/>
  <c r="E17" i="385" s="1"/>
  <c r="J17" i="385"/>
  <c r="H17" i="385"/>
  <c r="M31" i="385"/>
  <c r="E31" i="385" s="1"/>
  <c r="J31" i="385"/>
  <c r="H31" i="385"/>
  <c r="S40" i="385"/>
  <c r="R40" i="385"/>
  <c r="S26" i="385"/>
  <c r="R26" i="385"/>
  <c r="V53" i="444"/>
  <c r="W53" i="444" s="1"/>
  <c r="S46" i="385"/>
  <c r="R46" i="385"/>
  <c r="S44" i="385"/>
  <c r="R44" i="385"/>
  <c r="S36" i="385"/>
  <c r="R36" i="385"/>
  <c r="M27" i="385"/>
  <c r="E27" i="385" s="1"/>
  <c r="J27" i="385"/>
  <c r="H27" i="385"/>
  <c r="S47" i="385"/>
  <c r="R47" i="385"/>
  <c r="R38" i="385"/>
  <c r="S38" i="385"/>
  <c r="V113" i="444"/>
  <c r="W113" i="444" s="1"/>
  <c r="M9" i="385"/>
  <c r="E9" i="385" s="1"/>
  <c r="H9" i="385"/>
  <c r="J9" i="385"/>
  <c r="M21" i="385"/>
  <c r="E21" i="385" s="1"/>
  <c r="J21" i="385"/>
  <c r="H21" i="385"/>
  <c r="R7" i="385"/>
  <c r="S7" i="385"/>
  <c r="S32" i="385"/>
  <c r="R32" i="385"/>
  <c r="M28" i="385"/>
  <c r="E28" i="385" s="1"/>
  <c r="J28" i="385"/>
  <c r="H28" i="385"/>
  <c r="V13" i="444"/>
  <c r="W13" i="444" s="1"/>
  <c r="R43" i="385"/>
  <c r="S43" i="385"/>
  <c r="S37" i="385"/>
  <c r="R37" i="385"/>
  <c r="S10" i="385"/>
  <c r="R10" i="385"/>
  <c r="M35" i="385"/>
  <c r="E35" i="385" s="1"/>
  <c r="J35" i="385"/>
  <c r="H35" i="385"/>
  <c r="R13" i="385"/>
  <c r="S13" i="385"/>
  <c r="E53" i="415"/>
  <c r="M29" i="385"/>
  <c r="E29" i="385" s="1"/>
  <c r="J29" i="385"/>
  <c r="H29" i="385"/>
  <c r="J42" i="385"/>
  <c r="H42" i="385"/>
  <c r="M42" i="385"/>
  <c r="E42" i="385" s="1"/>
  <c r="M47" i="385"/>
  <c r="E47" i="385" s="1"/>
  <c r="J47" i="385"/>
  <c r="H47" i="385"/>
  <c r="M19" i="385"/>
  <c r="E19" i="385" s="1"/>
  <c r="J19" i="385"/>
  <c r="H19" i="385"/>
  <c r="J45" i="385"/>
  <c r="H45" i="385"/>
  <c r="M45" i="385"/>
  <c r="E45" i="385" s="1"/>
  <c r="S42" i="385"/>
  <c r="R42" i="385"/>
  <c r="J30" i="385"/>
  <c r="H30" i="385"/>
  <c r="M30" i="385"/>
  <c r="E30" i="385" s="1"/>
  <c r="J38" i="385"/>
  <c r="H38" i="385"/>
  <c r="M38" i="385"/>
  <c r="E38" i="385" s="1"/>
  <c r="E37" i="415"/>
  <c r="J46" i="385"/>
  <c r="H46" i="385"/>
  <c r="M46" i="385"/>
  <c r="E46" i="385" s="1"/>
  <c r="M20" i="385"/>
  <c r="E20" i="385" s="1"/>
  <c r="J20" i="385"/>
  <c r="H20" i="385"/>
  <c r="H16" i="385"/>
  <c r="M16" i="385"/>
  <c r="E16" i="385" s="1"/>
  <c r="J16" i="385"/>
  <c r="E35" i="415"/>
  <c r="V73" i="444"/>
  <c r="W73" i="444" s="1"/>
  <c r="S29" i="385"/>
  <c r="R29" i="385"/>
  <c r="M25" i="385"/>
  <c r="E25" i="385" s="1"/>
  <c r="H25" i="385"/>
  <c r="J25" i="385"/>
  <c r="J39" i="385"/>
  <c r="M36" i="385"/>
  <c r="E36" i="385" s="1"/>
  <c r="J36" i="385"/>
  <c r="H36" i="385"/>
  <c r="S25" i="385"/>
  <c r="R25" i="385"/>
  <c r="J50" i="385"/>
  <c r="H50" i="385"/>
  <c r="M50" i="385"/>
  <c r="E50" i="385" s="1"/>
  <c r="S14" i="385"/>
  <c r="R14" i="385"/>
  <c r="E21" i="415"/>
  <c r="S65" i="385"/>
  <c r="R65" i="385"/>
  <c r="S41" i="385"/>
  <c r="R41" i="385"/>
  <c r="H39" i="385"/>
  <c r="S55" i="385"/>
  <c r="R55" i="385"/>
  <c r="M15" i="385"/>
  <c r="E15" i="385" s="1"/>
  <c r="J15" i="385"/>
  <c r="H15" i="385"/>
  <c r="E24" i="415"/>
  <c r="M24" i="385"/>
  <c r="E24" i="385" s="1"/>
  <c r="J24" i="385"/>
  <c r="H24" i="385"/>
  <c r="H13" i="385"/>
  <c r="M13" i="385"/>
  <c r="E13" i="385" s="1"/>
  <c r="J13" i="385"/>
  <c r="S58" i="385"/>
  <c r="R58" i="385"/>
  <c r="R63" i="385"/>
  <c r="S63" i="385"/>
  <c r="S60" i="385"/>
  <c r="R60" i="385"/>
  <c r="S59" i="385"/>
  <c r="R59" i="385"/>
  <c r="E38" i="415"/>
  <c r="J18" i="385"/>
  <c r="H18" i="385"/>
  <c r="M18" i="385"/>
  <c r="E18" i="385" s="1"/>
  <c r="S11" i="385"/>
  <c r="R11" i="385"/>
  <c r="S28" i="385"/>
  <c r="R28" i="385"/>
  <c r="J53" i="385"/>
  <c r="H53" i="385"/>
  <c r="M53" i="385"/>
  <c r="E53" i="385" s="1"/>
  <c r="E46" i="415"/>
  <c r="J14" i="385"/>
  <c r="H14" i="385"/>
  <c r="M14" i="385"/>
  <c r="E14" i="385" s="1"/>
  <c r="S15" i="385"/>
  <c r="R15" i="385"/>
  <c r="J10" i="385"/>
  <c r="H10" i="385"/>
  <c r="M10" i="385"/>
  <c r="E10" i="385" s="1"/>
  <c r="M37" i="385"/>
  <c r="E37" i="385" s="1"/>
  <c r="J37" i="385"/>
  <c r="H37" i="385"/>
  <c r="E36" i="415"/>
  <c r="M51" i="385"/>
  <c r="E51" i="385" s="1"/>
  <c r="J51" i="385"/>
  <c r="H51" i="385"/>
  <c r="S12" i="385"/>
  <c r="R12" i="385"/>
  <c r="M11" i="385"/>
  <c r="E11" i="385" s="1"/>
  <c r="J11" i="385"/>
  <c r="H11" i="385"/>
  <c r="J52" i="385"/>
  <c r="M52" i="385"/>
  <c r="E52" i="385" s="1"/>
  <c r="H52" i="385"/>
  <c r="S31" i="385"/>
  <c r="R31" i="385"/>
  <c r="M12" i="385"/>
  <c r="E12" i="385" s="1"/>
  <c r="H12" i="385"/>
  <c r="J12" i="385"/>
  <c r="E18" i="415"/>
  <c r="V33" i="444"/>
  <c r="W33" i="444" s="1"/>
  <c r="J26" i="385"/>
  <c r="H26" i="385"/>
  <c r="M26" i="385"/>
  <c r="E26" i="385" s="1"/>
  <c r="S8" i="385"/>
  <c r="R8" i="385"/>
  <c r="M44" i="385"/>
  <c r="E44" i="385" s="1"/>
  <c r="J44" i="385"/>
  <c r="H44" i="385"/>
  <c r="M8" i="385"/>
  <c r="E8" i="385" s="1"/>
  <c r="J8" i="385"/>
  <c r="H8" i="385"/>
  <c r="E27" i="415"/>
  <c r="S56" i="385"/>
  <c r="R56" i="385"/>
  <c r="S9" i="385"/>
  <c r="R9" i="385"/>
  <c r="R6" i="385"/>
  <c r="S6" i="385"/>
  <c r="E6" i="415"/>
  <c r="M48" i="385"/>
  <c r="E48" i="385" s="1"/>
  <c r="J48" i="385"/>
  <c r="H48" i="385"/>
  <c r="S27" i="385"/>
  <c r="R27" i="385"/>
  <c r="J34" i="385"/>
  <c r="H34" i="385"/>
  <c r="M34" i="385"/>
  <c r="E34" i="385" s="1"/>
  <c r="E48" i="415"/>
  <c r="S5" i="385"/>
  <c r="R5" i="385"/>
  <c r="M7" i="385"/>
  <c r="E7" i="385" s="1"/>
  <c r="H7" i="385"/>
  <c r="J7" i="385"/>
  <c r="S45" i="385"/>
  <c r="R45" i="385"/>
  <c r="S35" i="385"/>
  <c r="R35" i="385"/>
  <c r="M5" i="385"/>
  <c r="E5" i="385" s="1"/>
  <c r="H5" i="385"/>
  <c r="J5" i="385"/>
  <c r="S64" i="385"/>
  <c r="R64" i="385"/>
  <c r="J6" i="385"/>
  <c r="H6" i="385"/>
  <c r="M6" i="385"/>
  <c r="E6" i="385" s="1"/>
  <c r="S53" i="385"/>
  <c r="R53" i="385"/>
  <c r="S30" i="385"/>
  <c r="R30" i="385"/>
  <c r="M41" i="385"/>
  <c r="E41" i="385" s="1"/>
  <c r="J41" i="385"/>
  <c r="H41" i="385"/>
  <c r="V93" i="444"/>
  <c r="W93" i="444" s="1"/>
  <c r="S61" i="385"/>
  <c r="R61" i="385"/>
  <c r="J32" i="385"/>
  <c r="H32" i="385"/>
  <c r="M32" i="385"/>
  <c r="E32" i="385" s="1"/>
  <c r="R62" i="385"/>
  <c r="S62" i="385"/>
  <c r="M43" i="385"/>
  <c r="E43" i="385" s="1"/>
  <c r="J43" i="385"/>
  <c r="H43" i="385"/>
  <c r="S39" i="385"/>
  <c r="R39" i="385"/>
  <c r="J40" i="385"/>
  <c r="M40" i="385"/>
  <c r="E40" i="385" s="1"/>
  <c r="H40" i="385"/>
  <c r="J22" i="385"/>
  <c r="H22" i="385"/>
  <c r="M22" i="385"/>
  <c r="E22" i="385" s="1"/>
  <c r="S54" i="385"/>
  <c r="R54" i="385"/>
  <c r="S33" i="385"/>
  <c r="R33" i="385"/>
  <c r="M49" i="385"/>
  <c r="E49" i="385" s="1"/>
  <c r="J49" i="385"/>
  <c r="H49" i="385"/>
  <c r="M23" i="385"/>
  <c r="E23" i="385" s="1"/>
  <c r="J23" i="385"/>
  <c r="H23" i="385"/>
  <c r="S34" i="385"/>
  <c r="R34" i="385"/>
  <c r="S63" i="89" a="1"/>
  <c r="S63" i="89" l="1"/>
  <c r="R63" i="89" a="1"/>
  <c r="R63" i="89" l="1"/>
  <c r="AE235" i="89"/>
  <c r="M235" i="89" l="1"/>
  <c r="I235" i="89"/>
  <c r="AA235" i="89" a="1"/>
  <c r="N235" i="89" a="1"/>
  <c r="AA235" i="89" l="1"/>
  <c r="N235" i="89"/>
  <c r="P235" i="89"/>
  <c r="Q235" i="89" s="1"/>
  <c r="AE234" i="89"/>
  <c r="AC235" i="89" l="1"/>
  <c r="Y235" i="89"/>
  <c r="U235" i="89"/>
  <c r="J235" i="89"/>
  <c r="A235" i="89" l="1"/>
  <c r="D235" i="89"/>
  <c r="M234" i="89" l="1"/>
  <c r="I234" i="89"/>
  <c r="AA234" i="89" a="1"/>
  <c r="N234" i="89" a="1"/>
  <c r="AA234" i="89" l="1"/>
  <c r="N234" i="89"/>
  <c r="AE233" i="89"/>
  <c r="P234" i="89" l="1"/>
  <c r="Q234" i="89" s="1"/>
  <c r="AC234" i="89"/>
  <c r="Y234" i="89"/>
  <c r="U234" i="89"/>
  <c r="J234" i="89"/>
  <c r="D234" i="89" l="1"/>
  <c r="A234" i="89"/>
  <c r="K239" i="89" l="1"/>
  <c r="I233" i="89"/>
  <c r="AA233" i="89" a="1"/>
  <c r="AA233" i="89" l="1"/>
  <c r="I239" i="89"/>
  <c r="M233" i="89"/>
  <c r="N233" i="89" a="1"/>
  <c r="N233" i="89" l="1"/>
  <c r="S233" i="89" a="1"/>
  <c r="P233" i="89" l="1"/>
  <c r="Q233" i="89" s="1"/>
  <c r="S233" i="89"/>
  <c r="R233" i="89" a="1"/>
  <c r="R233" i="89" l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W224" i="89" a="1"/>
  <c r="W224" i="89" l="1"/>
  <c r="L224" i="89" a="1"/>
  <c r="L224" i="89" l="1"/>
  <c r="K224" i="89" a="1"/>
  <c r="K224" i="89" l="1"/>
  <c r="M224" i="89" s="1"/>
  <c r="H224" i="89"/>
  <c r="F224" i="89" a="1"/>
  <c r="I224" i="89" l="1"/>
  <c r="F224" i="89"/>
  <c r="H225" i="89"/>
  <c r="AA224" i="89" a="1"/>
  <c r="N224" i="89" a="1"/>
  <c r="AA224" i="89" l="1"/>
  <c r="I229" i="89"/>
  <c r="N224" i="89"/>
  <c r="P225" i="89"/>
  <c r="Q225" i="89" s="1"/>
  <c r="AC225" i="89"/>
  <c r="Y225" i="89"/>
  <c r="P224" i="89" l="1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P223" i="89" l="1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 l="1"/>
  <c r="P226" i="89" s="1"/>
  <c r="Q226" i="89" s="1"/>
  <c r="W221" i="89"/>
  <c r="J221" i="89"/>
  <c r="I221" i="89"/>
  <c r="S222" i="89" a="1"/>
  <c r="Q222" i="89" l="1"/>
  <c r="S222" i="89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 l="1"/>
  <c r="Q213" i="89" s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S212" i="89" a="1"/>
  <c r="P212" i="89" l="1"/>
  <c r="Q212" i="89" s="1"/>
  <c r="S212" i="89"/>
  <c r="R212" i="89" a="1"/>
  <c r="R212" i="89" l="1"/>
  <c r="AC212" i="89"/>
  <c r="Y212" i="89"/>
  <c r="U212" i="89"/>
  <c r="J212" i="89"/>
  <c r="K216" i="89" l="1"/>
  <c r="M211" i="89"/>
  <c r="I211" i="89"/>
  <c r="H211" i="89"/>
  <c r="AA211" i="89" a="1"/>
  <c r="AA211" i="89" l="1"/>
  <c r="K217" i="89"/>
  <c r="I215" i="89"/>
  <c r="M218" i="89" s="1"/>
  <c r="I217" i="89"/>
  <c r="I219" i="89" s="1"/>
  <c r="N211" i="89" a="1"/>
  <c r="N211" i="89" l="1"/>
  <c r="W210" i="89"/>
  <c r="I210" i="89"/>
  <c r="S211" i="89" a="1"/>
  <c r="P211" i="89" l="1"/>
  <c r="P215" i="89" s="1"/>
  <c r="Q215" i="89" s="1"/>
  <c r="S211" i="89"/>
  <c r="R211" i="89" a="1"/>
  <c r="R211" i="89" l="1"/>
  <c r="C217" i="89"/>
  <c r="C218" i="89" s="1"/>
  <c r="Q211" i="89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H205" i="89"/>
  <c r="F205" i="89" a="1"/>
  <c r="I205" i="89" l="1"/>
  <c r="F205" i="89"/>
  <c r="AE205" i="89"/>
  <c r="N205" i="89" a="1"/>
  <c r="N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W204" i="89" a="1"/>
  <c r="W204" i="89" l="1"/>
  <c r="L204" i="89" a="1"/>
  <c r="L204" i="89" l="1"/>
  <c r="K204" i="89" a="1"/>
  <c r="K204" i="89" l="1"/>
  <c r="M204" i="89" s="1"/>
  <c r="K206" i="89"/>
  <c r="I204" i="89"/>
  <c r="F204" i="89" a="1"/>
  <c r="F204" i="89" l="1"/>
  <c r="N204" i="89" a="1"/>
  <c r="N204" i="89" l="1"/>
  <c r="P204" i="89" l="1"/>
  <c r="Q204" i="89" s="1"/>
  <c r="S204" i="89"/>
  <c r="R204" i="89" s="1" a="1"/>
  <c r="R204" i="89" l="1"/>
  <c r="AC204" i="89"/>
  <c r="Y204" i="89"/>
  <c r="U204" i="89"/>
  <c r="J204" i="89"/>
  <c r="W203" i="89" a="1"/>
  <c r="W203" i="89" l="1"/>
  <c r="L203" i="89" a="1"/>
  <c r="L203" i="89" l="1"/>
  <c r="K203" i="89" a="1"/>
  <c r="K203" i="89" l="1"/>
  <c r="K207" i="89" s="1"/>
  <c r="M203" i="89"/>
  <c r="I203" i="89"/>
  <c r="H203" i="89"/>
  <c r="F203" i="89" a="1"/>
  <c r="F203" i="89" l="1"/>
  <c r="AE203" i="89"/>
  <c r="I206" i="89"/>
  <c r="I208" i="89"/>
  <c r="N203" i="89" a="1"/>
  <c r="N203" i="89" l="1"/>
  <c r="P203" i="89" l="1"/>
  <c r="P206" i="89" s="1"/>
  <c r="Q206" i="89" s="1"/>
  <c r="I202" i="89"/>
  <c r="S203" i="89" a="1"/>
  <c r="Q203" i="89" l="1"/>
  <c r="Q202" i="89" s="1"/>
  <c r="S203" i="89"/>
  <c r="R203" i="89" a="1"/>
  <c r="R203" i="89" l="1"/>
  <c r="AC203" i="89"/>
  <c r="Y203" i="89"/>
  <c r="U203" i="89"/>
  <c r="J203" i="89"/>
  <c r="Y207" i="89" l="1"/>
  <c r="M197" i="89" l="1"/>
  <c r="H197" i="89"/>
  <c r="I197" i="89" l="1"/>
  <c r="AE197" i="89"/>
  <c r="AA197" i="89" a="1"/>
  <c r="N197" i="89" a="1"/>
  <c r="AA197" i="89" l="1"/>
  <c r="N197" i="89"/>
  <c r="P197" i="89" l="1"/>
  <c r="Q197" i="89" s="1"/>
  <c r="AE196" i="89"/>
  <c r="AC197" i="89" l="1"/>
  <c r="Y197" i="89"/>
  <c r="U197" i="89"/>
  <c r="J197" i="89"/>
  <c r="M196" i="89" l="1"/>
  <c r="K198" i="89"/>
  <c r="I196" i="89"/>
  <c r="AA196" i="89" a="1"/>
  <c r="N196" i="89" a="1"/>
  <c r="AA196" i="89" l="1"/>
  <c r="N196" i="89"/>
  <c r="P196" i="89" l="1"/>
  <c r="Q196" i="89" s="1"/>
  <c r="S196" i="89"/>
  <c r="R196" i="89" s="1" a="1"/>
  <c r="R196" i="89" l="1"/>
  <c r="AC196" i="89"/>
  <c r="Y196" i="89"/>
  <c r="U196" i="89"/>
  <c r="J196" i="89"/>
  <c r="K199" i="89" l="1"/>
  <c r="H195" i="89"/>
  <c r="I195" i="89" l="1"/>
  <c r="M195" i="89"/>
  <c r="AE195" i="89"/>
  <c r="AA195" i="89" a="1"/>
  <c r="N195" i="89" a="1"/>
  <c r="AA195" i="89" l="1"/>
  <c r="I198" i="89"/>
  <c r="I200" i="89"/>
  <c r="N195" i="89"/>
  <c r="P195" i="89" l="1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W188" i="89" a="1"/>
  <c r="W188" i="89" l="1"/>
  <c r="L188" i="89" a="1"/>
  <c r="L188" i="89" l="1"/>
  <c r="K188" i="89" a="1"/>
  <c r="K188" i="89" l="1"/>
  <c r="M188" i="89" s="1"/>
  <c r="H188" i="89"/>
  <c r="F188" i="89" a="1"/>
  <c r="I188" i="89" l="1"/>
  <c r="F188" i="89"/>
  <c r="AE188" i="89"/>
  <c r="AA188" i="89" a="1"/>
  <c r="N188" i="89" a="1"/>
  <c r="AA188" i="89" l="1"/>
  <c r="N188" i="89"/>
  <c r="D188" i="89"/>
  <c r="P188" i="89" l="1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I187" i="89"/>
  <c r="AA187" i="89" a="1"/>
  <c r="F187" i="89" a="1"/>
  <c r="AA187" i="89" l="1"/>
  <c r="F187" i="89"/>
  <c r="N187" i="89" a="1"/>
  <c r="N187" i="89" l="1"/>
  <c r="D187" i="89"/>
  <c r="P187" i="89" l="1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H186" i="89"/>
  <c r="F186" i="89" a="1"/>
  <c r="I186" i="89" l="1"/>
  <c r="M186" i="89"/>
  <c r="F186" i="89"/>
  <c r="AE186" i="89"/>
  <c r="AA186" i="89" a="1"/>
  <c r="N186" i="89" a="1"/>
  <c r="AA186" i="89" l="1"/>
  <c r="I189" i="89"/>
  <c r="I191" i="89"/>
  <c r="N186" i="89"/>
  <c r="D186" i="89"/>
  <c r="P186" i="89" l="1"/>
  <c r="J185" i="89"/>
  <c r="I185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M180" i="89" l="1"/>
  <c r="I180" i="89" l="1"/>
  <c r="AE180" i="89"/>
  <c r="AA180" i="89" a="1"/>
  <c r="N180" i="89" a="1"/>
  <c r="AA180" i="89" l="1"/>
  <c r="N180" i="89"/>
  <c r="D180" i="89"/>
  <c r="P180" i="89" l="1"/>
  <c r="Q180" i="89" s="1"/>
  <c r="AE179" i="89"/>
  <c r="AC180" i="89" l="1"/>
  <c r="Y180" i="89"/>
  <c r="U180" i="89"/>
  <c r="J180" i="89"/>
  <c r="L179" i="89" a="1"/>
  <c r="L179" i="89" l="1"/>
  <c r="K179" i="89" a="1"/>
  <c r="K179" i="89" l="1"/>
  <c r="M179" i="89" s="1"/>
  <c r="K181" i="89"/>
  <c r="I179" i="89"/>
  <c r="N179" i="89" a="1"/>
  <c r="N179" i="89" l="1"/>
  <c r="D179" i="89"/>
  <c r="P179" i="89" l="1"/>
  <c r="S179" i="89" a="1"/>
  <c r="S179" i="89" l="1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F178" i="89" a="1"/>
  <c r="M178" i="89" l="1"/>
  <c r="F178" i="89"/>
  <c r="AE178" i="89"/>
  <c r="I183" i="89"/>
  <c r="I181" i="89"/>
  <c r="N178" i="89" a="1"/>
  <c r="N178" i="89" l="1"/>
  <c r="D178" i="89"/>
  <c r="P178" i="89" l="1"/>
  <c r="J177" i="89"/>
  <c r="I177" i="89"/>
  <c r="K177" i="89" l="1"/>
  <c r="P181" i="89"/>
  <c r="Q181" i="89" s="1"/>
  <c r="Q178" i="89"/>
  <c r="Q177" i="89" s="1"/>
  <c r="AC178" i="89" l="1"/>
  <c r="Y178" i="89"/>
  <c r="U178" i="89"/>
  <c r="J178" i="89"/>
  <c r="Y182" i="89" l="1"/>
  <c r="W171" i="89" a="1"/>
  <c r="W171" i="89" l="1"/>
  <c r="L171" i="89" a="1"/>
  <c r="L171" i="89" l="1"/>
  <c r="K171" i="89" a="1"/>
  <c r="K171" i="89" l="1"/>
  <c r="M171" i="89" s="1"/>
  <c r="H171" i="89"/>
  <c r="F171" i="89" a="1"/>
  <c r="I171" i="89" l="1"/>
  <c r="F171" i="89"/>
  <c r="AE171" i="89"/>
  <c r="AA171" i="89" a="1"/>
  <c r="N171" i="89" a="1"/>
  <c r="AA171" i="89" l="1"/>
  <c r="N171" i="89"/>
  <c r="D171" i="89"/>
  <c r="P171" i="89" l="1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I170" i="89"/>
  <c r="AA170" i="89" a="1"/>
  <c r="F170" i="89" a="1"/>
  <c r="AA170" i="89" l="1"/>
  <c r="F170" i="89"/>
  <c r="I175" i="89"/>
  <c r="N170" i="89" a="1"/>
  <c r="N170" i="89" l="1"/>
  <c r="D170" i="89"/>
  <c r="P170" i="89" l="1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H169" i="89"/>
  <c r="F169" i="89" a="1"/>
  <c r="M169" i="89" l="1"/>
  <c r="I169" i="89"/>
  <c r="F169" i="89"/>
  <c r="AE169" i="89"/>
  <c r="AA169" i="89" a="1"/>
  <c r="N169" i="89" a="1"/>
  <c r="AA169" i="89" l="1"/>
  <c r="I174" i="89"/>
  <c r="I172" i="89"/>
  <c r="N169" i="89"/>
  <c r="D169" i="89"/>
  <c r="P169" i="89" l="1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K162" i="89"/>
  <c r="L164" i="89"/>
  <c r="M160" i="89"/>
  <c r="I160" i="89"/>
  <c r="I162" i="89" l="1"/>
  <c r="I163" i="89" s="1"/>
  <c r="P160" i="89"/>
  <c r="Q160" i="89" s="1"/>
  <c r="Q162" i="89" s="1"/>
  <c r="K164" i="89"/>
  <c r="K163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P154" i="89"/>
  <c r="Q154" i="89" s="1"/>
  <c r="AG153" i="89" l="1"/>
  <c r="AC154" i="89" l="1"/>
  <c r="Y154" i="89"/>
  <c r="U154" i="89"/>
  <c r="J154" i="89"/>
  <c r="T155" i="89" l="1"/>
  <c r="M153" i="89" l="1"/>
  <c r="L157" i="89"/>
  <c r="L166" i="89" s="1"/>
  <c r="K155" i="89"/>
  <c r="I153" i="89"/>
  <c r="AA153" i="89" a="1"/>
  <c r="AA153" i="89" l="1"/>
  <c r="I155" i="89"/>
  <c r="I156" i="89" s="1"/>
  <c r="K157" i="89"/>
  <c r="K166" i="89" s="1"/>
  <c r="K156" i="89"/>
  <c r="N153" i="89" a="1"/>
  <c r="N153" i="89" l="1"/>
  <c r="P153" i="89" l="1"/>
  <c r="Q153" i="89" s="1"/>
  <c r="Q155" i="89" s="1"/>
  <c r="Q165" i="89" s="1"/>
  <c r="S153" i="89" a="1"/>
  <c r="Z152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F145" i="89" a="1"/>
  <c r="F145" i="89" l="1"/>
  <c r="AG145" i="89"/>
  <c r="N145" i="89"/>
  <c r="P145" i="89" l="1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L148" i="89"/>
  <c r="K146" i="89"/>
  <c r="M144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AC144" i="89" l="1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M137" i="89"/>
  <c r="I137" i="89"/>
  <c r="F137" i="89" a="1"/>
  <c r="F137" i="89" l="1"/>
  <c r="N137" i="89"/>
  <c r="P137" i="89" l="1"/>
  <c r="Q137" i="89" l="1"/>
  <c r="S137" i="89" a="1"/>
  <c r="S137" i="89" l="1"/>
  <c r="AC137" i="89" l="1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M136" i="89"/>
  <c r="H136" i="89"/>
  <c r="F136" i="89" a="1"/>
  <c r="I136" i="89" l="1"/>
  <c r="F136" i="89"/>
  <c r="AG136" i="89"/>
  <c r="N136" i="89"/>
  <c r="I139" i="89" l="1"/>
  <c r="I140" i="89" s="1"/>
  <c r="P136" i="89"/>
  <c r="P139" i="89" l="1"/>
  <c r="Q139" i="89" s="1"/>
  <c r="Q148" i="89" s="1"/>
  <c r="Q136" i="89"/>
  <c r="K135" i="89" l="1"/>
  <c r="AG129" i="89"/>
  <c r="S136" i="89" a="1"/>
  <c r="S136" i="89" l="1"/>
  <c r="AC136" i="89" l="1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K131" i="89"/>
  <c r="L133" i="89"/>
  <c r="M129" i="89"/>
  <c r="I129" i="89"/>
  <c r="F129" i="89" a="1"/>
  <c r="F129" i="89" l="1"/>
  <c r="I131" i="89"/>
  <c r="I132" i="89" s="1"/>
  <c r="K133" i="89"/>
  <c r="K132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6" i="89"/>
  <c r="K125" i="89"/>
  <c r="N122" i="89"/>
  <c r="P122" i="89" l="1"/>
  <c r="Q122" i="89" s="1"/>
  <c r="Q124" i="89" s="1"/>
  <c r="D121" i="89" l="1"/>
  <c r="I119" i="89"/>
  <c r="S122" i="89" a="1"/>
  <c r="S122" i="89" l="1"/>
  <c r="AC122" i="89" l="1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I116" i="89" s="1"/>
  <c r="M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AC115" i="89" l="1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M109" i="89"/>
  <c r="I109" i="89"/>
  <c r="H109" i="89"/>
  <c r="F109" i="89" a="1"/>
  <c r="F109" i="89" l="1"/>
  <c r="AG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M108" i="89"/>
  <c r="I108" i="89"/>
  <c r="F108" i="89" a="1"/>
  <c r="F108" i="89" l="1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/>
  <c r="I102" i="89"/>
  <c r="H102" i="89"/>
  <c r="AG102" i="89" l="1"/>
  <c r="P102" i="89"/>
  <c r="Q102" i="89" s="1"/>
  <c r="AG101" i="89" l="1"/>
  <c r="S102" i="89" a="1"/>
  <c r="S102" i="89" l="1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L105" i="89"/>
  <c r="K103" i="89"/>
  <c r="M101" i="89"/>
  <c r="I101" i="89"/>
  <c r="I103" i="89" l="1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F96" i="89" a="1"/>
  <c r="F96" i="89" l="1"/>
  <c r="AG96" i="89"/>
  <c r="N96" i="89"/>
  <c r="P96" i="89" l="1"/>
  <c r="Q96" i="89" s="1"/>
  <c r="AG95" i="89" l="1"/>
  <c r="S96" i="89" a="1"/>
  <c r="S96" i="89" l="1"/>
  <c r="AC96" i="89" l="1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I97" i="89" l="1"/>
  <c r="I98" i="89" s="1"/>
  <c r="P95" i="89"/>
  <c r="Q95" i="89" s="1"/>
  <c r="Q97" i="89" s="1"/>
  <c r="K98" i="89"/>
  <c r="K99" i="89"/>
  <c r="K106" i="89" s="1"/>
  <c r="P94" i="89" l="1"/>
  <c r="K94" i="89"/>
  <c r="I94" i="89"/>
  <c r="I99" i="89" s="1"/>
  <c r="D94" i="89"/>
  <c r="Q93" i="89"/>
  <c r="L93" i="89"/>
  <c r="S95" i="89" a="1"/>
  <c r="S95" i="89" l="1"/>
  <c r="AC95" i="89" l="1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H90" i="89"/>
  <c r="F90" i="89" a="1"/>
  <c r="I90" i="89" l="1"/>
  <c r="F90" i="89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M89" i="89"/>
  <c r="I89" i="89"/>
  <c r="F89" i="89" a="1"/>
  <c r="F89" i="89" l="1"/>
  <c r="N89" i="89"/>
  <c r="P89" i="89" l="1"/>
  <c r="Q89" i="89" s="1"/>
  <c r="Q91" i="89" s="1"/>
  <c r="D88" i="89" l="1"/>
  <c r="L87" i="89"/>
  <c r="S89" i="89" a="1"/>
  <c r="S89" i="89" l="1"/>
  <c r="AC89" i="89" l="1"/>
  <c r="Y89" i="89"/>
  <c r="U89" i="89"/>
  <c r="J89" i="89"/>
  <c r="Y91" i="89" l="1"/>
  <c r="Y92" i="89" s="1"/>
  <c r="M82" i="89" l="1"/>
  <c r="H82" i="89"/>
  <c r="I82" i="89" l="1"/>
  <c r="AE82" i="89"/>
  <c r="P82" i="89" l="1"/>
  <c r="Q82" i="89" s="1"/>
  <c r="AE81" i="89"/>
  <c r="AC82" i="89" l="1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S81" i="89" a="1"/>
  <c r="N81" i="89" l="1"/>
  <c r="S81" i="89"/>
  <c r="R81" i="89" a="1"/>
  <c r="R81" i="89" l="1"/>
  <c r="P81" i="89"/>
  <c r="Q81" i="89" s="1"/>
  <c r="Q83" i="89" s="1"/>
  <c r="AC81" i="89"/>
  <c r="Y81" i="89"/>
  <c r="U81" i="89"/>
  <c r="J81" i="89"/>
  <c r="Y84" i="89" l="1"/>
  <c r="Y85" i="89" s="1"/>
  <c r="M76" i="89" l="1"/>
  <c r="I76" i="89"/>
  <c r="H76" i="89"/>
  <c r="AE76" i="89" l="1"/>
  <c r="P76" i="89"/>
  <c r="Q76" i="89" s="1"/>
  <c r="AE75" i="89" l="1"/>
  <c r="S76" i="89" a="1"/>
  <c r="S76" i="89" l="1"/>
  <c r="R76" i="89" a="1"/>
  <c r="R76" i="89" l="1"/>
  <c r="AC76" i="89"/>
  <c r="Y76" i="89"/>
  <c r="U76" i="89"/>
  <c r="J76" i="89"/>
  <c r="W79" i="89" l="1"/>
  <c r="T77" i="89" l="1"/>
  <c r="K78" i="89" l="1"/>
  <c r="K77" i="89"/>
  <c r="I75" i="89"/>
  <c r="AA75" i="89" a="1"/>
  <c r="AA75" i="89" l="1"/>
  <c r="M75" i="89"/>
  <c r="I77" i="89"/>
  <c r="I78" i="89" s="1"/>
  <c r="K85" i="89"/>
  <c r="N75" i="89" a="1"/>
  <c r="N75" i="89" l="1"/>
  <c r="P75" i="89" l="1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 s="1"/>
  <c r="I69" i="89"/>
  <c r="H69" i="89"/>
  <c r="F69" i="89" a="1"/>
  <c r="F69" i="89" l="1"/>
  <c r="AE69" i="89"/>
  <c r="N69" i="89" a="1"/>
  <c r="N69" i="89" l="1"/>
  <c r="P69" i="89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N68" i="89" a="1"/>
  <c r="S68" i="89" a="1"/>
  <c r="N68" i="89" l="1"/>
  <c r="S68" i="89"/>
  <c r="R68" i="89" a="1"/>
  <c r="R68" i="89" l="1"/>
  <c r="P68" i="89"/>
  <c r="Q68" i="89" s="1"/>
  <c r="Q70" i="89" s="1"/>
  <c r="AC68" i="89"/>
  <c r="Y68" i="89"/>
  <c r="U68" i="89"/>
  <c r="J68" i="89"/>
  <c r="Y71" i="89" l="1"/>
  <c r="Y72" i="89" s="1"/>
  <c r="M63" i="89" l="1"/>
  <c r="I63" i="89"/>
  <c r="H63" i="89"/>
  <c r="AA63" i="89" a="1"/>
  <c r="AA63" i="89" l="1"/>
  <c r="AE63" i="89"/>
  <c r="N63" i="89" a="1"/>
  <c r="N63" i="89" l="1"/>
  <c r="P63" i="89"/>
  <c r="Q63" i="89" s="1"/>
  <c r="AE62" i="89" l="1"/>
  <c r="AC63" i="89" l="1"/>
  <c r="Y63" i="89"/>
  <c r="U63" i="89"/>
  <c r="J63" i="89"/>
  <c r="T64" i="89" l="1"/>
  <c r="K64" i="89" l="1"/>
  <c r="M62" i="89"/>
  <c r="I62" i="89"/>
  <c r="AA62" i="89" a="1"/>
  <c r="AA62" i="89" l="1"/>
  <c r="I64" i="89"/>
  <c r="I65" i="89" s="1"/>
  <c r="K72" i="89"/>
  <c r="K65" i="89"/>
  <c r="K73" i="89" s="1"/>
  <c r="N62" i="89" a="1"/>
  <c r="N62" i="89" l="1"/>
  <c r="P62" i="89" l="1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 s="1"/>
  <c r="H56" i="89"/>
  <c r="F56" i="89" a="1"/>
  <c r="I56" i="89" l="1"/>
  <c r="F56" i="89"/>
  <c r="AE56" i="89"/>
  <c r="AA56" i="89" a="1"/>
  <c r="N56" i="89" a="1"/>
  <c r="AA56" i="89" l="1"/>
  <c r="N56" i="89"/>
  <c r="P56" i="89"/>
  <c r="Q56" i="89" s="1"/>
  <c r="AE55" i="89" l="1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G57" i="89"/>
  <c r="I60" i="89"/>
  <c r="I58" i="89"/>
  <c r="P55" i="89" l="1"/>
  <c r="Q55" i="89" s="1"/>
  <c r="Q57" i="89" s="1"/>
  <c r="P54" i="89" l="1"/>
  <c r="A51" i="89"/>
  <c r="S55" i="89" a="1"/>
  <c r="S55" i="89" l="1"/>
  <c r="R55" i="89" a="1"/>
  <c r="R55" i="89" l="1"/>
  <c r="AC55" i="89"/>
  <c r="Y55" i="89"/>
  <c r="U55" i="89"/>
  <c r="J55" i="89"/>
  <c r="J54" i="89" s="1"/>
  <c r="Y58" i="89" l="1"/>
  <c r="Y59" i="89" s="1"/>
  <c r="W50" i="89" a="1"/>
  <c r="W50" i="89" l="1"/>
  <c r="L50" i="89" a="1"/>
  <c r="L50" i="89" l="1"/>
  <c r="K50" i="89" a="1"/>
  <c r="K50" i="89" l="1"/>
  <c r="M50" i="89" s="1"/>
  <c r="H50" i="89"/>
  <c r="F50" i="89" a="1"/>
  <c r="I50" i="89" l="1"/>
  <c r="F50" i="89"/>
  <c r="AE50" i="89"/>
  <c r="AA50" i="89" a="1"/>
  <c r="N50" i="89" a="1"/>
  <c r="AA50" i="89" l="1"/>
  <c r="N50" i="89"/>
  <c r="P50" i="89"/>
  <c r="Q50" i="89" s="1"/>
  <c r="AE49" i="89" l="1"/>
  <c r="AC50" i="89" l="1"/>
  <c r="Y50" i="89"/>
  <c r="U50" i="89"/>
  <c r="J50" i="89"/>
  <c r="W49" i="89" a="1"/>
  <c r="W49" i="89" l="1"/>
  <c r="T51" i="89" l="1"/>
  <c r="I52" i="89" s="1"/>
  <c r="L49" i="89" a="1"/>
  <c r="L49" i="89" l="1"/>
  <c r="K49" i="89" a="1"/>
  <c r="K49" i="89" l="1"/>
  <c r="K52" i="89" s="1"/>
  <c r="K51" i="89"/>
  <c r="I49" i="89"/>
  <c r="AA49" i="89" a="1"/>
  <c r="F49" i="89" a="1"/>
  <c r="AA49" i="89" l="1"/>
  <c r="M49" i="89"/>
  <c r="F49" i="89"/>
  <c r="K60" i="89"/>
  <c r="K59" i="89"/>
  <c r="N49" i="89" a="1"/>
  <c r="N49" i="89" l="1"/>
  <c r="P49" i="89"/>
  <c r="Q49" i="89" s="1"/>
  <c r="Q51" i="89" s="1"/>
  <c r="I48" i="89" l="1"/>
  <c r="P47" i="89"/>
  <c r="L46" i="89"/>
  <c r="K46" i="89"/>
  <c r="AE40" i="89"/>
  <c r="S49" i="89" a="1"/>
  <c r="S49" i="89" l="1"/>
  <c r="R49" i="89" a="1"/>
  <c r="R49" i="89" l="1"/>
  <c r="AC49" i="89"/>
  <c r="Y49" i="89"/>
  <c r="U49" i="89"/>
  <c r="J49" i="89"/>
  <c r="Y51" i="89" l="1"/>
  <c r="Z52" i="89" s="1"/>
  <c r="W40" i="89" a="1"/>
  <c r="W40" i="89" l="1"/>
  <c r="L40" i="89" a="1"/>
  <c r="L40" i="89" l="1"/>
  <c r="K40" i="89" a="1"/>
  <c r="K40" i="89" l="1"/>
  <c r="M40" i="89" s="1"/>
  <c r="I40" i="89"/>
  <c r="AA40" i="89" a="1"/>
  <c r="F40" i="89" a="1"/>
  <c r="AA40" i="89" l="1"/>
  <c r="F40" i="89"/>
  <c r="N40" i="89" a="1"/>
  <c r="N40" i="89" l="1"/>
  <c r="P40" i="89"/>
  <c r="Q40" i="89" s="1"/>
  <c r="AE39" i="89" l="1"/>
  <c r="AC40" i="89" l="1"/>
  <c r="Y40" i="89"/>
  <c r="U40" i="89"/>
  <c r="J40" i="89"/>
  <c r="A40" i="89"/>
  <c r="W43" i="89" l="1"/>
  <c r="T41" i="89" l="1"/>
  <c r="K42" i="89" l="1"/>
  <c r="K41" i="89"/>
  <c r="I39" i="89"/>
  <c r="AA39" i="89" a="1"/>
  <c r="AA39" i="89" l="1"/>
  <c r="M39" i="89"/>
  <c r="I41" i="89"/>
  <c r="I42" i="89" s="1"/>
  <c r="N39" i="89" a="1"/>
  <c r="N39" i="89" l="1"/>
  <c r="P39" i="89" l="1"/>
  <c r="P42" i="89" s="1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AE33" i="89" l="1"/>
  <c r="W37" i="89" l="1"/>
  <c r="T35" i="89" l="1"/>
  <c r="K36" i="89" l="1"/>
  <c r="K35" i="89"/>
  <c r="I33" i="89" l="1"/>
  <c r="M33" i="89"/>
  <c r="K44" i="89"/>
  <c r="L44" i="89"/>
  <c r="K43" i="89"/>
  <c r="AA33" i="89" a="1"/>
  <c r="N33" i="89" a="1"/>
  <c r="AA33" i="89" l="1"/>
  <c r="I35" i="89"/>
  <c r="I36" i="89" s="1"/>
  <c r="K37" i="89"/>
  <c r="N33" i="89"/>
  <c r="P33" i="89" l="1"/>
  <c r="P36" i="89" l="1"/>
  <c r="Q33" i="89"/>
  <c r="Q35" i="89" s="1"/>
  <c r="AC33" i="89" l="1"/>
  <c r="Y33" i="89"/>
  <c r="U33" i="89"/>
  <c r="J33" i="89"/>
  <c r="I37" i="89"/>
  <c r="P44" i="89"/>
  <c r="P37" i="89"/>
  <c r="Y35" i="89" l="1"/>
  <c r="Y36" i="89" s="1"/>
  <c r="Y43" i="89" s="1"/>
  <c r="M27" i="89" l="1"/>
  <c r="I27" i="89"/>
  <c r="AA27" i="89" a="1"/>
  <c r="AA27" i="89" l="1"/>
  <c r="AE27" i="89"/>
  <c r="N27" i="89" a="1"/>
  <c r="N27" i="89" l="1"/>
  <c r="P27" i="89" l="1"/>
  <c r="Q27" i="89" s="1"/>
  <c r="A27" i="89" l="1"/>
  <c r="AE26" i="89"/>
  <c r="S27" i="89" a="1"/>
  <c r="S27" i="89" l="1"/>
  <c r="R27" i="89" a="1"/>
  <c r="R27" i="89" l="1"/>
  <c r="AC27" i="89"/>
  <c r="Y27" i="89"/>
  <c r="U27" i="89"/>
  <c r="J27" i="89"/>
  <c r="T28" i="89" l="1"/>
  <c r="L30" i="89" l="1"/>
  <c r="K28" i="89"/>
  <c r="M26" i="89"/>
  <c r="I26" i="89"/>
  <c r="AA26" i="89" a="1"/>
  <c r="AA26" i="89" l="1"/>
  <c r="I28" i="89"/>
  <c r="K31" i="89"/>
  <c r="K30" i="89"/>
  <c r="K29" i="89"/>
  <c r="N26" i="89" a="1"/>
  <c r="N26" i="89" l="1"/>
  <c r="I29" i="89"/>
  <c r="P26" i="89" l="1"/>
  <c r="P29" i="89" l="1"/>
  <c r="Q26" i="89"/>
  <c r="Q28" i="89" s="1"/>
  <c r="A26" i="89"/>
  <c r="A29" i="89" s="1"/>
  <c r="I25" i="89"/>
  <c r="AL24" i="89"/>
  <c r="AK24" i="89"/>
  <c r="AJ20" i="89"/>
  <c r="AL21" i="89" s="1"/>
  <c r="AK21" i="89" l="1"/>
  <c r="AC26" i="89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M20" i="89" s="1"/>
  <c r="H20" i="89"/>
  <c r="F20" i="89" a="1"/>
  <c r="I20" i="89" l="1"/>
  <c r="F20" i="89"/>
  <c r="AE20" i="89"/>
  <c r="AA20" i="89" a="1"/>
  <c r="N20" i="89" a="1"/>
  <c r="AA20" i="89" l="1"/>
  <c r="I23" i="89"/>
  <c r="N20" i="89"/>
  <c r="P20" i="89"/>
  <c r="Q20" i="89" s="1"/>
  <c r="AJ19" i="89" l="1"/>
  <c r="AE19" i="89"/>
  <c r="S20" i="89" a="1"/>
  <c r="S20" i="89" l="1"/>
  <c r="R20" i="89" a="1"/>
  <c r="R20" i="89" l="1"/>
  <c r="AC20" i="89"/>
  <c r="Y20" i="89"/>
  <c r="U20" i="89"/>
  <c r="J20" i="89"/>
  <c r="W19" i="89"/>
  <c r="T21" i="89" l="1"/>
  <c r="K19" i="89"/>
  <c r="L19" i="89"/>
  <c r="K23" i="89" l="1"/>
  <c r="K22" i="89"/>
  <c r="L23" i="89"/>
  <c r="K21" i="89"/>
  <c r="M19" i="89"/>
  <c r="I19" i="89"/>
  <c r="AA19" i="89" a="1"/>
  <c r="F19" i="89"/>
  <c r="S19" i="89" a="1"/>
  <c r="AA19" i="89" l="1"/>
  <c r="S19" i="89"/>
  <c r="I21" i="89"/>
  <c r="I22" i="89" s="1"/>
  <c r="G18" i="89"/>
  <c r="R19" i="89" a="1"/>
  <c r="N19" i="89" a="1"/>
  <c r="R19" i="89" l="1"/>
  <c r="N19" i="89"/>
  <c r="AC19" i="89"/>
  <c r="Y19" i="89"/>
  <c r="U19" i="89"/>
  <c r="J19" i="89"/>
  <c r="P19" i="89" l="1"/>
  <c r="Y21" i="89"/>
  <c r="Y22" i="89" s="1"/>
  <c r="P22" i="89" l="1"/>
  <c r="P23" i="89" s="1"/>
  <c r="Q19" i="89"/>
  <c r="Q21" i="89" s="1"/>
  <c r="W14" i="89" a="1"/>
  <c r="W14" i="89" l="1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P14" i="89" l="1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I13" i="89"/>
  <c r="AA13" i="89" a="1"/>
  <c r="F13" i="89" a="1"/>
  <c r="AA13" i="89" l="1"/>
  <c r="F13" i="89"/>
  <c r="I15" i="89"/>
  <c r="I16" i="89" s="1"/>
  <c r="K16" i="89"/>
  <c r="K17" i="89"/>
  <c r="N13" i="89" a="1"/>
  <c r="N13" i="89" l="1"/>
  <c r="P13" i="89"/>
  <c r="P16" i="89" l="1"/>
  <c r="Q13" i="89"/>
  <c r="Q15" i="89" s="1"/>
  <c r="Q17" i="89" s="1"/>
  <c r="AI12" i="89"/>
  <c r="AH12" i="89"/>
  <c r="AI11" i="89"/>
  <c r="AH11" i="89"/>
  <c r="AJ11" i="89" s="1"/>
  <c r="S13" i="89" a="1"/>
  <c r="S13" i="89" l="1"/>
  <c r="R13" i="89" a="1"/>
  <c r="R13" i="89" l="1"/>
  <c r="AC13" i="89"/>
  <c r="Y13" i="89"/>
  <c r="U13" i="89"/>
  <c r="J13" i="89"/>
  <c r="J17" i="89" s="1"/>
  <c r="Y15" i="89" l="1"/>
  <c r="Y16" i="89" l="1"/>
  <c r="P17" i="89"/>
  <c r="M8" i="89" l="1"/>
  <c r="H8" i="89"/>
  <c r="I8" i="89" l="1"/>
  <c r="AF8" i="89"/>
  <c r="AE8" i="89"/>
  <c r="AA8" i="89" a="1"/>
  <c r="N8" i="89" a="1"/>
  <c r="AA8" i="89" l="1"/>
  <c r="N8" i="89"/>
  <c r="P8" i="89" l="1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/>
  <c r="AA7" i="89"/>
  <c r="I9" i="89" l="1"/>
  <c r="I10" i="89" s="1"/>
  <c r="K11" i="89"/>
  <c r="K10" i="89"/>
  <c r="K18" i="89" s="1"/>
  <c r="N7" i="89" a="1"/>
  <c r="N7" i="89" l="1"/>
  <c r="P7" i="89" l="1"/>
  <c r="P10" i="89" s="1"/>
  <c r="K5" i="89"/>
  <c r="H42" i="2"/>
  <c r="H41" i="2"/>
  <c r="H40" i="2"/>
  <c r="H39" i="2"/>
  <c r="J37" i="2"/>
  <c r="J36" i="2"/>
  <c r="J35" i="2"/>
  <c r="J34" i="2"/>
  <c r="J33" i="2"/>
  <c r="J32" i="2"/>
  <c r="J31" i="2"/>
  <c r="J30" i="2"/>
  <c r="S7" i="89" a="1"/>
  <c r="Q7" i="89" l="1"/>
  <c r="Q9" i="89" s="1"/>
  <c r="Q11" i="89" s="1"/>
  <c r="J39" i="2"/>
  <c r="I39" i="2" s="1"/>
  <c r="J42" i="2"/>
  <c r="I42" i="2" s="1"/>
  <c r="J40" i="2"/>
  <c r="I40" i="2" s="1"/>
  <c r="J41" i="2"/>
  <c r="I41" i="2" s="1"/>
  <c r="S7" i="89"/>
  <c r="R7" i="89" a="1"/>
  <c r="R7" i="89" l="1"/>
  <c r="Q5" i="89"/>
  <c r="AC7" i="89"/>
  <c r="Y7" i="89"/>
  <c r="U7" i="89"/>
  <c r="J7" i="89"/>
  <c r="J11" i="89" s="1"/>
  <c r="Y9" i="89" l="1"/>
  <c r="Y10" i="89" l="1"/>
  <c r="P11" i="89"/>
  <c r="Q26" i="1" l="1"/>
  <c r="BA5" i="2" l="1"/>
  <c r="AN5" i="2" a="1"/>
  <c r="AN5" i="2" l="1"/>
  <c r="AF5" i="2" a="1"/>
  <c r="AF5" i="2" l="1"/>
  <c r="Q5" i="2" a="1"/>
  <c r="Q5" i="2" l="1"/>
  <c r="P5" i="2" a="1"/>
  <c r="P5" i="2" l="1"/>
  <c r="R5" i="2" s="1"/>
  <c r="L5" i="2" a="1"/>
  <c r="L5" i="2" l="1"/>
  <c r="BB5" i="2"/>
  <c r="BC5" i="2" s="1"/>
  <c r="G5" i="2" a="1"/>
  <c r="G5" i="2" l="1"/>
  <c r="O5" i="2"/>
  <c r="S5" i="2" a="1"/>
  <c r="S5" i="2" l="1"/>
  <c r="AO5" i="2" s="1"/>
  <c r="Z5" i="2"/>
  <c r="AV5" i="2" s="1" a="1"/>
  <c r="AV5" i="2" l="1"/>
  <c r="AP5" i="2"/>
  <c r="U5" i="2"/>
  <c r="AE5" i="2"/>
  <c r="AT5" i="2"/>
  <c r="AS5" i="2"/>
  <c r="AL5" i="2"/>
  <c r="AB5" i="2"/>
  <c r="M5" i="2"/>
  <c r="BA4" i="2"/>
  <c r="AM5" i="2" l="1"/>
  <c r="X5" i="2"/>
  <c r="Y5" i="2" s="1"/>
  <c r="AN4" i="2" a="1"/>
  <c r="AN4" i="2" l="1"/>
  <c r="AF4" i="2" a="1"/>
  <c r="AF4" i="2" l="1"/>
  <c r="Q4" i="2" a="1"/>
  <c r="Q4" i="2" l="1"/>
  <c r="P4" i="2" a="1"/>
  <c r="P4" i="2" l="1"/>
  <c r="R4" i="2" s="1"/>
  <c r="L4" i="2" a="1"/>
  <c r="L4" i="2" l="1"/>
  <c r="BB4" i="2"/>
  <c r="BC4" i="2" s="1"/>
  <c r="G4" i="2" a="1"/>
  <c r="G4" i="2" l="1"/>
  <c r="O4" i="2"/>
  <c r="S4" i="2" a="1"/>
  <c r="S4" i="2" l="1"/>
  <c r="AO4" i="2" s="1"/>
  <c r="AP4" i="2"/>
  <c r="Z4" i="2"/>
  <c r="AV4" i="2" s="1" a="1"/>
  <c r="AV4" i="2" l="1"/>
  <c r="U4" i="2"/>
  <c r="AE4" i="2"/>
  <c r="AT4" i="2"/>
  <c r="AS4" i="2"/>
  <c r="AL4" i="2"/>
  <c r="AB4" i="2"/>
  <c r="M4" i="2"/>
  <c r="BA19" i="2"/>
  <c r="AM4" i="2" l="1"/>
  <c r="X4" i="2"/>
  <c r="Y4" i="2" s="1"/>
  <c r="AN19" i="2" a="1"/>
  <c r="AN19" i="2" l="1"/>
  <c r="AF19" i="2" a="1"/>
  <c r="AF19" i="2" l="1"/>
  <c r="Q19" i="2" a="1"/>
  <c r="Q19" i="2" l="1"/>
  <c r="P19" i="2" a="1"/>
  <c r="P19" i="2" l="1"/>
  <c r="R19" i="2" s="1"/>
  <c r="L19" i="2" a="1"/>
  <c r="L19" i="2" l="1"/>
  <c r="BB19" i="2"/>
  <c r="BC19" i="2" s="1"/>
  <c r="G19" i="2" a="1"/>
  <c r="G19" i="2" l="1"/>
  <c r="O19" i="2"/>
  <c r="S19" i="2" a="1"/>
  <c r="S19" i="2" l="1"/>
  <c r="AO19" i="2" s="1"/>
  <c r="AP19" i="2" l="1"/>
  <c r="U19" i="2"/>
  <c r="AE19" i="2"/>
  <c r="AT19" i="2"/>
  <c r="AS19" i="2"/>
  <c r="AL19" i="2"/>
  <c r="AB19" i="2"/>
  <c r="M19" i="2"/>
  <c r="Q19" i="1" l="1"/>
  <c r="AM19" i="2"/>
  <c r="X19" i="2"/>
  <c r="Y19" i="2" s="1"/>
  <c r="BA15" i="2" l="1"/>
  <c r="AN15" i="2" a="1"/>
  <c r="AN15" i="2" l="1"/>
  <c r="AF15" i="2" a="1"/>
  <c r="AF15" i="2" l="1"/>
  <c r="Q15" i="2" a="1"/>
  <c r="Q15" i="2" l="1"/>
  <c r="P15" i="2" a="1"/>
  <c r="P15" i="2" l="1"/>
  <c r="R15" i="2" s="1"/>
  <c r="L15" i="2" a="1"/>
  <c r="L15" i="2" l="1"/>
  <c r="BB15" i="2"/>
  <c r="BC15" i="2" s="1"/>
  <c r="G15" i="2" a="1"/>
  <c r="G15" i="2" l="1"/>
  <c r="O15" i="2"/>
  <c r="S15" i="2" a="1"/>
  <c r="S15" i="2" l="1"/>
  <c r="U15" i="2" s="1"/>
  <c r="AP15" i="2" l="1"/>
  <c r="AO15" i="2"/>
  <c r="AE15" i="2"/>
  <c r="AT15" i="2"/>
  <c r="AS15" i="2"/>
  <c r="AL15" i="2"/>
  <c r="AB15" i="2"/>
  <c r="M15" i="2"/>
  <c r="AM15" i="2" l="1"/>
  <c r="X15" i="2"/>
  <c r="Y15" i="2" s="1"/>
  <c r="BA14" i="2" l="1"/>
  <c r="AN14" i="2" a="1"/>
  <c r="AN14" i="2" l="1"/>
  <c r="AF14" i="2" a="1"/>
  <c r="AF14" i="2" l="1"/>
  <c r="Q14" i="2" a="1"/>
  <c r="Q14" i="2" l="1"/>
  <c r="P14" i="2" a="1"/>
  <c r="P14" i="2" l="1"/>
  <c r="R14" i="2" s="1"/>
  <c r="L14" i="2" a="1"/>
  <c r="L14" i="2" l="1"/>
  <c r="BB14" i="2"/>
  <c r="BC14" i="2" s="1"/>
  <c r="G14" i="2" a="1"/>
  <c r="G14" i="2" l="1"/>
  <c r="O14" i="2"/>
  <c r="S14" i="2" a="1"/>
  <c r="S14" i="2" l="1"/>
  <c r="AO14" i="2" s="1"/>
  <c r="Z14" i="2"/>
  <c r="AV14" i="2" s="1" a="1"/>
  <c r="AV14" i="2" l="1"/>
  <c r="U14" i="2"/>
  <c r="AP14" i="2"/>
  <c r="AE14" i="2"/>
  <c r="AT14" i="2"/>
  <c r="AS14" i="2"/>
  <c r="AL14" i="2"/>
  <c r="Q29" i="1" s="1"/>
  <c r="AB14" i="2"/>
  <c r="M14" i="2"/>
  <c r="AM14" i="2" l="1"/>
  <c r="X14" i="2"/>
  <c r="Y14" i="2" s="1"/>
  <c r="BA12" i="2" l="1"/>
  <c r="AN12" i="2" a="1"/>
  <c r="AN12" i="2" l="1"/>
  <c r="AF12" i="2" a="1"/>
  <c r="AF12" i="2" l="1"/>
  <c r="Q12" i="2" a="1"/>
  <c r="Q12" i="2" l="1"/>
  <c r="P12" i="2" a="1"/>
  <c r="P12" i="2" l="1"/>
  <c r="R12" i="2" s="1"/>
  <c r="L12" i="2" a="1"/>
  <c r="L12" i="2" l="1"/>
  <c r="BB12" i="2"/>
  <c r="BC12" i="2" s="1"/>
  <c r="G12" i="2" a="1"/>
  <c r="G12" i="2" l="1"/>
  <c r="O12" i="2"/>
  <c r="S12" i="2" a="1"/>
  <c r="S12" i="2" l="1"/>
  <c r="AO12" i="2" s="1"/>
  <c r="AP12" i="2"/>
  <c r="Z12" i="2"/>
  <c r="AV12" i="2" s="1" a="1"/>
  <c r="AV12" i="2" l="1"/>
  <c r="U12" i="2"/>
  <c r="AE12" i="2"/>
  <c r="AT12" i="2"/>
  <c r="AS12" i="2"/>
  <c r="AL12" i="2"/>
  <c r="AB12" i="2"/>
  <c r="M12" i="2"/>
  <c r="Q18" i="1" l="1"/>
  <c r="AM12" i="2"/>
  <c r="X12" i="2"/>
  <c r="Y12" i="2" s="1"/>
  <c r="Q23" i="1" l="1"/>
  <c r="BA8" i="2" l="1"/>
  <c r="AN8" i="2" a="1"/>
  <c r="AN8" i="2" l="1"/>
  <c r="AF8" i="2" a="1"/>
  <c r="AF8" i="2" l="1"/>
  <c r="Q8" i="2" a="1"/>
  <c r="Q8" i="2" l="1"/>
  <c r="P8" i="2" a="1"/>
  <c r="P8" i="2" l="1"/>
  <c r="R8" i="2" s="1"/>
  <c r="L8" i="2" a="1"/>
  <c r="L8" i="2" l="1"/>
  <c r="BB8" i="2"/>
  <c r="BC8" i="2" s="1"/>
  <c r="G8" i="2" a="1"/>
  <c r="G8" i="2" l="1"/>
  <c r="O8" i="2"/>
  <c r="S8" i="2" a="1"/>
  <c r="S8" i="2" l="1"/>
  <c r="U8" i="2" s="1"/>
  <c r="Z8" i="2"/>
  <c r="AV8" i="2" s="1" a="1"/>
  <c r="AV8" i="2" l="1"/>
  <c r="AP8" i="2"/>
  <c r="AO8" i="2"/>
  <c r="AE8" i="2"/>
  <c r="AT8" i="2"/>
  <c r="AS8" i="2"/>
  <c r="AL8" i="2"/>
  <c r="AB8" i="2"/>
  <c r="M8" i="2"/>
  <c r="AM8" i="2" l="1"/>
  <c r="X8" i="2"/>
  <c r="Y8" i="2" s="1"/>
  <c r="Q25" i="1" l="1"/>
  <c r="BA7" i="2"/>
  <c r="AN7" i="2" a="1"/>
  <c r="AN7" i="2" l="1"/>
  <c r="AF7" i="2" a="1"/>
  <c r="AF7" i="2" l="1"/>
  <c r="Q7" i="2" a="1"/>
  <c r="Q7" i="2" l="1"/>
  <c r="P7" i="2" a="1"/>
  <c r="P7" i="2" l="1"/>
  <c r="R7" i="2" s="1"/>
  <c r="BB7" i="2" l="1"/>
  <c r="BC7" i="2" s="1"/>
  <c r="G7" i="2" a="1"/>
  <c r="G7" i="2" l="1"/>
  <c r="O7" i="2"/>
  <c r="S7" i="2" a="1"/>
  <c r="S7" i="2" l="1"/>
  <c r="U7" i="2" s="1"/>
  <c r="AO7" i="2" l="1"/>
  <c r="AP7" i="2"/>
  <c r="AE7" i="2"/>
  <c r="AT7" i="2"/>
  <c r="AS7" i="2"/>
  <c r="AL7" i="2"/>
  <c r="AB7" i="2"/>
  <c r="M7" i="2"/>
  <c r="U2" i="2"/>
  <c r="R2" i="2"/>
  <c r="Q2" i="2" a="1"/>
  <c r="Q2" i="2" l="1"/>
  <c r="S2" i="2" s="1"/>
  <c r="AM7" i="2"/>
  <c r="X7" i="2"/>
  <c r="Y7" i="2" s="1"/>
  <c r="P2" i="2" a="1"/>
  <c r="P2" i="2" l="1"/>
  <c r="L2" i="2" a="1"/>
  <c r="L2" i="2" l="1"/>
  <c r="I2" i="2" l="1"/>
  <c r="X1" i="2"/>
  <c r="R1" i="2"/>
  <c r="O1" i="2"/>
  <c r="H1" i="2"/>
  <c r="N31" i="1" l="1"/>
  <c r="J31" i="1"/>
  <c r="T31" i="1" l="1"/>
  <c r="N30" i="1" l="1"/>
  <c r="J30" i="1"/>
  <c r="T30" i="1" l="1"/>
  <c r="N29" i="1" l="1"/>
  <c r="J29" i="1"/>
  <c r="T29" i="1" l="1"/>
  <c r="N28" i="1" l="1"/>
  <c r="J28" i="1"/>
  <c r="T28" i="1" l="1"/>
  <c r="N26" i="1" l="1"/>
  <c r="J26" i="1"/>
  <c r="T26" i="1" l="1"/>
  <c r="N25" i="1" l="1"/>
  <c r="J25" i="1"/>
  <c r="T25" i="1" l="1"/>
  <c r="N23" i="1" l="1"/>
  <c r="J23" i="1"/>
  <c r="T23" i="1" l="1"/>
  <c r="N22" i="1" l="1"/>
  <c r="J22" i="1"/>
  <c r="T22" i="1" l="1"/>
  <c r="N20" i="1" l="1"/>
  <c r="J20" i="1"/>
  <c r="T20" i="1" l="1"/>
  <c r="N19" i="1" l="1"/>
  <c r="J19" i="1"/>
  <c r="T19" i="1" l="1"/>
  <c r="N18" i="1" l="1"/>
  <c r="J18" i="1"/>
  <c r="T18" i="1" l="1"/>
  <c r="Q14" i="1" l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J55" i="54" l="1"/>
  <c r="P27" i="1"/>
  <c r="AH27" i="1"/>
  <c r="AH24" i="1"/>
  <c r="BD20" i="2"/>
  <c r="AI20" i="2"/>
  <c r="AK20" i="2"/>
  <c r="S24" i="1" s="1"/>
  <c r="V24" i="1" s="1"/>
  <c r="V20" i="2"/>
  <c r="W20" i="2"/>
  <c r="BD18" i="2"/>
  <c r="V18" i="2"/>
  <c r="AK18" i="2"/>
  <c r="AI18" i="2"/>
  <c r="W18" i="2"/>
  <c r="BD6" i="2"/>
  <c r="AK6" i="2"/>
  <c r="S17" i="1" s="1"/>
  <c r="V6" i="2"/>
  <c r="AI6" i="2"/>
  <c r="W6" i="2"/>
  <c r="BD23" i="2"/>
  <c r="BD22" i="2"/>
  <c r="V22" i="2"/>
  <c r="AK23" i="2"/>
  <c r="AI23" i="2"/>
  <c r="AK22" i="2"/>
  <c r="V23" i="2"/>
  <c r="AI22" i="2"/>
  <c r="W23" i="2"/>
  <c r="W22" i="2"/>
  <c r="BD11" i="2"/>
  <c r="V11" i="2"/>
  <c r="AK11" i="2"/>
  <c r="W11" i="2"/>
  <c r="AI11" i="2"/>
  <c r="BD13" i="2"/>
  <c r="AI13" i="2"/>
  <c r="AK13" i="2"/>
  <c r="V13" i="2"/>
  <c r="W13" i="2"/>
  <c r="BD21" i="2"/>
  <c r="AI21" i="2"/>
  <c r="AK21" i="2"/>
  <c r="V21" i="2"/>
  <c r="W21" i="2"/>
  <c r="BD17" i="2"/>
  <c r="BD16" i="2"/>
  <c r="AI16" i="2"/>
  <c r="AK16" i="2"/>
  <c r="V16" i="2"/>
  <c r="AK17" i="2"/>
  <c r="V17" i="2"/>
  <c r="AI17" i="2"/>
  <c r="W16" i="2"/>
  <c r="W17" i="2"/>
  <c r="P21" i="1"/>
  <c r="AD21" i="1" s="1"/>
  <c r="AH21" i="1"/>
  <c r="P32" i="1"/>
  <c r="AH32" i="1"/>
  <c r="P33" i="1"/>
  <c r="V33" i="1" s="1"/>
  <c r="BD10" i="2"/>
  <c r="BD9" i="2"/>
  <c r="AK9" i="2"/>
  <c r="V9" i="2"/>
  <c r="AI9" i="2"/>
  <c r="AI10" i="2"/>
  <c r="V10" i="2"/>
  <c r="AK10" i="2"/>
  <c r="W10" i="2"/>
  <c r="W9" i="2"/>
  <c r="P17" i="1"/>
  <c r="P16" i="1"/>
  <c r="V16" i="1" s="1"/>
  <c r="P15" i="1"/>
  <c r="BD5" i="2"/>
  <c r="AK5" i="2"/>
  <c r="V5" i="2"/>
  <c r="AI5" i="2"/>
  <c r="W5" i="2"/>
  <c r="BD4" i="2"/>
  <c r="V4" i="2"/>
  <c r="AK4" i="2"/>
  <c r="AI4" i="2"/>
  <c r="W4" i="2"/>
  <c r="BD19" i="2"/>
  <c r="AK19" i="2"/>
  <c r="V19" i="2"/>
  <c r="AI19" i="2"/>
  <c r="W19" i="2"/>
  <c r="BD15" i="2"/>
  <c r="V15" i="2"/>
  <c r="AK15" i="2"/>
  <c r="AI15" i="2"/>
  <c r="W15" i="2"/>
  <c r="BD14" i="2"/>
  <c r="V14" i="2"/>
  <c r="AK14" i="2"/>
  <c r="AI14" i="2"/>
  <c r="W14" i="2"/>
  <c r="BD12" i="2"/>
  <c r="V12" i="2"/>
  <c r="AK12" i="2"/>
  <c r="AI12" i="2"/>
  <c r="W12" i="2"/>
  <c r="BD8" i="2"/>
  <c r="V8" i="2"/>
  <c r="AK8" i="2"/>
  <c r="AI8" i="2"/>
  <c r="W8" i="2"/>
  <c r="BD7" i="2"/>
  <c r="AK7" i="2"/>
  <c r="AI7" i="2"/>
  <c r="V7" i="2"/>
  <c r="W7" i="2"/>
  <c r="AH33" i="1"/>
  <c r="P31" i="1"/>
  <c r="AH31" i="1"/>
  <c r="P30" i="1"/>
  <c r="AH30" i="1"/>
  <c r="P29" i="1"/>
  <c r="AH29" i="1"/>
  <c r="P28" i="1"/>
  <c r="AH28" i="1"/>
  <c r="P26" i="1"/>
  <c r="AH26" i="1"/>
  <c r="P25" i="1"/>
  <c r="AH25" i="1"/>
  <c r="P23" i="1"/>
  <c r="AH23" i="1"/>
  <c r="P22" i="1"/>
  <c r="AH22" i="1"/>
  <c r="P20" i="1"/>
  <c r="AH20" i="1"/>
  <c r="P19" i="1"/>
  <c r="AH19" i="1"/>
  <c r="P18" i="1"/>
  <c r="AH18" i="1"/>
  <c r="AH17" i="1"/>
  <c r="AH16" i="1"/>
  <c r="AH15" i="1"/>
  <c r="P14" i="1"/>
  <c r="AH14" i="1"/>
  <c r="P13" i="1"/>
  <c r="AH13" i="1"/>
  <c r="P12" i="1"/>
  <c r="AH12" i="1"/>
  <c r="AH10" i="1" s="1"/>
  <c r="AD8" i="1"/>
  <c r="AD27" i="1" l="1"/>
  <c r="V27" i="1"/>
  <c r="V17" i="1"/>
  <c r="S23" i="1"/>
  <c r="V23" i="1" s="1"/>
  <c r="S19" i="1"/>
  <c r="V19" i="1" s="1"/>
  <c r="S21" i="1"/>
  <c r="V21" i="1" s="1"/>
  <c r="S29" i="1"/>
  <c r="S25" i="1"/>
  <c r="V25" i="1" s="1"/>
  <c r="S18" i="1"/>
  <c r="V18" i="1" s="1"/>
  <c r="S26" i="1"/>
  <c r="V26" i="1" s="1"/>
  <c r="S14" i="1"/>
  <c r="V14" i="1" s="1"/>
  <c r="AD32" i="1"/>
  <c r="V32" i="1"/>
  <c r="S15" i="1"/>
  <c r="V15" i="1" s="1"/>
  <c r="W1" i="2"/>
  <c r="V1" i="2"/>
  <c r="J7" i="1"/>
  <c r="AD31" i="1"/>
  <c r="V31" i="1"/>
  <c r="AD28" i="1"/>
  <c r="V28" i="1"/>
  <c r="AI1" i="2"/>
  <c r="AD20" i="1"/>
  <c r="V20" i="1"/>
  <c r="AD22" i="1"/>
  <c r="V22" i="1"/>
  <c r="AD25" i="1"/>
  <c r="AD17" i="1"/>
  <c r="AD23" i="1"/>
  <c r="AD13" i="1"/>
  <c r="V13" i="1"/>
  <c r="AD15" i="1"/>
  <c r="AD14" i="1"/>
  <c r="AD16" i="1"/>
  <c r="AD18" i="1"/>
  <c r="AD19" i="1"/>
  <c r="AD30" i="1"/>
  <c r="V30" i="1"/>
  <c r="AD26" i="1"/>
  <c r="AD29" i="1"/>
  <c r="AD33" i="1"/>
  <c r="AD12" i="1"/>
  <c r="V12" i="1"/>
  <c r="P10" i="1"/>
  <c r="P7" i="1"/>
  <c r="AJ20" i="2" l="1"/>
  <c r="AJ6" i="2"/>
  <c r="AJ18" i="2"/>
  <c r="AJ23" i="2"/>
  <c r="AJ22" i="2"/>
  <c r="AJ13" i="2"/>
  <c r="AJ11" i="2"/>
  <c r="AJ21" i="2"/>
  <c r="AJ17" i="2"/>
  <c r="AJ16" i="2"/>
  <c r="V9" i="1"/>
  <c r="AJ15" i="2"/>
  <c r="AJ10" i="2"/>
  <c r="AJ9" i="2"/>
  <c r="AJ14" i="2"/>
  <c r="AJ19" i="2"/>
  <c r="AJ5" i="2"/>
  <c r="S10" i="1"/>
  <c r="AD10" i="1"/>
  <c r="V29" i="1"/>
  <c r="S7" i="1"/>
  <c r="AJ12" i="2"/>
  <c r="AJ7" i="2"/>
  <c r="AJ8" i="2"/>
  <c r="AJ4" i="2"/>
  <c r="D7" i="1" l="1"/>
  <c r="AE6" i="1"/>
  <c r="V6" i="1"/>
  <c r="S6" i="1"/>
  <c r="P6" i="1"/>
  <c r="J6" i="1" l="1"/>
  <c r="D6" i="1" l="1"/>
  <c r="AE5" i="1"/>
  <c r="V5" i="1"/>
  <c r="V7" i="1" s="1"/>
  <c r="V10" i="1" s="1"/>
  <c r="S5" i="1"/>
  <c r="P5" i="1"/>
  <c r="X34" i="89" l="1"/>
  <c r="AD34" i="89"/>
  <c r="AD237" i="89"/>
  <c r="X237" i="89"/>
  <c r="AD236" i="89"/>
  <c r="X236" i="89"/>
  <c r="X235" i="89"/>
  <c r="AD235" i="89"/>
  <c r="X234" i="89"/>
  <c r="AD234" i="89"/>
  <c r="X233" i="89"/>
  <c r="AD233" i="89"/>
  <c r="X225" i="89"/>
  <c r="AD225" i="89"/>
  <c r="X224" i="89"/>
  <c r="AD224" i="89"/>
  <c r="X223" i="89"/>
  <c r="AD223" i="89"/>
  <c r="AD226" i="89" s="1"/>
  <c r="X222" i="89"/>
  <c r="AD222" i="89"/>
  <c r="X213" i="89"/>
  <c r="AD213" i="89"/>
  <c r="X212" i="89"/>
  <c r="AD212" i="89"/>
  <c r="AD215" i="89" s="1"/>
  <c r="X211" i="89"/>
  <c r="AD211" i="89"/>
  <c r="X205" i="89"/>
  <c r="AD205" i="89"/>
  <c r="X204" i="89"/>
  <c r="AD204" i="89"/>
  <c r="AD206" i="89" s="1"/>
  <c r="X203" i="89"/>
  <c r="AD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X186" i="89"/>
  <c r="AD186" i="89"/>
  <c r="X180" i="89"/>
  <c r="AD180" i="89"/>
  <c r="X179" i="89"/>
  <c r="AD179" i="89"/>
  <c r="AD181" i="89" s="1"/>
  <c r="X178" i="89"/>
  <c r="AD178" i="89"/>
  <c r="X171" i="89"/>
  <c r="AD171" i="89"/>
  <c r="X170" i="89"/>
  <c r="AD170" i="89"/>
  <c r="AD172" i="89" s="1"/>
  <c r="X169" i="89"/>
  <c r="AD169" i="89"/>
  <c r="AD160" i="89"/>
  <c r="AD162" i="89" s="1"/>
  <c r="X160" i="89"/>
  <c r="X162" i="89" s="1"/>
  <c r="X154" i="89"/>
  <c r="AD154" i="89"/>
  <c r="X153" i="89"/>
  <c r="AD153" i="89"/>
  <c r="AD155" i="89" s="1"/>
  <c r="X145" i="89"/>
  <c r="AD145" i="89"/>
  <c r="X144" i="89"/>
  <c r="AD144" i="89"/>
  <c r="AD146" i="89" s="1"/>
  <c r="X138" i="89"/>
  <c r="AD138" i="89"/>
  <c r="X137" i="89"/>
  <c r="AD137" i="89"/>
  <c r="AD139" i="89" s="1"/>
  <c r="X136" i="89"/>
  <c r="AD136" i="89"/>
  <c r="X129" i="89"/>
  <c r="X131" i="89" s="1"/>
  <c r="AD129" i="89"/>
  <c r="AD131" i="89" s="1"/>
  <c r="X123" i="89"/>
  <c r="AD123" i="89"/>
  <c r="AD122" i="89"/>
  <c r="AD124" i="89" s="1"/>
  <c r="X122" i="89"/>
  <c r="X116" i="89"/>
  <c r="AD116" i="89"/>
  <c r="X115" i="89"/>
  <c r="AD115" i="89"/>
  <c r="AD117" i="89" s="1"/>
  <c r="X109" i="89"/>
  <c r="AD109" i="89"/>
  <c r="AD108" i="89"/>
  <c r="AD110" i="89" s="1"/>
  <c r="X108" i="89"/>
  <c r="X102" i="89"/>
  <c r="AD102" i="89"/>
  <c r="X101" i="89"/>
  <c r="AD101" i="89"/>
  <c r="AD103" i="89" s="1"/>
  <c r="X96" i="89"/>
  <c r="AD96" i="89"/>
  <c r="X95" i="89"/>
  <c r="AD95" i="89"/>
  <c r="AD97" i="89" s="1"/>
  <c r="X90" i="89"/>
  <c r="AD90" i="89"/>
  <c r="X89" i="89"/>
  <c r="AD89" i="89"/>
  <c r="AD91" i="89" s="1"/>
  <c r="X82" i="89"/>
  <c r="AD82" i="89"/>
  <c r="X81" i="89"/>
  <c r="AD81" i="89"/>
  <c r="AD83" i="89" s="1"/>
  <c r="X76" i="89"/>
  <c r="AD76" i="89"/>
  <c r="X75" i="89"/>
  <c r="AD75" i="89"/>
  <c r="AD77" i="89" s="1"/>
  <c r="X69" i="89"/>
  <c r="AD69" i="89"/>
  <c r="X68" i="89"/>
  <c r="AD68" i="89"/>
  <c r="AD70" i="89" s="1"/>
  <c r="X63" i="89"/>
  <c r="AD63" i="89"/>
  <c r="X62" i="89"/>
  <c r="AD62" i="89"/>
  <c r="AD64" i="89" s="1"/>
  <c r="X56" i="89"/>
  <c r="AD56" i="89"/>
  <c r="X55" i="89"/>
  <c r="AD55" i="89"/>
  <c r="AD57" i="89" s="1"/>
  <c r="X50" i="89"/>
  <c r="AD50" i="89"/>
  <c r="X49" i="89"/>
  <c r="AD49" i="89"/>
  <c r="AD51" i="89" s="1"/>
  <c r="X40" i="89"/>
  <c r="AD40" i="89"/>
  <c r="X39" i="89"/>
  <c r="AD39" i="89"/>
  <c r="AD41" i="89" s="1"/>
  <c r="X33" i="89"/>
  <c r="AD33" i="89"/>
  <c r="AD35" i="89" s="1"/>
  <c r="X27" i="89"/>
  <c r="AD27" i="89"/>
  <c r="AD26" i="89"/>
  <c r="AD28" i="89" s="1"/>
  <c r="X26" i="89"/>
  <c r="X20" i="89"/>
  <c r="AD20" i="89"/>
  <c r="X19" i="89"/>
  <c r="AD19" i="89"/>
  <c r="AD21" i="89" s="1"/>
  <c r="X14" i="89"/>
  <c r="AD14" i="89"/>
  <c r="X13" i="89"/>
  <c r="AD13" i="89"/>
  <c r="AD15" i="89" s="1"/>
  <c r="X8" i="89"/>
  <c r="AD8" i="89"/>
  <c r="X7" i="89"/>
  <c r="AD7" i="89"/>
  <c r="AD9" i="89" s="1"/>
  <c r="AE7" i="1"/>
  <c r="B1" i="2"/>
  <c r="O27" i="1" l="1"/>
  <c r="R27" i="1"/>
  <c r="U27" i="1"/>
  <c r="R24" i="1"/>
  <c r="U24" i="1"/>
  <c r="AH20" i="2"/>
  <c r="AG20" i="2"/>
  <c r="AH18" i="2"/>
  <c r="AG18" i="2"/>
  <c r="AH6" i="2"/>
  <c r="AG6" i="2"/>
  <c r="AH23" i="2"/>
  <c r="AG23" i="2"/>
  <c r="AH22" i="2"/>
  <c r="AG22" i="2"/>
  <c r="AG11" i="2"/>
  <c r="AH11" i="2"/>
  <c r="AH13" i="2"/>
  <c r="AG13" i="2"/>
  <c r="X110" i="89"/>
  <c r="X146" i="89"/>
  <c r="AG21" i="2"/>
  <c r="AH21" i="2"/>
  <c r="R32" i="1"/>
  <c r="R20" i="1"/>
  <c r="R16" i="1"/>
  <c r="R31" i="1"/>
  <c r="R30" i="1"/>
  <c r="R17" i="1"/>
  <c r="R33" i="1"/>
  <c r="R28" i="1"/>
  <c r="R22" i="1"/>
  <c r="R21" i="1"/>
  <c r="R26" i="1"/>
  <c r="R19" i="1"/>
  <c r="R29" i="1"/>
  <c r="R18" i="1"/>
  <c r="R23" i="1"/>
  <c r="R25" i="1"/>
  <c r="X103" i="89"/>
  <c r="AG17" i="2"/>
  <c r="AH16" i="2"/>
  <c r="AG16" i="2"/>
  <c r="AH17" i="2"/>
  <c r="O21" i="1"/>
  <c r="U21" i="1"/>
  <c r="X70" i="89"/>
  <c r="O32" i="1"/>
  <c r="U32" i="1"/>
  <c r="X9" i="89"/>
  <c r="X77" i="89"/>
  <c r="AH9" i="2"/>
  <c r="AG9" i="2"/>
  <c r="AG10" i="2"/>
  <c r="AH10" i="2"/>
  <c r="O17" i="1"/>
  <c r="O15" i="1"/>
  <c r="O16" i="1"/>
  <c r="R15" i="1"/>
  <c r="U17" i="1"/>
  <c r="U16" i="1"/>
  <c r="U15" i="1"/>
  <c r="O33" i="1"/>
  <c r="U33" i="1"/>
  <c r="X41" i="89"/>
  <c r="X35" i="89"/>
  <c r="X124" i="89"/>
  <c r="X91" i="89"/>
  <c r="X51" i="89"/>
  <c r="X97" i="89"/>
  <c r="X64" i="89"/>
  <c r="X206" i="89"/>
  <c r="X208" i="89" s="1"/>
  <c r="X155" i="89"/>
  <c r="X139" i="89"/>
  <c r="X117" i="89"/>
  <c r="X28" i="89"/>
  <c r="X83" i="89"/>
  <c r="X21" i="89"/>
  <c r="X57" i="89"/>
  <c r="X15" i="89"/>
  <c r="J5" i="1"/>
  <c r="AG5" i="2"/>
  <c r="AH5" i="2"/>
  <c r="AG4" i="2"/>
  <c r="AH4" i="2"/>
  <c r="AG19" i="2"/>
  <c r="AH19" i="2"/>
  <c r="AG15" i="2"/>
  <c r="AH15" i="2"/>
  <c r="AG14" i="2"/>
  <c r="AH14" i="2"/>
  <c r="AG12" i="2"/>
  <c r="AH12" i="2"/>
  <c r="AG8" i="2"/>
  <c r="AH8" i="2"/>
  <c r="AG7" i="2"/>
  <c r="AH7" i="2"/>
  <c r="O31" i="1"/>
  <c r="U31" i="1"/>
  <c r="O30" i="1"/>
  <c r="U30" i="1"/>
  <c r="O29" i="1"/>
  <c r="U29" i="1"/>
  <c r="O28" i="1"/>
  <c r="U28" i="1"/>
  <c r="O26" i="1"/>
  <c r="U26" i="1"/>
  <c r="O25" i="1"/>
  <c r="U25" i="1"/>
  <c r="O23" i="1"/>
  <c r="U23" i="1"/>
  <c r="O22" i="1"/>
  <c r="U22" i="1"/>
  <c r="O20" i="1"/>
  <c r="U20" i="1"/>
  <c r="O19" i="1"/>
  <c r="U19" i="1"/>
  <c r="O18" i="1"/>
  <c r="U18" i="1"/>
  <c r="R14" i="1"/>
  <c r="O14" i="1"/>
  <c r="U14" i="1"/>
  <c r="R13" i="1"/>
  <c r="O13" i="1"/>
  <c r="U13" i="1"/>
  <c r="R12" i="1"/>
  <c r="W10" i="1"/>
  <c r="W27" i="1" s="1"/>
  <c r="O12" i="1"/>
  <c r="U12" i="1"/>
  <c r="X215" i="89"/>
  <c r="X181" i="89"/>
  <c r="X189" i="89"/>
  <c r="X198" i="89"/>
  <c r="X200" i="89" s="1"/>
  <c r="X172" i="89"/>
  <c r="X12" i="89" s="1"/>
  <c r="X226" i="89"/>
  <c r="AA27" i="1" l="1"/>
  <c r="Y27" i="1"/>
  <c r="Z27" i="1"/>
  <c r="W24" i="1"/>
  <c r="AA24" i="1"/>
  <c r="Y24" i="1"/>
  <c r="Z24" i="1"/>
  <c r="U9" i="1"/>
  <c r="AA21" i="1"/>
  <c r="Y21" i="1"/>
  <c r="Z21" i="1"/>
  <c r="W21" i="1"/>
  <c r="R1" i="1"/>
  <c r="W32" i="1"/>
  <c r="Y32" i="1"/>
  <c r="Z32" i="1"/>
  <c r="AA32" i="1"/>
  <c r="AA20" i="1"/>
  <c r="Z20" i="1"/>
  <c r="Y20" i="1"/>
  <c r="Y25" i="1"/>
  <c r="AA25" i="1"/>
  <c r="Z25" i="1"/>
  <c r="Z30" i="1"/>
  <c r="AA30" i="1"/>
  <c r="Y30" i="1"/>
  <c r="R6" i="1"/>
  <c r="R5" i="1"/>
  <c r="AA12" i="1"/>
  <c r="Y12" i="1"/>
  <c r="Z12" i="1"/>
  <c r="Z28" i="1"/>
  <c r="Y28" i="1"/>
  <c r="AA28" i="1"/>
  <c r="Y19" i="1"/>
  <c r="AA19" i="1"/>
  <c r="Z19" i="1"/>
  <c r="W33" i="1"/>
  <c r="W31" i="1"/>
  <c r="W30" i="1"/>
  <c r="W29" i="1"/>
  <c r="W28" i="1"/>
  <c r="W26" i="1"/>
  <c r="W25" i="1"/>
  <c r="W23" i="1"/>
  <c r="W22" i="1"/>
  <c r="W20" i="1"/>
  <c r="W19" i="1"/>
  <c r="W18" i="1"/>
  <c r="W17" i="1"/>
  <c r="W16" i="1"/>
  <c r="W15" i="1"/>
  <c r="W14" i="1"/>
  <c r="W13" i="1"/>
  <c r="W12" i="1"/>
  <c r="AA13" i="1"/>
  <c r="Z13" i="1"/>
  <c r="Y13" i="1"/>
  <c r="Z31" i="1"/>
  <c r="AA31" i="1"/>
  <c r="Y31" i="1"/>
  <c r="Y17" i="1"/>
  <c r="AA17" i="1"/>
  <c r="Z17" i="1"/>
  <c r="O6" i="1"/>
  <c r="O5" i="1"/>
  <c r="AA15" i="1"/>
  <c r="Z15" i="1"/>
  <c r="Y15" i="1"/>
  <c r="U5" i="1"/>
  <c r="AA14" i="1"/>
  <c r="Y14" i="1"/>
  <c r="Z14" i="1"/>
  <c r="U6" i="1"/>
  <c r="Y18" i="1"/>
  <c r="AA18" i="1"/>
  <c r="Z18" i="1"/>
  <c r="Z26" i="1"/>
  <c r="Y26" i="1"/>
  <c r="AA26" i="1"/>
  <c r="Z22" i="1"/>
  <c r="Y22" i="1"/>
  <c r="AA22" i="1"/>
  <c r="Y16" i="1"/>
  <c r="AA16" i="1"/>
  <c r="Z16" i="1"/>
  <c r="AA33" i="1"/>
  <c r="Z33" i="1"/>
  <c r="Y33" i="1"/>
  <c r="AA29" i="1"/>
  <c r="Z29" i="1"/>
  <c r="Y29" i="1"/>
  <c r="Y23" i="1"/>
  <c r="AA23" i="1"/>
  <c r="Z23" i="1"/>
  <c r="Z10" i="1" l="1"/>
  <c r="AA6" i="1"/>
  <c r="AB6" i="1" s="1"/>
  <c r="AA5" i="1"/>
  <c r="D5" i="1"/>
  <c r="W6" i="1"/>
  <c r="O8" i="1"/>
  <c r="O7" i="1"/>
  <c r="R8" i="1"/>
  <c r="R7" i="1"/>
  <c r="U8" i="1"/>
  <c r="U7" i="1"/>
  <c r="U10" i="1" s="1"/>
  <c r="W5" i="1"/>
  <c r="AA8" i="1" l="1"/>
  <c r="AB5" i="1"/>
  <c r="AA7" i="1"/>
  <c r="AA10" i="1" s="1"/>
  <c r="W7" i="1"/>
  <c r="J4" i="1" l="1"/>
  <c r="D4" i="1" l="1"/>
  <c r="X6" i="1" l="1"/>
  <c r="Y6" i="1" s="1"/>
  <c r="Z6" i="1"/>
  <c r="Z5" i="1"/>
  <c r="X5" i="1"/>
  <c r="Y5" i="1" s="1"/>
  <c r="AD3" i="1"/>
  <c r="U3" i="1"/>
  <c r="Z7" i="1" l="1"/>
  <c r="Y7" i="1"/>
  <c r="J3" i="1" l="1"/>
  <c r="D3" i="1" l="1"/>
  <c r="W2" i="1" l="1"/>
  <c r="J2" i="1" l="1"/>
  <c r="D2" i="1" l="1"/>
  <c r="T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13" i="446" l="1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X4" i="446"/>
  <c r="X14" i="446" l="1"/>
  <c r="AG4" i="446"/>
  <c r="AG14" i="446" s="1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Z55" i="338"/>
  <c r="AB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V54" i="338" a="1"/>
  <c r="U54" i="338" a="1"/>
  <c r="L54" i="338" a="1"/>
  <c r="L54" i="338" l="1"/>
  <c r="U54" i="338"/>
  <c r="V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V53" i="338" a="1"/>
  <c r="U53" i="338" a="1"/>
  <c r="L53" i="338" a="1"/>
  <c r="L53" i="338" l="1"/>
  <c r="U53" i="338"/>
  <c r="V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L52" i="338" a="1"/>
  <c r="U52" i="338" a="1"/>
  <c r="V52" i="338" a="1"/>
  <c r="V52" i="338" l="1"/>
  <c r="U52" i="338"/>
  <c r="L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V51" i="338"/>
  <c r="U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L50" i="338" a="1"/>
  <c r="U50" i="338" a="1"/>
  <c r="V50" i="338" a="1"/>
  <c r="V50" i="338" l="1"/>
  <c r="U50" i="338"/>
  <c r="L50" i="338"/>
  <c r="AD50" i="338"/>
  <c r="AB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L47" i="338" a="1"/>
  <c r="V47" i="338" a="1"/>
  <c r="U47" i="338" a="1"/>
  <c r="U47" i="338" l="1"/>
  <c r="V47" i="338"/>
  <c r="L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L45" i="338" a="1"/>
  <c r="U45" i="338" a="1"/>
  <c r="V45" i="338" a="1"/>
  <c r="V45" i="338" l="1"/>
  <c r="U45" i="338"/>
  <c r="L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V44" i="338"/>
  <c r="U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L42" i="338" a="1"/>
  <c r="U42" i="338" a="1"/>
  <c r="V42" i="338" a="1"/>
  <c r="V42" i="338" l="1"/>
  <c r="U42" i="338"/>
  <c r="L42" i="338"/>
  <c r="AB42" i="338"/>
  <c r="AD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N41" i="338" s="1"/>
  <c r="U41" i="338"/>
  <c r="V41" i="338"/>
  <c r="AD41" i="338"/>
  <c r="Z41" i="338"/>
  <c r="AB41" i="338"/>
  <c r="I40" i="338" a="1"/>
  <c r="I40" i="338" l="1"/>
  <c r="J40" i="338" a="1"/>
  <c r="G40" i="338" a="1"/>
  <c r="J40" i="338" l="1"/>
  <c r="G40" i="338"/>
  <c r="A40" i="338"/>
  <c r="H40" i="338" a="1"/>
  <c r="H40" i="338" l="1"/>
  <c r="O40" i="338"/>
  <c r="K40" i="338"/>
  <c r="L40" i="338" a="1"/>
  <c r="V40" i="338" a="1"/>
  <c r="U40" i="338" a="1"/>
  <c r="U40" i="338" l="1"/>
  <c r="V40" i="338"/>
  <c r="L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L39" i="338" a="1"/>
  <c r="V39" i="338" a="1"/>
  <c r="U39" i="338" a="1"/>
  <c r="U39" i="338" l="1"/>
  <c r="V39" i="338"/>
  <c r="L39" i="338"/>
  <c r="AD39" i="338"/>
  <c r="AB39" i="338"/>
  <c r="Z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V37" i="338" a="1"/>
  <c r="U37" i="338" a="1"/>
  <c r="L37" i="338" a="1"/>
  <c r="L37" i="338" l="1"/>
  <c r="U37" i="338"/>
  <c r="V37" i="338"/>
  <c r="AD37" i="338"/>
  <c r="Z37" i="338"/>
  <c r="AB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Z36" i="338"/>
  <c r="AB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L34" i="338" a="1"/>
  <c r="V34" i="338" a="1"/>
  <c r="U34" i="338" a="1"/>
  <c r="U34" i="338" l="1"/>
  <c r="V34" i="338"/>
  <c r="L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L32" i="338" l="1"/>
  <c r="U32" i="338"/>
  <c r="V32" i="338"/>
  <c r="AD32" i="338"/>
  <c r="Z32" i="338"/>
  <c r="AB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L31" i="338" a="1"/>
  <c r="V31" i="338" a="1"/>
  <c r="U31" i="338" a="1"/>
  <c r="U31" i="338" l="1"/>
  <c r="V31" i="338"/>
  <c r="L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L29" i="338" a="1"/>
  <c r="V29" i="338" a="1"/>
  <c r="U29" i="338" a="1"/>
  <c r="U29" i="338" l="1"/>
  <c r="V29" i="338"/>
  <c r="L29" i="338"/>
  <c r="AB29" i="338"/>
  <c r="AD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Z18" i="338"/>
  <c r="AB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L17" i="338" l="1"/>
  <c r="U17" i="338"/>
  <c r="V17" i="338"/>
  <c r="AD17" i="338"/>
  <c r="Z17" i="338"/>
  <c r="AB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L15" i="338" a="1"/>
  <c r="V15" i="338" a="1"/>
  <c r="U15" i="338" a="1"/>
  <c r="U15" i="338" l="1"/>
  <c r="V15" i="338"/>
  <c r="L15" i="338"/>
  <c r="AD15" i="338"/>
  <c r="AB15" i="338"/>
  <c r="Z15" i="338"/>
  <c r="N15" i="338" l="1"/>
  <c r="AG14" i="338" l="1"/>
  <c r="I14" i="338" a="1"/>
  <c r="I14" i="338" l="1"/>
  <c r="AT14" i="338" l="1"/>
  <c r="G14" i="338" a="1"/>
  <c r="G14" i="338" l="1"/>
  <c r="D14" i="338"/>
  <c r="A14" i="338"/>
  <c r="H14" i="338" a="1"/>
  <c r="H14" i="338" l="1"/>
  <c r="O14" i="338"/>
  <c r="K14" i="338"/>
  <c r="L14" i="338" a="1"/>
  <c r="V14" i="338" a="1"/>
  <c r="U14" i="338" a="1"/>
  <c r="U14" i="338" l="1"/>
  <c r="V14" i="338"/>
  <c r="L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V13" i="338" a="1"/>
  <c r="U13" i="338" a="1"/>
  <c r="L13" i="338" a="1"/>
  <c r="L13" i="338" l="1"/>
  <c r="U13" i="338"/>
  <c r="V13" i="338"/>
  <c r="AB13" i="338"/>
  <c r="AD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L12" i="338" a="1"/>
  <c r="V12" i="338" a="1"/>
  <c r="U12" i="338" a="1"/>
  <c r="U12" i="338" l="1"/>
  <c r="V12" i="338"/>
  <c r="L12" i="338"/>
  <c r="AB12" i="338"/>
  <c r="AD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L9" i="338" a="1"/>
  <c r="V9" i="338" a="1"/>
  <c r="U9" i="338" a="1"/>
  <c r="U9" i="338" l="1"/>
  <c r="V9" i="338"/>
  <c r="L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H8" i="338" a="1"/>
  <c r="AP53" i="338" a="1"/>
  <c r="AU45" i="338" a="1"/>
  <c r="AU44" i="338" a="1"/>
  <c r="AU9" i="338" a="1"/>
  <c r="AU37" i="338" a="1"/>
  <c r="AU16" i="338" a="1"/>
  <c r="AU52" i="338" a="1"/>
  <c r="AU53" i="338" a="1"/>
  <c r="AU48" i="338" a="1"/>
  <c r="AU50" i="338" a="1"/>
  <c r="AP15" i="338" a="1"/>
  <c r="AU40" i="338" a="1"/>
  <c r="AP31" i="338" a="1"/>
  <c r="AP38" i="338" a="1"/>
  <c r="AU29" i="338" a="1"/>
  <c r="AU35" i="338" a="1"/>
  <c r="AP50" i="338" a="1"/>
  <c r="AP41" i="338" a="1"/>
  <c r="AU51" i="338" a="1"/>
  <c r="AP11" i="338" a="1"/>
  <c r="AU17" i="338" a="1"/>
  <c r="AP42" i="338" a="1"/>
  <c r="AP18" i="338" a="1"/>
  <c r="AU46" i="338" a="1"/>
  <c r="AP29" i="338" a="1"/>
  <c r="AP32" i="338" a="1"/>
  <c r="AU30" i="338" a="1"/>
  <c r="AP14" i="338" a="1"/>
  <c r="AU42" i="338" a="1"/>
  <c r="AP17" i="338" a="1"/>
  <c r="AP13" i="338" a="1"/>
  <c r="AP36" i="338" a="1"/>
  <c r="AP45" i="338" a="1"/>
  <c r="AU47" i="338" a="1"/>
  <c r="AU38" i="338" a="1"/>
  <c r="AP8" i="338" a="1"/>
  <c r="AP16" i="338" a="1"/>
  <c r="AU13" i="338" a="1"/>
  <c r="AU36" i="338" a="1"/>
  <c r="AU32" i="338" a="1"/>
  <c r="AU18" i="338" a="1"/>
  <c r="AP34" i="338" a="1"/>
  <c r="AU15" i="338" a="1"/>
  <c r="AU54" i="338" a="1"/>
  <c r="AP54" i="338" a="1"/>
  <c r="AU41" i="338" a="1"/>
  <c r="AP37" i="338" a="1"/>
  <c r="AU10" i="338" a="1"/>
  <c r="AP46" i="338" a="1"/>
  <c r="AP52" i="338" a="1"/>
  <c r="AP10" i="338" a="1"/>
  <c r="AP12" i="338" a="1"/>
  <c r="AU39" i="338" a="1"/>
  <c r="AU8" i="338" a="1"/>
  <c r="AP9" i="338" a="1"/>
  <c r="AU11" i="338" a="1"/>
  <c r="AP35" i="338" a="1"/>
  <c r="AU33" i="338" a="1"/>
  <c r="AP33" i="338" a="1"/>
  <c r="AP49" i="338" a="1"/>
  <c r="AP47" i="338" a="1"/>
  <c r="AU34" i="338" a="1"/>
  <c r="AP48" i="338" a="1"/>
  <c r="AU49" i="338" a="1"/>
  <c r="AP40" i="338" a="1"/>
  <c r="AP44" i="338" a="1"/>
  <c r="AP30" i="338" a="1"/>
  <c r="AP51" i="338" a="1"/>
  <c r="AP39" i="338" a="1"/>
  <c r="AU12" i="338" a="1"/>
  <c r="AU31" i="338" a="1"/>
  <c r="H8" i="338" l="1"/>
  <c r="AP16" i="338"/>
  <c r="AU29" i="338"/>
  <c r="AP30" i="338"/>
  <c r="AP40" i="338"/>
  <c r="AU13" i="338"/>
  <c r="AU11" i="338"/>
  <c r="AP29" i="338"/>
  <c r="AP36" i="338"/>
  <c r="AP38" i="338"/>
  <c r="AP35" i="338"/>
  <c r="AP14" i="338"/>
  <c r="AU30" i="338"/>
  <c r="AU52" i="338"/>
  <c r="AU39" i="338"/>
  <c r="AP32" i="338"/>
  <c r="AP9" i="338"/>
  <c r="AU16" i="338"/>
  <c r="AU42" i="338"/>
  <c r="AP8" i="338"/>
  <c r="AP31" i="338"/>
  <c r="AU17" i="338"/>
  <c r="AU44" i="338"/>
  <c r="AU38" i="338"/>
  <c r="AP37" i="338"/>
  <c r="AU15" i="338"/>
  <c r="AU18" i="338"/>
  <c r="AP34" i="338"/>
  <c r="AP54" i="338"/>
  <c r="AP53" i="338"/>
  <c r="AP52" i="338"/>
  <c r="AP17" i="338"/>
  <c r="AU12" i="338"/>
  <c r="AP39" i="338"/>
  <c r="AP15" i="338"/>
  <c r="AU46" i="338"/>
  <c r="AU32" i="338"/>
  <c r="AP13" i="338"/>
  <c r="AP12" i="338"/>
  <c r="AP18" i="338"/>
  <c r="AU54" i="338"/>
  <c r="AU50" i="338"/>
  <c r="AU40" i="338"/>
  <c r="AU8" i="338"/>
  <c r="AU53" i="338"/>
  <c r="AP44" i="338"/>
  <c r="AP33" i="338"/>
  <c r="AP11" i="338"/>
  <c r="AU49" i="338"/>
  <c r="AU37" i="338"/>
  <c r="AU33" i="338"/>
  <c r="AU10" i="338"/>
  <c r="AP48" i="338"/>
  <c r="AP51" i="338"/>
  <c r="AP50" i="338"/>
  <c r="AU45" i="338"/>
  <c r="AU31" i="338"/>
  <c r="AP49" i="338"/>
  <c r="AU34" i="338"/>
  <c r="AP47" i="338"/>
  <c r="AP45" i="338"/>
  <c r="AU9" i="338"/>
  <c r="AP42" i="338"/>
  <c r="AU47" i="338"/>
  <c r="AU48" i="338"/>
  <c r="AU36" i="338"/>
  <c r="AP41" i="338"/>
  <c r="AP46" i="338"/>
  <c r="AP10" i="338"/>
  <c r="AU41" i="338"/>
  <c r="AU35" i="338"/>
  <c r="AU51" i="338"/>
  <c r="AN3" i="338"/>
  <c r="V20" i="252"/>
  <c r="U20" i="252"/>
  <c r="O8" i="338"/>
  <c r="Q2" i="338"/>
  <c r="Q4" i="338" s="1"/>
  <c r="E4" i="338"/>
  <c r="E1" i="338" s="1"/>
  <c r="AM3" i="338"/>
  <c r="K8" i="338"/>
  <c r="U8" i="338" a="1"/>
  <c r="V8" i="338" a="1"/>
  <c r="L8" i="338" a="1"/>
  <c r="Q36" i="338" a="1"/>
  <c r="Q34" i="338" a="1"/>
  <c r="Q37" i="338" a="1"/>
  <c r="Q35" i="338" a="1"/>
  <c r="Q41" i="338" a="1"/>
  <c r="Q31" i="338" a="1"/>
  <c r="Q51" i="338" a="1"/>
  <c r="Q33" i="338" a="1"/>
  <c r="Q47" i="338" a="1"/>
  <c r="Q52" i="338" a="1"/>
  <c r="Q38" i="338" a="1"/>
  <c r="Q16" i="338" a="1"/>
  <c r="Q44" i="338" a="1"/>
  <c r="Q39" i="338" a="1"/>
  <c r="Q15" i="338" a="1"/>
  <c r="Q17" i="338" a="1"/>
  <c r="Q10" i="338" a="1"/>
  <c r="Q53" i="338" a="1"/>
  <c r="Q32" i="338" a="1"/>
  <c r="Q50" i="338" a="1"/>
  <c r="Q46" i="338" a="1"/>
  <c r="Q8" i="338" a="1"/>
  <c r="Q48" i="338" a="1"/>
  <c r="Q49" i="338" a="1"/>
  <c r="Q12" i="338" a="1"/>
  <c r="Q42" i="338" a="1"/>
  <c r="Q18" i="338" a="1"/>
  <c r="Q45" i="338" a="1"/>
  <c r="Q14" i="338" a="1"/>
  <c r="Q40" i="338" a="1"/>
  <c r="Q13" i="338" a="1"/>
  <c r="Q30" i="338" a="1"/>
  <c r="Q9" i="338" a="1"/>
  <c r="Q29" i="338" a="1"/>
  <c r="Q11" i="338" a="1"/>
  <c r="Q54" i="338" a="1"/>
  <c r="Q55" i="338" a="1"/>
  <c r="L8" i="338" l="1"/>
  <c r="V8" i="338"/>
  <c r="U8" i="338"/>
  <c r="Q54" i="338"/>
  <c r="Q11" i="338"/>
  <c r="Q29" i="338"/>
  <c r="Q9" i="338"/>
  <c r="Q30" i="338"/>
  <c r="Q13" i="338"/>
  <c r="Q40" i="338"/>
  <c r="Q14" i="338"/>
  <c r="Q45" i="338"/>
  <c r="Q18" i="338"/>
  <c r="Q42" i="338"/>
  <c r="Q12" i="338"/>
  <c r="Q49" i="338"/>
  <c r="Q48" i="338"/>
  <c r="Q8" i="338"/>
  <c r="Q46" i="338"/>
  <c r="Q50" i="338"/>
  <c r="Q32" i="338"/>
  <c r="Q53" i="338"/>
  <c r="Q10" i="338"/>
  <c r="Q17" i="338"/>
  <c r="Q15" i="338"/>
  <c r="Q39" i="338"/>
  <c r="Q44" i="338"/>
  <c r="Q16" i="338"/>
  <c r="Q38" i="338"/>
  <c r="Q52" i="338"/>
  <c r="Q47" i="338"/>
  <c r="Q33" i="338"/>
  <c r="Q51" i="338"/>
  <c r="Q31" i="338"/>
  <c r="Q41" i="338"/>
  <c r="Q35" i="338"/>
  <c r="Q37" i="338"/>
  <c r="Q34" i="338"/>
  <c r="Q36" i="338"/>
  <c r="Q55" i="338"/>
  <c r="E2" i="338"/>
  <c r="AT37" i="338"/>
  <c r="AO53" i="338"/>
  <c r="AT48" i="338"/>
  <c r="AT53" i="338"/>
  <c r="AT39" i="338"/>
  <c r="AO49" i="338"/>
  <c r="AO39" i="338"/>
  <c r="AO9" i="338"/>
  <c r="AT9" i="338"/>
  <c r="AT40" i="338"/>
  <c r="AO31" i="338"/>
  <c r="AO52" i="338"/>
  <c r="AT31" i="338"/>
  <c r="AT11" i="338"/>
  <c r="AO12" i="338"/>
  <c r="AT42" i="338"/>
  <c r="AT12" i="338"/>
  <c r="AD8" i="338"/>
  <c r="AB8" i="338"/>
  <c r="Z8" i="338"/>
  <c r="AT34" i="338"/>
  <c r="AT45" i="338"/>
  <c r="AT49" i="338"/>
  <c r="AT29" i="338"/>
  <c r="AO30" i="338"/>
  <c r="AO10" i="338"/>
  <c r="AT41" i="338"/>
  <c r="AO33" i="338"/>
  <c r="AO54" i="338"/>
  <c r="AT33" i="338"/>
  <c r="AT54" i="338"/>
  <c r="AO8" i="338"/>
  <c r="AO15" i="338"/>
  <c r="AO35" i="338"/>
  <c r="AO46" i="338"/>
  <c r="AT17" i="338"/>
  <c r="AO18" i="338"/>
  <c r="AT18" i="338"/>
  <c r="AT38" i="338"/>
  <c r="AO51" i="338"/>
  <c r="AT15" i="338"/>
  <c r="AT35" i="338"/>
  <c r="AT46" i="338"/>
  <c r="AO29" i="338"/>
  <c r="AO50" i="338"/>
  <c r="AO40" i="338"/>
  <c r="AT30" i="338"/>
  <c r="AT10" i="338"/>
  <c r="AO42" i="338"/>
  <c r="AO13" i="338"/>
  <c r="AT44" i="338"/>
  <c r="AT13" i="338"/>
  <c r="AO45" i="338"/>
  <c r="AO14" i="338"/>
  <c r="AO16" i="338"/>
  <c r="AO36" i="338"/>
  <c r="AO47" i="338"/>
  <c r="AT16" i="338"/>
  <c r="AT36" i="338"/>
  <c r="AT47" i="338"/>
  <c r="AO38" i="338"/>
  <c r="AT8" i="338"/>
  <c r="AT50" i="338"/>
  <c r="AT51" i="338"/>
  <c r="AO41" i="338"/>
  <c r="AO11" i="338"/>
  <c r="AT52" i="338"/>
  <c r="AO32" i="338"/>
  <c r="AT32" i="338"/>
  <c r="AO44" i="338"/>
  <c r="AO34" i="338"/>
  <c r="AO17" i="338"/>
  <c r="AO37" i="338"/>
  <c r="AO48" i="338"/>
  <c r="AN31" i="338"/>
  <c r="AN17" i="338"/>
  <c r="AN38" i="338"/>
  <c r="AS16" i="338"/>
  <c r="AN18" i="338"/>
  <c r="AM38" i="338"/>
  <c r="AR15" i="338"/>
  <c r="AR31" i="338"/>
  <c r="AM31" i="338"/>
  <c r="AR39" i="338"/>
  <c r="AS35" i="338"/>
  <c r="AM35" i="338"/>
  <c r="AM15" i="338"/>
  <c r="AS41" i="338"/>
  <c r="AS9" i="338"/>
  <c r="AN8" i="338"/>
  <c r="AM13" i="338"/>
  <c r="AM9" i="338"/>
  <c r="AS48" i="338"/>
  <c r="AS11" i="338"/>
  <c r="AS39" i="338"/>
  <c r="AN42" i="338"/>
  <c r="AS49" i="338"/>
  <c r="AN51" i="338"/>
  <c r="AS46" i="338"/>
  <c r="AM12" i="338"/>
  <c r="AM32" i="338"/>
  <c r="AN46" i="338"/>
  <c r="AN45" i="338"/>
  <c r="AM10" i="338"/>
  <c r="AM53" i="338"/>
  <c r="AS54" i="338"/>
  <c r="AN11" i="338"/>
  <c r="AS50" i="338"/>
  <c r="AR36" i="338"/>
  <c r="AM49" i="338"/>
  <c r="AR29" i="338"/>
  <c r="AM8" i="338"/>
  <c r="AR41" i="338"/>
  <c r="AN49" i="338"/>
  <c r="AM44" i="338"/>
  <c r="AR47" i="338"/>
  <c r="AS42" i="338"/>
  <c r="AS33" i="338"/>
  <c r="AN29" i="338"/>
  <c r="AS36" i="338"/>
  <c r="AN54" i="338"/>
  <c r="AR48" i="338"/>
  <c r="AN39" i="338"/>
  <c r="AS12" i="338"/>
  <c r="AN50" i="338"/>
  <c r="AS13" i="338"/>
  <c r="AM30" i="338"/>
  <c r="AN15" i="338"/>
  <c r="AS30" i="338"/>
  <c r="AN37" i="338"/>
  <c r="AS47" i="338"/>
  <c r="AR42" i="338"/>
  <c r="AM34" i="338"/>
  <c r="AR54" i="338"/>
  <c r="AR37" i="338"/>
  <c r="AS18" i="338"/>
  <c r="AM18" i="338"/>
  <c r="AR52" i="338"/>
  <c r="AR53" i="338"/>
  <c r="AS31" i="338"/>
  <c r="AS52" i="338"/>
  <c r="AR16" i="338"/>
  <c r="AS8" i="338"/>
  <c r="AR8" i="338"/>
  <c r="AS34" i="338"/>
  <c r="AM37" i="338"/>
  <c r="AR11" i="338"/>
  <c r="AM36" i="338"/>
  <c r="AS40" i="338"/>
  <c r="AR44" i="338"/>
  <c r="AR49" i="338"/>
  <c r="AR30" i="338"/>
  <c r="AN33" i="338"/>
  <c r="AN41" i="338"/>
  <c r="AR51" i="338"/>
  <c r="AM54" i="338"/>
  <c r="AM41" i="338"/>
  <c r="AS53" i="338"/>
  <c r="AS29" i="338"/>
  <c r="AM42" i="338"/>
  <c r="AN10" i="338"/>
  <c r="AR45" i="338"/>
  <c r="AR9" i="338"/>
  <c r="AR10" i="338"/>
  <c r="AN48" i="338"/>
  <c r="AN40" i="338"/>
  <c r="AN9" i="338"/>
  <c r="AS45" i="338"/>
  <c r="AS15" i="338"/>
  <c r="AR33" i="338"/>
  <c r="AN52" i="338"/>
  <c r="AR17" i="338"/>
  <c r="AM11" i="338"/>
  <c r="AN16" i="338"/>
  <c r="AR32" i="338"/>
  <c r="AN34" i="338"/>
  <c r="AN12" i="338"/>
  <c r="AM17" i="338"/>
  <c r="AS38" i="338"/>
  <c r="AS44" i="338"/>
  <c r="AM29" i="338"/>
  <c r="AM47" i="338"/>
  <c r="AN36" i="338"/>
  <c r="AR50" i="338"/>
  <c r="AM46" i="338"/>
  <c r="AN14" i="338"/>
  <c r="AM33" i="338"/>
  <c r="AM51" i="338"/>
  <c r="AS10" i="338"/>
  <c r="AM40" i="338"/>
  <c r="AM16" i="338"/>
  <c r="AM39" i="338"/>
  <c r="AS32" i="338"/>
  <c r="AN13" i="338"/>
  <c r="AM48" i="338"/>
  <c r="AS51" i="338"/>
  <c r="AN44" i="338"/>
  <c r="AR35" i="338"/>
  <c r="AR18" i="338"/>
  <c r="AS37" i="338"/>
  <c r="AM52" i="338"/>
  <c r="AN47" i="338"/>
  <c r="AN30" i="338"/>
  <c r="AN32" i="338"/>
  <c r="AM45" i="338"/>
  <c r="AR13" i="338"/>
  <c r="AM14" i="338"/>
  <c r="AR34" i="338"/>
  <c r="AR38" i="338"/>
  <c r="AR12" i="338"/>
  <c r="AR40" i="338"/>
  <c r="AR46" i="338"/>
  <c r="AS17" i="338"/>
  <c r="AN35" i="338"/>
  <c r="AM50" i="338"/>
  <c r="AN53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K19" i="252" l="1"/>
  <c r="I19" i="252"/>
  <c r="V18" i="252" l="1"/>
  <c r="U18" i="252"/>
  <c r="R18" i="252" l="1"/>
  <c r="Q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V16" i="252" l="1"/>
  <c r="U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R14" i="252" l="1"/>
  <c r="Q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V8" i="252"/>
  <c r="U8" i="252"/>
  <c r="K9" i="252"/>
  <c r="I9" i="252"/>
  <c r="Q8" i="252" l="1"/>
  <c r="R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B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3" i="530"/>
  <c r="J34" i="530" s="1"/>
  <c r="J39" i="530" s="1"/>
  <c r="J40" i="530" s="1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D26" i="530"/>
  <c r="A26" i="530"/>
  <c r="C27" i="530" s="1"/>
  <c r="D25" i="530"/>
  <c r="U23" i="530"/>
  <c r="U24" i="530" s="1"/>
  <c r="C20" i="530"/>
  <c r="J19" i="530"/>
  <c r="L19" i="530" s="1"/>
  <c r="L18" i="530"/>
  <c r="L20" i="530" s="1"/>
  <c r="M20" i="530" s="1"/>
  <c r="D17" i="530"/>
  <c r="D16" i="530"/>
  <c r="C18" i="530" s="1"/>
  <c r="J14" i="530"/>
  <c r="J15" i="530" s="1"/>
  <c r="J16" i="530" s="1"/>
  <c r="G14" i="530"/>
  <c r="F12" i="530"/>
  <c r="C10" i="530"/>
  <c r="D7" i="530"/>
  <c r="D6" i="530"/>
  <c r="C8" i="530" s="1"/>
  <c r="F3" i="530"/>
  <c r="F4" i="530" s="1"/>
  <c r="C6" i="252" l="1"/>
  <c r="A6" i="252" s="1"/>
  <c r="I41" i="530"/>
  <c r="I42" i="530"/>
  <c r="G42" i="530"/>
  <c r="G41" i="530"/>
  <c r="K16" i="530"/>
  <c r="L16" i="530"/>
  <c r="F42" i="530"/>
  <c r="F41" i="530"/>
  <c r="H42" i="530"/>
  <c r="H41" i="530"/>
  <c r="J42" i="530"/>
  <c r="J41" i="530"/>
  <c r="K6" i="252"/>
  <c r="I6" i="25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<sst xmlns="http://schemas.openxmlformats.org/spreadsheetml/2006/main" count="16590" uniqueCount="2371">
  <si>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</si>
  <si>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</si>
  <si>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</si>
  <si>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</si>
  <si>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</si>
  <si>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</si>
  <si>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</si>
  <si>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</si>
  <si>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</si>
  <si>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</si>
  <si>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</si>
  <si>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</si>
  <si>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</si>
  <si>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</si>
  <si>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</si>
  <si>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</si>
  <si>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</si>
  <si>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</si>
  <si>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</si>
  <si>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</si>
  <si>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</si>
  <si>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</si>
  <si>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</si>
  <si>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</si>
  <si>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</si>
  <si>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</si>
  <si>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</si>
  <si>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</si>
  <si>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</si>
  <si>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</si>
  <si>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</si>
  <si>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</si>
  <si>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</si>
  <si>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</si>
  <si>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</si>
  <si>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</si>
  <si>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</si>
  <si>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</si>
  <si>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</si>
  <si>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</si>
  <si>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</si>
  <si>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</si>
  <si>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</si>
  <si>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</si>
  <si>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</si>
  <si>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</si>
  <si>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</si>
  <si>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</si>
  <si>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</si>
  <si>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</si>
  <si>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</si>
  <si>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</si>
  <si>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</si>
  <si>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</si>
  <si>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</si>
  <si>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</si>
  <si>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</si>
  <si>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</si>
  <si>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</si>
  <si>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</si>
  <si>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</si>
  <si>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</si>
  <si>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</si>
  <si>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</si>
  <si>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</si>
  <si>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</si>
  <si>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</si>
  <si>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</si>
  <si>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</si>
  <si>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</si>
  <si>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</si>
  <si>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</si>
  <si>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</si>
  <si>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</si>
  <si>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</si>
  <si>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</si>
  <si>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</si>
  <si>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</si>
  <si>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</si>
  <si>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</si>
  <si>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</si>
  <si>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</si>
  <si>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</si>
  <si>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</si>
  <si>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</si>
  <si>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</si>
  <si>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</si>
  <si>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</si>
  <si>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</si>
  <si>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</si>
  <si>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</si>
  <si>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</si>
  <si>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</si>
  <si>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</si>
  <si>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</si>
  <si>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</si>
  <si>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</si>
  <si>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</si>
  <si>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</si>
  <si>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</si>
  <si>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</si>
  <si>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</si>
  <si>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</si>
  <si>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</si>
  <si>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</si>
  <si>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</si>
  <si>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</si>
  <si>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</si>
  <si>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</si>
  <si>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</si>
  <si>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</si>
  <si>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</si>
  <si>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</si>
  <si>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</si>
  <si>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</si>
  <si>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</si>
  <si>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</si>
  <si>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</si>
  <si>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</si>
  <si>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</si>
  <si>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</si>
  <si>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</si>
  <si>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</si>
  <si>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</si>
  <si>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</si>
  <si>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</si>
  <si>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</si>
  <si>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</si>
  <si>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</si>
  <si>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</si>
  <si>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</si>
  <si>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</si>
  <si>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</si>
  <si>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</si>
  <si>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</si>
  <si>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</si>
  <si>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</si>
  <si>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</si>
  <si>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</si>
  <si>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</si>
  <si>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</si>
  <si>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</si>
  <si>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</si>
  <si>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</si>
  <si>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</si>
  <si>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</si>
  <si>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</si>
  <si>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</si>
  <si>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</si>
  <si>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</si>
  <si>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</si>
  <si>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</si>
  <si>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</si>
  <si>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</si>
  <si>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</si>
  <si>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</si>
  <si>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</si>
  <si>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</si>
  <si>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</si>
  <si>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</si>
  <si>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</si>
  <si>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</si>
  <si>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</si>
  <si>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</si>
  <si>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</si>
  <si>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</si>
  <si>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</si>
  <si>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</si>
  <si>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</si>
  <si>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</si>
  <si>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</si>
  <si>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</si>
  <si>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</si>
  <si>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</si>
  <si>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</si>
  <si>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</si>
  <si>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</si>
  <si>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</si>
  <si>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</si>
  <si>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</si>
  <si>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</si>
  <si>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</si>
  <si>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</si>
  <si>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</si>
  <si>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</si>
  <si>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</si>
  <si>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</si>
  <si>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</si>
  <si>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</si>
  <si>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</si>
  <si>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</si>
  <si>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</si>
  <si>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</si>
  <si>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</si>
  <si>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</si>
  <si>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</si>
  <si>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</si>
  <si>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</si>
  <si>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</si>
  <si>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</si>
  <si>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</si>
  <si>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</si>
  <si>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</si>
  <si>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</si>
  <si>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</si>
  <si>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</si>
  <si>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</si>
  <si>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</si>
  <si>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</si>
  <si>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</si>
  <si>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</si>
  <si>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</si>
  <si>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</si>
  <si>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</si>
  <si>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</si>
  <si>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</si>
  <si>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</si>
  <si>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</si>
  <si>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</si>
  <si>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</si>
  <si>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</si>
  <si>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</si>
  <si>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</si>
  <si>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</si>
  <si>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</si>
  <si>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</si>
  <si>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</si>
  <si>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</si>
  <si>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</si>
  <si>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</si>
  <si>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</si>
  <si>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</si>
  <si>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</si>
  <si>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</si>
  <si>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</si>
  <si>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</si>
  <si>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</si>
  <si>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</si>
  <si>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</si>
  <si>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</si>
  <si>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</si>
  <si>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</si>
  <si>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</si>
  <si>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</si>
  <si>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</si>
  <si>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</si>
  <si>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</si>
  <si>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</si>
  <si>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</si>
  <si>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</si>
  <si>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</si>
  <si>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</si>
  <si>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</si>
  <si>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</si>
  <si>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</si>
  <si>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</si>
  <si>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</si>
  <si>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</si>
  <si>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</si>
  <si>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</si>
  <si>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</si>
  <si>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</si>
  <si>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</si>
  <si>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</si>
  <si>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</si>
  <si>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</si>
  <si>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</si>
  <si>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</si>
  <si>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</si>
  <si>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</si>
  <si>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</si>
  <si>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</si>
  <si>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</si>
  <si>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</si>
  <si>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</si>
  <si>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</si>
  <si>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</si>
  <si>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</si>
  <si>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</si>
  <si>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</si>
  <si>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</si>
  <si>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</si>
  <si>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</si>
  <si>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</si>
  <si>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</si>
  <si>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</si>
  <si>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</si>
  <si>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</si>
  <si>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</si>
  <si>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</si>
  <si>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</si>
  <si>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</si>
  <si>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</si>
  <si>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</si>
  <si>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</si>
  <si>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</si>
  <si>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</si>
  <si>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</si>
  <si>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</si>
  <si>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</si>
  <si>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</si>
  <si>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</si>
  <si>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</si>
  <si>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</si>
  <si>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</si>
  <si>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</si>
  <si>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</si>
  <si>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</si>
  <si>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</si>
  <si>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</si>
  <si>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</si>
  <si>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</si>
  <si>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</si>
  <si>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</si>
  <si>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</si>
  <si>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</si>
  <si>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</si>
  <si>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</si>
  <si>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</si>
  <si>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</si>
  <si>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</si>
  <si>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</si>
  <si>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</si>
  <si>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</si>
  <si>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</si>
  <si>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</si>
  <si>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</si>
  <si>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</si>
  <si>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</si>
  <si>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</si>
  <si>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</si>
  <si>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</si>
  <si>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</si>
  <si>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</si>
  <si>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</si>
  <si>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</si>
  <si>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</si>
  <si>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</si>
  <si>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</si>
  <si>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</si>
  <si>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</si>
  <si>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</si>
  <si>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</si>
  <si>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</si>
  <si>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</si>
  <si>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</si>
  <si>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</si>
  <si>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</si>
  <si>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</si>
  <si>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</si>
  <si>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</si>
  <si>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</si>
  <si>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</si>
  <si>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</si>
  <si>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</si>
  <si>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</si>
  <si>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</si>
  <si>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</si>
  <si>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</si>
  <si>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</si>
  <si>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</si>
  <si>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</si>
  <si>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</si>
  <si>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</si>
  <si>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</si>
  <si>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</si>
  <si>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</si>
  <si>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</si>
  <si>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</si>
  <si>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</si>
  <si>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</si>
  <si>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</si>
  <si>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</si>
  <si>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</si>
  <si>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</si>
  <si>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</si>
  <si>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</si>
  <si>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</si>
  <si>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</si>
  <si>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</si>
  <si>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</si>
  <si>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</si>
  <si>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</si>
  <si>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</si>
  <si>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</si>
  <si>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</si>
  <si>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</si>
  <si>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</si>
  <si>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</si>
  <si>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</si>
  <si>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</si>
  <si>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</si>
  <si>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</si>
  <si>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</si>
  <si>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</si>
  <si>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</si>
  <si>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</si>
  <si>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</si>
  <si>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</si>
  <si>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</si>
  <si>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</si>
  <si>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</si>
  <si>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</si>
  <si>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</si>
  <si>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</si>
  <si>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</si>
  <si>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</si>
  <si>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</si>
  <si>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</si>
  <si>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</si>
  <si>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</si>
  <si>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</si>
  <si>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</si>
  <si>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</si>
  <si>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</si>
  <si>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</si>
  <si>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</si>
  <si>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</si>
  <si>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</si>
  <si>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</si>
  <si>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</si>
  <si>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</si>
  <si>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</si>
  <si>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</si>
  <si>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</si>
  <si>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</si>
  <si>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</si>
  <si>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</si>
  <si>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</si>
  <si>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</si>
  <si>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</si>
  <si>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</si>
  <si>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</si>
  <si>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</si>
  <si>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</si>
  <si>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</si>
  <si>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</si>
  <si>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</si>
  <si>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</si>
  <si>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</si>
  <si>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</si>
  <si>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</si>
  <si>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</si>
  <si>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</si>
  <si>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</si>
  <si>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</si>
  <si>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</si>
  <si>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</si>
  <si>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</si>
  <si>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</si>
  <si>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</si>
  <si>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</si>
  <si>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</si>
  <si>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</si>
  <si>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</si>
  <si>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</si>
  <si>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</si>
  <si>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</si>
  <si>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</si>
  <si>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</si>
  <si>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</si>
  <si>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</si>
  <si>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</si>
  <si>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</si>
  <si>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</si>
  <si>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</si>
  <si>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</si>
  <si>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</si>
  <si>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</si>
  <si>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</si>
  <si>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</si>
  <si>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</si>
  <si>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</si>
  <si>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</si>
  <si>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</si>
  <si>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</si>
  <si>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</si>
  <si>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</si>
  <si>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</si>
  <si>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</si>
  <si>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</si>
  <si>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</si>
  <si>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</si>
  <si>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</si>
  <si>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</si>
  <si>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</si>
  <si>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</si>
  <si>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</si>
  <si>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</si>
  <si>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</si>
  <si>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</si>
  <si>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</si>
  <si>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</si>
  <si>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</si>
  <si>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</si>
  <si>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</si>
  <si>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</si>
  <si>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</si>
  <si>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</si>
  <si>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</si>
  <si>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</si>
  <si>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</si>
  <si>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</si>
  <si>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</si>
  <si>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</si>
  <si>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</si>
  <si>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</si>
  <si>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</si>
  <si>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</si>
  <si>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</si>
  <si>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</si>
  <si>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</si>
  <si>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</si>
  <si>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</si>
  <si>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</si>
  <si>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</si>
  <si>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</si>
  <si>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</si>
  <si>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</si>
  <si>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</si>
  <si>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</si>
  <si>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</si>
  <si>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</si>
  <si>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</si>
  <si>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</si>
  <si>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</si>
  <si>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</si>
  <si>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</si>
  <si>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</si>
  <si>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</si>
  <si>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</si>
  <si>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</si>
  <si>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</si>
  <si>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</si>
  <si>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</si>
  <si>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</si>
  <si>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</si>
  <si>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</si>
  <si>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</si>
  <si>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</si>
  <si>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</si>
  <si>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</si>
  <si>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</si>
  <si>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</si>
  <si>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</si>
  <si>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</si>
  <si>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</si>
  <si>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</si>
  <si>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</si>
  <si>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</si>
  <si>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</si>
  <si>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</si>
  <si>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</si>
  <si>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</si>
  <si>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</si>
  <si>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</si>
  <si>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</si>
  <si>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</si>
  <si>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</si>
  <si>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</si>
  <si>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</si>
  <si>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</si>
  <si>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</si>
  <si>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</si>
  <si>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</si>
  <si>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</si>
  <si>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</si>
  <si>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</si>
  <si>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</si>
  <si>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</si>
  <si>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</si>
  <si>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</si>
  <si>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</si>
  <si>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</si>
  <si>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</si>
  <si>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</si>
  <si>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</si>
  <si>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</si>
  <si>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</si>
  <si>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</si>
  <si>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</si>
  <si>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</si>
  <si>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</si>
  <si>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</si>
  <si>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</si>
  <si>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</si>
  <si>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</si>
  <si>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</si>
  <si>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</si>
  <si>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</si>
  <si>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</si>
  <si>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</si>
  <si>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</si>
  <si>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</si>
  <si>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</si>
  <si>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</si>
  <si>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</si>
  <si>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</si>
  <si>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</si>
  <si>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</si>
  <si>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</si>
  <si>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</si>
  <si>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</si>
  <si>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</si>
  <si>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</si>
  <si>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</si>
  <si>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</si>
  <si>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</si>
  <si>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</si>
  <si>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</si>
  <si>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</si>
  <si>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</si>
  <si>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</si>
  <si>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</si>
  <si>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</si>
  <si>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</si>
  <si>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</si>
  <si>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</si>
  <si>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</si>
  <si>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</si>
  <si>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</si>
  <si>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</si>
  <si>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</si>
  <si>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</si>
  <si>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</si>
  <si>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</si>
  <si>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</si>
  <si>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</si>
  <si>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</si>
  <si>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</si>
  <si>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</si>
  <si>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</si>
  <si>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</si>
  <si>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</si>
  <si>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</si>
  <si>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</si>
  <si>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</si>
  <si>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</si>
  <si>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</si>
  <si>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</si>
  <si>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</si>
  <si>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</si>
  <si>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</si>
  <si>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</si>
  <si>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</si>
  <si>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</si>
  <si>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</si>
  <si>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</si>
  <si>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</si>
  <si>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</si>
  <si>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</si>
  <si>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</si>
  <si>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</si>
  <si>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</si>
  <si>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</si>
  <si>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</si>
  <si>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</si>
  <si>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</si>
  <si>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</si>
  <si>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</si>
  <si>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</si>
  <si>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</si>
  <si>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</si>
  <si>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</si>
  <si>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</si>
  <si>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</si>
  <si>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</si>
  <si>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</si>
  <si>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</si>
  <si>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</si>
  <si>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</si>
  <si>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</si>
  <si>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</si>
  <si>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</si>
  <si>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</si>
  <si>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</si>
  <si>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</si>
  <si>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</si>
  <si>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</si>
  <si>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</si>
  <si>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</si>
  <si>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</si>
  <si>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</si>
  <si>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</si>
  <si>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</si>
  <si>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</si>
  <si>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</si>
  <si>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</si>
  <si>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</si>
  <si>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</si>
  <si>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</si>
  <si>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</si>
  <si>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</si>
  <si>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</si>
  <si>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</si>
  <si>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</si>
  <si>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</si>
  <si>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</si>
  <si>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</si>
  <si>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</si>
  <si>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</si>
  <si>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</si>
  <si>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</si>
  <si>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</si>
  <si>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</si>
  <si>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</si>
  <si>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</si>
  <si>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</si>
  <si>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</si>
  <si>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</si>
  <si>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</si>
  <si>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</si>
  <si>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</si>
  <si>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</si>
  <si>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</si>
  <si>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</si>
  <si>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</si>
  <si>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</si>
  <si>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</si>
  <si>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</si>
  <si>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</si>
  <si>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</si>
  <si>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</si>
  <si>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</si>
  <si>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</si>
  <si>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</si>
  <si>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</si>
  <si>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</si>
  <si>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</si>
  <si>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</si>
  <si>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</si>
  <si>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</si>
  <si>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</si>
  <si>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</si>
  <si>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</si>
  <si>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</si>
  <si>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</si>
  <si>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</si>
  <si>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</si>
  <si>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</si>
  <si>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</si>
  <si>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</si>
  <si>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</si>
  <si>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</si>
  <si>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</si>
  <si>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</si>
  <si>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</si>
  <si>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</si>
  <si>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</si>
  <si>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</si>
  <si>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</si>
  <si>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</si>
  <si>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</si>
  <si>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</si>
  <si>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</si>
  <si>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</si>
  <si>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</si>
  <si>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</si>
  <si>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</si>
  <si>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</si>
  <si>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</si>
  <si>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</si>
  <si>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</si>
  <si>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</si>
  <si>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</si>
  <si>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</si>
  <si>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</si>
  <si>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</si>
  <si>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</si>
  <si>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</si>
  <si>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</si>
  <si>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</si>
  <si>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</si>
  <si>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</si>
  <si>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</si>
  <si>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</si>
  <si>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</si>
  <si>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</si>
  <si>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</si>
  <si>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</si>
  <si>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</si>
  <si>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</si>
  <si>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</si>
  <si>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</si>
  <si>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</si>
  <si>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</si>
  <si>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</si>
  <si>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</si>
  <si>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</si>
  <si>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</si>
  <si>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</si>
  <si>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</si>
  <si>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</si>
  <si>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</si>
  <si>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</si>
  <si>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</si>
  <si>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</si>
  <si>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</si>
  <si>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</si>
  <si>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</si>
  <si>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</si>
  <si>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</si>
  <si>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</si>
  <si>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</si>
  <si>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</si>
  <si>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</si>
  <si>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</si>
  <si>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</si>
  <si>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</si>
  <si>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</si>
  <si>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</si>
  <si>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</si>
  <si>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</si>
  <si>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</si>
  <si>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</si>
  <si>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</si>
  <si>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</si>
  <si>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</si>
  <si>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</si>
  <si>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</si>
  <si>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</si>
  <si>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</si>
  <si>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</si>
  <si>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</si>
  <si>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</si>
  <si>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</si>
  <si>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</si>
  <si>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</si>
  <si>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</si>
  <si>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</si>
  <si>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</si>
  <si>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</si>
  <si>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</si>
  <si>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</si>
  <si>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</si>
  <si>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</si>
  <si>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</si>
  <si>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</si>
  <si>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</si>
  <si>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</si>
  <si>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</si>
  <si>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</si>
  <si>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</si>
  <si>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</si>
  <si>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</si>
  <si>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</si>
  <si>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</si>
  <si>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</si>
  <si>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</si>
  <si>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</si>
  <si>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</si>
  <si>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</si>
  <si>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</si>
  <si>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</si>
  <si>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</si>
  <si>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</si>
  <si>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</si>
  <si>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</si>
  <si>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</si>
  <si>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</si>
  <si>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</si>
  <si>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</si>
  <si>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</si>
  <si>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</si>
  <si>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</si>
  <si>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</si>
  <si>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</si>
  <si>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</si>
  <si>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</si>
  <si>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</si>
  <si>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</si>
  <si>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</si>
  <si>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</si>
  <si>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</si>
  <si>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</si>
  <si>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</si>
  <si>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</si>
  <si>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</si>
  <si>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</si>
  <si>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</si>
  <si>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</si>
  <si>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</si>
  <si>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</si>
  <si>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</si>
  <si>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</si>
  <si>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</si>
  <si>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</si>
  <si>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</si>
  <si>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</si>
  <si>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</si>
  <si>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</si>
  <si>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</si>
  <si>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</si>
  <si>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</si>
  <si>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</si>
  <si>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</si>
  <si>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</si>
  <si>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</si>
  <si>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</si>
  <si>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</si>
  <si>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</si>
  <si>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</si>
  <si>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</si>
  <si>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</si>
  <si>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</si>
  <si>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</si>
  <si>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</si>
  <si>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</si>
  <si>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</si>
  <si>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</si>
  <si>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</si>
  <si>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</si>
  <si>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</si>
  <si>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</si>
  <si>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</si>
  <si>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</si>
  <si>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</si>
  <si>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</si>
  <si>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</si>
  <si>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</si>
  <si>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</si>
  <si>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</si>
  <si>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</si>
  <si>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</si>
  <si>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</si>
  <si>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</si>
  <si>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</si>
  <si>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</si>
  <si>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</si>
  <si>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</si>
  <si>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</si>
  <si>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</si>
  <si>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</si>
  <si>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</si>
  <si>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</si>
  <si>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</si>
  <si>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</si>
  <si>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</si>
  <si>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</si>
  <si>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</si>
  <si>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</si>
  <si>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</si>
  <si>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</si>
  <si>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</si>
  <si>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</si>
  <si>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</si>
  <si>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</si>
  <si>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</si>
  <si>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</si>
  <si>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</si>
  <si>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</si>
  <si>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</si>
  <si>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</si>
  <si>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</si>
  <si>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</si>
  <si>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</si>
  <si>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</si>
  <si>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</si>
  <si>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</si>
  <si>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</si>
  <si>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</si>
  <si>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</si>
  <si>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</si>
  <si>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</si>
  <si>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</si>
  <si>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</si>
  <si>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</si>
  <si>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</si>
  <si>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</si>
  <si>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</si>
  <si>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</si>
  <si>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</si>
  <si>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</si>
  <si>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</si>
  <si>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</si>
  <si>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</si>
  <si>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</si>
  <si>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</si>
  <si>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</si>
  <si>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</si>
  <si>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</si>
  <si>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</si>
  <si>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</si>
  <si>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</si>
  <si>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</si>
  <si>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</si>
  <si>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</si>
  <si>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</si>
  <si>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</si>
  <si>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</si>
  <si>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</si>
  <si>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</si>
  <si>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</si>
  <si>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</si>
  <si>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</si>
  <si>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</si>
  <si>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</si>
  <si>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</si>
  <si>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</si>
  <si>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</si>
  <si>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</si>
  <si>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</si>
  <si>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</si>
  <si>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</si>
  <si>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</si>
  <si>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</si>
  <si>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</si>
  <si>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</si>
  <si>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</si>
  <si>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</si>
  <si>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</si>
  <si>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</si>
  <si>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</si>
  <si>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</si>
  <si>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</si>
  <si>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</si>
  <si>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</si>
  <si>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</si>
  <si>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</si>
  <si>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</si>
  <si>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</si>
  <si>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</si>
  <si>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</si>
  <si>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</si>
  <si>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</si>
  <si>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</si>
  <si>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</si>
  <si>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</si>
  <si>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</si>
  <si>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</si>
  <si>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</si>
  <si>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</si>
  <si>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</si>
  <si>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</si>
  <si>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</si>
  <si>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</si>
  <si>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</si>
  <si>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</si>
  <si>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</si>
  <si>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</si>
  <si>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</si>
  <si>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</si>
  <si>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</si>
  <si>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</si>
  <si>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</si>
  <si>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</si>
  <si>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</si>
  <si>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</si>
  <si>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</si>
  <si>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</si>
  <si>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</si>
  <si>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</si>
  <si>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</si>
  <si>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</si>
  <si>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</si>
  <si>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</si>
  <si>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</si>
  <si>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</si>
  <si>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</si>
  <si>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</si>
  <si>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</si>
  <si>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</si>
  <si>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</si>
  <si>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</si>
  <si>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</si>
  <si>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</si>
  <si>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</si>
  <si>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</si>
  <si>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</si>
  <si>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</si>
  <si>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</si>
  <si>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</si>
  <si>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</si>
  <si>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</si>
  <si>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</si>
  <si>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</si>
  <si>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</si>
  <si>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</si>
  <si>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</si>
  <si>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</si>
  <si>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</si>
  <si>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</si>
  <si>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</si>
  <si>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</si>
  <si>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</si>
  <si>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</si>
  <si>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</si>
  <si>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</si>
  <si>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</si>
  <si>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</si>
  <si>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</si>
  <si>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</si>
  <si>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</si>
  <si>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</si>
  <si>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</si>
  <si>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</si>
  <si>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</si>
  <si>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</si>
  <si>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</si>
  <si>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</si>
  <si>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</si>
  <si>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</si>
  <si>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</si>
  <si>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</si>
  <si>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</si>
  <si>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</si>
  <si>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</si>
  <si>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</si>
  <si>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</si>
  <si>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</si>
  <si>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</si>
  <si>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</si>
  <si>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</si>
  <si>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</si>
  <si>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</si>
  <si>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</si>
  <si>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</si>
  <si>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</si>
  <si>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</si>
  <si>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</si>
  <si>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</si>
  <si>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</si>
  <si>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</si>
  <si>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</si>
  <si>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</si>
  <si>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</si>
  <si>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</si>
  <si>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</si>
  <si>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</si>
  <si>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</si>
  <si>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</si>
  <si>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</si>
  <si>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</si>
  <si>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</si>
  <si>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</si>
  <si>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</si>
  <si>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</si>
  <si>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</si>
  <si>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</si>
  <si>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</si>
  <si>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</si>
  <si>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</si>
  <si>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</si>
  <si>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</si>
  <si>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</si>
  <si>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</si>
  <si>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</si>
  <si>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</si>
  <si>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</si>
  <si>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</si>
  <si>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</si>
  <si>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</si>
  <si>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</si>
  <si>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</si>
  <si>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</si>
  <si>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</si>
  <si>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</si>
  <si>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</si>
  <si>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</si>
  <si>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</si>
  <si>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</si>
  <si>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</si>
  <si>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</si>
  <si>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</si>
  <si>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</si>
  <si>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</si>
  <si>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</si>
  <si>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</si>
  <si>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</si>
  <si>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</si>
  <si>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</si>
  <si>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</si>
  <si>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</si>
  <si>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</si>
  <si>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</si>
  <si>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</si>
  <si>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</si>
  <si>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</si>
  <si>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</si>
  <si>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</si>
  <si>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</si>
  <si>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</si>
  <si>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</si>
  <si>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</si>
  <si>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</si>
  <si>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</si>
  <si>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</si>
  <si>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</si>
  <si>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</si>
  <si>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</si>
  <si>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</si>
  <si>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</si>
  <si>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</si>
  <si>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</si>
  <si>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</si>
  <si>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</si>
  <si>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</si>
  <si>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</si>
  <si>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</si>
  <si>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</si>
  <si>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</si>
  <si>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</si>
  <si>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</si>
  <si>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</si>
  <si>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</si>
  <si>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</si>
  <si>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</si>
  <si>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</si>
  <si>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</si>
  <si>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</si>
  <si>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</si>
  <si>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</si>
  <si>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</si>
  <si>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</si>
  <si>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</si>
  <si>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</si>
  <si>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</si>
  <si>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</si>
  <si>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</si>
  <si>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</si>
  <si>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</si>
  <si>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</si>
  <si>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</si>
  <si>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</si>
  <si>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</si>
  <si>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</si>
  <si>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</si>
  <si>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</si>
  <si>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</si>
  <si>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</si>
  <si>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</si>
  <si>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</si>
  <si>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</si>
  <si>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</si>
  <si>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</si>
  <si>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</si>
  <si>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</si>
  <si>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</si>
  <si>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</si>
  <si>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</si>
  <si>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</si>
  <si>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</si>
  <si>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</si>
  <si>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</si>
  <si>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</si>
  <si>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</si>
  <si>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</si>
  <si>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</si>
  <si>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</si>
  <si>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</si>
  <si>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</si>
  <si>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</si>
  <si>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</si>
  <si>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</si>
  <si>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</si>
  <si>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</si>
  <si>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</si>
  <si>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</si>
  <si>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</si>
  <si>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</si>
  <si>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</si>
  <si>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</si>
  <si>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</si>
  <si>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</si>
  <si>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</si>
  <si>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</si>
  <si>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</si>
  <si>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</si>
  <si>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</si>
  <si>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</si>
  <si>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</si>
  <si>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</si>
  <si>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</si>
  <si>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</si>
  <si>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</si>
  <si>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</si>
  <si>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</si>
  <si>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</si>
  <si>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</si>
  <si>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</si>
  <si>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</si>
  <si>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</si>
  <si>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</si>
  <si>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</si>
  <si>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</si>
  <si>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</si>
  <si>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</si>
  <si>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</si>
  <si>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</si>
  <si>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</si>
  <si>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</si>
  <si>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</si>
  <si>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</si>
  <si>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</si>
  <si>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</si>
  <si>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</si>
  <si>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</si>
  <si>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</si>
  <si>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</si>
  <si>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</si>
  <si>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</si>
  <si>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</si>
  <si>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</si>
  <si>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</si>
  <si>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</si>
  <si>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</si>
  <si>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</si>
  <si>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</si>
  <si>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</si>
  <si>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</si>
  <si>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</si>
  <si>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</si>
  <si>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</si>
  <si>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</si>
  <si>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</si>
  <si>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</si>
  <si>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</si>
  <si>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</si>
  <si>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</si>
  <si>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</si>
  <si>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</si>
  <si>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</si>
  <si>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</si>
  <si>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</si>
  <si>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</si>
  <si>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</si>
  <si>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</si>
  <si>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</si>
  <si>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</si>
  <si>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</si>
  <si>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</si>
  <si>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</si>
  <si>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</si>
  <si>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</si>
  <si>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</si>
  <si>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</si>
  <si>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</si>
  <si>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</si>
  <si>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</si>
  <si>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</si>
  <si>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</si>
  <si>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</si>
  <si>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</si>
  <si>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</si>
  <si>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</si>
  <si>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</si>
  <si>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</si>
  <si>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</si>
  <si>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</si>
  <si>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</si>
  <si>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</si>
  <si>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</si>
  <si>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</si>
  <si>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</si>
  <si>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</si>
  <si>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</si>
  <si>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</si>
  <si>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</si>
  <si>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</si>
  <si>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</si>
  <si>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</si>
  <si>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</si>
  <si>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</si>
  <si>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</si>
  <si>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</si>
  <si>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</si>
  <si>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</si>
  <si>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</si>
  <si>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</si>
  <si>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</si>
  <si>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</si>
  <si>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</si>
  <si>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</si>
  <si>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</si>
  <si>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</si>
  <si>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</si>
  <si>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</si>
  <si>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</si>
  <si>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</si>
  <si>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</si>
  <si>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</si>
  <si>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</si>
  <si>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</si>
  <si>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</si>
  <si>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</si>
  <si>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</si>
  <si>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</si>
  <si>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</si>
  <si>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</si>
  <si>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</si>
  <si>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</si>
  <si>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</si>
  <si>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</si>
  <si>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</si>
  <si>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</si>
  <si>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</si>
  <si>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</si>
  <si>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</si>
  <si>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</si>
  <si>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</si>
  <si>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</si>
  <si>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</si>
  <si>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</si>
  <si>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</si>
  <si>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</si>
  <si>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</si>
  <si>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</si>
  <si>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</si>
  <si>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</si>
  <si>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</si>
  <si>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</si>
  <si>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</si>
  <si>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</si>
  <si>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</si>
  <si>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</si>
  <si>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</si>
  <si>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</si>
  <si>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</si>
  <si>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</si>
  <si>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</si>
  <si>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</si>
  <si>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</si>
  <si>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</si>
  <si>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</si>
  <si>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</si>
  <si>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</si>
  <si>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</si>
  <si>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</si>
  <si>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</si>
  <si>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</si>
  <si>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</si>
  <si>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</si>
  <si>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</si>
  <si>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</si>
  <si>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</si>
  <si>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</si>
  <si>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</si>
  <si>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</si>
  <si>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</si>
  <si>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</si>
  <si>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</si>
  <si>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</si>
  <si>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</si>
  <si>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</si>
  <si>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</si>
  <si>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</si>
  <si>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</si>
  <si>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</si>
  <si>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</si>
  <si>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</si>
  <si>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</si>
  <si>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</si>
  <si>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</si>
  <si>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</si>
  <si>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</si>
  <si>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</si>
  <si>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</si>
  <si>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</si>
  <si>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</si>
  <si>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</si>
  <si>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</si>
  <si>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</si>
  <si>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</si>
  <si>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</si>
  <si>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</si>
  <si>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</si>
  <si>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</si>
  <si>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</si>
  <si>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</si>
  <si>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</si>
  <si>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</si>
  <si>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</si>
  <si>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</si>
  <si>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</si>
  <si>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</si>
  <si>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</si>
  <si>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</si>
  <si>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</si>
  <si>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</si>
  <si>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</si>
  <si>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</si>
  <si>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</si>
  <si>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</si>
  <si>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</si>
  <si>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</si>
  <si>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</si>
  <si>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</si>
  <si>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</si>
  <si>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</si>
  <si>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</si>
  <si>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</si>
  <si>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</si>
  <si>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</si>
  <si>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</si>
  <si>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</si>
  <si>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</si>
  <si>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</si>
  <si>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</si>
  <si>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</si>
  <si>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</si>
  <si>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</si>
  <si>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</si>
  <si>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</si>
  <si>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</si>
  <si>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</si>
  <si>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</si>
  <si>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</si>
  <si>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</si>
  <si>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</si>
  <si>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</si>
  <si>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</si>
  <si>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</si>
  <si>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</si>
  <si>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</si>
  <si>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</si>
  <si>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</si>
  <si>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</si>
  <si>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</si>
  <si>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</si>
  <si>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</si>
  <si>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</si>
  <si>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</si>
  <si>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</si>
  <si>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</si>
  <si>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</si>
  <si>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</si>
  <si>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</si>
  <si>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</si>
  <si>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</si>
  <si>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</si>
  <si>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</si>
  <si>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</si>
  <si>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</si>
  <si>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</si>
  <si>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</si>
  <si>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</si>
  <si>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</si>
  <si>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</si>
  <si>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</si>
  <si>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</si>
  <si>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</si>
  <si>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</si>
  <si>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</si>
  <si>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</si>
  <si>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</si>
  <si>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</si>
  <si>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</si>
  <si>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</si>
  <si>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</si>
  <si>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</si>
  <si>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</si>
  <si>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</si>
  <si>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</si>
  <si>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</si>
  <si>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</si>
  <si>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</si>
  <si>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</si>
  <si>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</si>
  <si>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</si>
  <si>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</si>
  <si>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</si>
  <si>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</si>
  <si>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</si>
  <si>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</si>
  <si>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</si>
  <si>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</si>
  <si>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</si>
  <si>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</si>
  <si>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</si>
  <si>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</si>
  <si>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</si>
  <si>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</si>
  <si>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</si>
  <si>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</si>
  <si>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</si>
  <si>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</si>
  <si>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</si>
  <si>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</si>
  <si>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</si>
  <si>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</si>
  <si>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</si>
  <si>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</si>
  <si>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</si>
  <si>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</si>
  <si>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</si>
  <si>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</si>
  <si>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</si>
  <si>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</si>
  <si>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</si>
  <si>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</si>
  <si>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</si>
  <si>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</si>
  <si>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</si>
  <si>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</si>
  <si>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</si>
  <si>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</si>
  <si>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</si>
  <si>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</si>
  <si>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</si>
  <si>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</si>
  <si>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</si>
  <si>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</si>
  <si>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</si>
  <si>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</si>
  <si>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</si>
  <si>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</si>
  <si>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</si>
  <si>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</si>
  <si>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</si>
  <si>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</si>
  <si>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</si>
  <si>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</si>
  <si>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</si>
  <si>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</si>
  <si>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</si>
  <si>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</si>
  <si>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</si>
  <si>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</si>
  <si>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</si>
  <si>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</si>
  <si>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</si>
  <si>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</si>
  <si>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</si>
  <si>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</si>
  <si>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</si>
  <si>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</si>
  <si>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</si>
  <si>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</si>
  <si>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</si>
  <si>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</si>
  <si>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</si>
  <si>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</si>
  <si>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</si>
  <si>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</si>
  <si>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</si>
  <si>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</si>
  <si>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</si>
  <si>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</si>
  <si>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</si>
  <si>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</si>
  <si>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</si>
  <si>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</si>
  <si>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</si>
  <si>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</si>
  <si>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</si>
  <si>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</si>
  <si>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</si>
  <si>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</si>
  <si>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</si>
  <si>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</si>
  <si>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</si>
  <si>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</si>
  <si>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</si>
  <si>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</si>
  <si>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</si>
  <si>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</si>
  <si>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</si>
  <si>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</si>
  <si>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</si>
  <si>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</si>
  <si>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</si>
  <si>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</si>
  <si>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</si>
  <si>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</si>
  <si>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</si>
  <si>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</si>
  <si>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</si>
  <si>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</si>
  <si>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</si>
  <si>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</si>
  <si>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</si>
  <si>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</si>
  <si>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</si>
  <si>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</si>
  <si>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</si>
  <si>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</si>
  <si>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</si>
  <si>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</si>
  <si>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</si>
  <si>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</si>
  <si>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</si>
  <si>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</si>
  <si>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</si>
  <si>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</si>
  <si>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</si>
  <si>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</si>
  <si>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</si>
  <si>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</si>
  <si>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</si>
  <si>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</si>
  <si>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</si>
  <si>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</si>
  <si>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</si>
  <si>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</si>
  <si>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</si>
  <si>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</si>
  <si>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</si>
  <si>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</si>
  <si>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</si>
  <si>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</si>
  <si>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</si>
  <si>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</si>
  <si>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</si>
  <si>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</si>
  <si>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</si>
  <si>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</si>
  <si>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</si>
  <si>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</si>
  <si>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</si>
  <si>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</si>
  <si>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</si>
  <si>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</si>
  <si>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</si>
  <si>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</si>
  <si>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</si>
  <si>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</si>
  <si>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</si>
  <si>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</si>
  <si>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</si>
  <si>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</si>
  <si>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</si>
  <si>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</si>
  <si>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</si>
  <si>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</si>
  <si>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</si>
  <si>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</si>
  <si>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</si>
  <si>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</si>
  <si>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</si>
  <si>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</si>
  <si>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</si>
  <si>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</si>
  <si>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</si>
  <si>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</si>
  <si>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</si>
  <si>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</si>
  <si>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</si>
  <si>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</si>
  <si>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</si>
  <si>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</si>
  <si>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</si>
  <si>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</si>
  <si>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</si>
  <si>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</si>
  <si>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</si>
  <si>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</si>
  <si>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</si>
  <si>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</si>
  <si>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</si>
  <si>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</si>
  <si>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</si>
  <si>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</si>
  <si>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</si>
  <si>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</si>
  <si>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</si>
  <si>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</si>
  <si>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</si>
  <si>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</si>
  <si>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</si>
  <si>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</si>
  <si>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</si>
  <si>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</si>
  <si>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</si>
  <si>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</si>
  <si>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</si>
  <si>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</si>
  <si>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</si>
  <si>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</si>
  <si>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</si>
  <si>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</si>
  <si>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</si>
  <si>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</si>
  <si>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</si>
  <si>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</si>
  <si>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</si>
  <si>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</si>
  <si>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</si>
  <si>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</si>
  <si>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</si>
  <si>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</si>
  <si>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</si>
  <si>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</si>
  <si>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</si>
  <si>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</si>
  <si>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</si>
  <si>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</si>
  <si>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</si>
  <si>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</si>
  <si>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</si>
  <si>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</si>
  <si>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</si>
  <si>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</si>
  <si>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</si>
  <si>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</si>
  <si>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</si>
  <si>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</si>
  <si>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</si>
  <si>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</si>
  <si>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</si>
  <si>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</si>
  <si>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</si>
  <si>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</si>
  <si>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</si>
  <si>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</si>
  <si>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</si>
  <si>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</si>
  <si>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</si>
  <si>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</si>
  <si>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</si>
  <si>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</si>
  <si>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</si>
  <si>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</si>
  <si>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</si>
  <si>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</si>
  <si>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</si>
  <si>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</si>
  <si>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</si>
  <si>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</si>
  <si>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</si>
  <si>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</si>
  <si>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</si>
  <si>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</si>
  <si>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</si>
  <si>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</si>
  <si>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</si>
  <si>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</si>
  <si>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</si>
  <si>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</si>
  <si>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</si>
  <si>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</si>
  <si>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</si>
  <si>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</si>
  <si>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</si>
  <si>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</si>
  <si>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</si>
  <si>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</si>
  <si>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</si>
  <si>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</si>
  <si>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</si>
  <si>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</si>
  <si>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</si>
  <si>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</si>
  <si>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</si>
  <si>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</si>
  <si>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</si>
  <si>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</si>
  <si>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</si>
  <si>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</si>
  <si>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</si>
  <si>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</si>
  <si>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</si>
  <si>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</si>
  <si>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</si>
  <si>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</si>
  <si>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</si>
  <si>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</si>
  <si>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</si>
  <si>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</si>
  <si>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</si>
  <si>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</si>
  <si>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</si>
  <si>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</si>
  <si>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</si>
  <si>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</si>
  <si>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</si>
  <si>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</si>
  <si>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</si>
  <si>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</si>
  <si>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</si>
  <si>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</si>
  <si>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</si>
  <si>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</si>
  <si>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</si>
  <si>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</si>
  <si>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</si>
  <si>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</si>
  <si>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</si>
  <si>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</si>
  <si>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</si>
  <si>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</si>
  <si>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</si>
  <si>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</si>
  <si>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</si>
  <si>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</si>
  <si>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</si>
  <si>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</si>
  <si>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</si>
  <si>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</si>
  <si>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</si>
  <si>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</si>
  <si>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</si>
  <si>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</si>
  <si>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</si>
  <si>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</si>
  <si>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</si>
  <si>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</si>
  <si>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</si>
  <si>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</si>
  <si>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</si>
  <si>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</si>
  <si>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</si>
  <si>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</si>
  <si>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</si>
  <si>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</si>
  <si>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</si>
  <si>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</si>
  <si>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</si>
  <si>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</si>
  <si>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</si>
  <si>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</si>
  <si>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</si>
  <si>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</si>
  <si>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</si>
  <si>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</si>
  <si>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</si>
  <si>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</si>
  <si>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</si>
  <si>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</si>
  <si>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</si>
  <si>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</si>
  <si>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</si>
  <si>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</si>
  <si>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</si>
  <si>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</si>
  <si>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</si>
  <si>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</si>
  <si>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</si>
  <si>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</si>
  <si>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</si>
  <si>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</si>
  <si>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</si>
  <si>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</si>
  <si>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</si>
  <si>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</si>
  <si>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</si>
  <si>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</si>
  <si>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</si>
  <si>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</si>
  <si>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</si>
  <si>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</si>
  <si>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</si>
  <si>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</si>
  <si>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</si>
  <si>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</si>
  <si>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</si>
  <si>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</si>
  <si>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</si>
  <si>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</si>
  <si>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</si>
  <si>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</si>
  <si>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</si>
  <si>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</si>
  <si>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</si>
  <si>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</si>
  <si>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</si>
  <si>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</si>
  <si>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</si>
  <si>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</si>
  <si>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</si>
  <si>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</si>
  <si>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</si>
  <si>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</si>
  <si>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</si>
  <si>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</si>
  <si>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</si>
  <si>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</si>
  <si>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</si>
  <si>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</si>
  <si>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</si>
  <si>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</si>
  <si>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</si>
  <si>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</si>
  <si>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</si>
  <si>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</si>
  <si>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</si>
  <si>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</si>
  <si>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</si>
  <si>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</si>
  <si>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</si>
  <si>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</si>
  <si>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</si>
  <si>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</si>
  <si>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</si>
  <si>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</si>
  <si>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</si>
  <si>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</si>
  <si>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</si>
  <si>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</si>
  <si>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</si>
  <si>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</si>
  <si>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</si>
  <si>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</si>
  <si>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</si>
  <si>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</si>
  <si>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</si>
  <si>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</si>
  <si>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</si>
  <si>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</si>
  <si>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</si>
  <si>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</si>
  <si>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</si>
  <si>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</si>
  <si>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</si>
  <si>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</si>
  <si>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</si>
  <si>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</si>
  <si>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</si>
  <si>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</si>
  <si>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</si>
  <si>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</si>
  <si>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</si>
  <si>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</si>
  <si>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</si>
  <si>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</si>
  <si>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</si>
  <si>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</si>
  <si>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</si>
  <si>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</si>
  <si>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</si>
  <si>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</si>
  <si>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</si>
  <si>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</si>
  <si>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</si>
  <si>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</si>
  <si>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</si>
  <si>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</si>
  <si>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</si>
  <si>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</si>
  <si>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</si>
  <si>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</si>
  <si>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B3SA3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</si>
  <si>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</si>
  <si>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</si>
  <si>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</si>
  <si>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</si>
  <si>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</si>
  <si>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</si>
  <si>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</si>
  <si>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</si>
  <si>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</si>
  <si>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</si>
  <si>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</si>
  <si>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</si>
  <si>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</si>
  <si>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</si>
  <si>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</si>
  <si>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</si>
  <si>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</si>
  <si>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</si>
  <si>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</si>
  <si>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</si>
  <si>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</si>
  <si>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</si>
  <si>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</si>
  <si>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</si>
  <si>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</si>
  <si>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</si>
  <si>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</si>
  <si>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</si>
  <si>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</si>
  <si>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</si>
  <si>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</si>
  <si>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</si>
  <si>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</si>
  <si>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</si>
  <si>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</si>
  <si>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</si>
  <si>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</si>
  <si>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</si>
  <si>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</si>
  <si>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</si>
  <si>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</si>
  <si>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</si>
  <si>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</si>
  <si>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</si>
  <si>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</si>
  <si>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</si>
  <si>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</si>
  <si>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</si>
  <si>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</si>
  <si>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</si>
  <si>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</si>
  <si>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</si>
  <si>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</si>
  <si>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</si>
  <si>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</si>
  <si>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</si>
  <si>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</si>
  <si>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P90</t>
  </si>
  <si>
    <t>NFLX US 03/20/26 P80</t>
  </si>
  <si>
    <t>NFLX US 03/20/26 C105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</si>
  <si>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</si>
  <si>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</si>
  <si>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</si>
  <si>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</si>
  <si>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</si>
  <si>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</si>
  <si>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</si>
  <si>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</si>
  <si>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</si>
  <si>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</si>
  <si>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</si>
  <si>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</si>
  <si>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</si>
  <si>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</si>
  <si>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</si>
  <si>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</si>
  <si>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</si>
  <si>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</si>
  <si>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</si>
  <si>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</si>
  <si>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</si>
  <si>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</si>
  <si>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</si>
  <si>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</si>
  <si>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</si>
  <si>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</si>
  <si>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</si>
  <si>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</si>
  <si>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</si>
  <si>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</si>
  <si>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</si>
  <si>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</si>
  <si>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</si>
  <si>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</si>
  <si>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</si>
  <si>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</si>
  <si>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</si>
  <si>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</si>
  <si>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</si>
  <si>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</si>
  <si>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</si>
  <si>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</si>
  <si>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</si>
  <si>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</si>
  <si>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</si>
  <si>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</si>
  <si>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</si>
  <si>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</si>
  <si>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</si>
  <si>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</si>
  <si>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B3SA3 16/01/26 P13.77 OTC</t>
  </si>
  <si>
    <t>PETR4 16/01/26 C31.87 OTC</t>
  </si>
  <si>
    <t>PETR4 Equity</t>
  </si>
  <si>
    <t>BIDU</t>
  </si>
  <si>
    <t>PETR4 16/01/26 C30.37 OTC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</si>
  <si>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</si>
  <si>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</si>
  <si>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</si>
  <si>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</si>
  <si>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</si>
  <si>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</si>
  <si>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</si>
  <si>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</si>
  <si>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</si>
  <si>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</si>
  <si>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</si>
  <si>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</si>
  <si>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</si>
  <si>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</si>
  <si>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</si>
  <si>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</si>
  <si>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</si>
  <si>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</si>
  <si>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</si>
  <si>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</si>
  <si>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</si>
  <si>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</si>
  <si>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</si>
  <si>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</si>
  <si>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</si>
  <si>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</si>
  <si>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</si>
  <si>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</si>
  <si>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</si>
  <si>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</si>
  <si>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</si>
  <si>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</si>
  <si>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</si>
  <si>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</si>
  <si>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</si>
  <si>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</si>
  <si>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</si>
  <si>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</si>
  <si>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</si>
  <si>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</si>
  <si>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</si>
  <si>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</si>
  <si>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</si>
  <si>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</si>
  <si>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</si>
  <si>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</si>
  <si>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</si>
  <si>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</si>
  <si>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</si>
  <si>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</si>
  <si>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</si>
  <si>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</si>
  <si>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</si>
  <si>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</si>
  <si>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</si>
  <si>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</si>
  <si>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</si>
  <si>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</si>
  <si>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</si>
  <si>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</si>
  <si>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</si>
  <si>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</si>
  <si>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</si>
  <si>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13.77</t>
  </si>
  <si>
    <t>31.87</t>
  </si>
  <si>
    <t>30.37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</si>
  <si>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</si>
  <si>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</si>
  <si>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</si>
  <si>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</si>
  <si>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</si>
  <si>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</si>
  <si>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</si>
  <si>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</si>
  <si>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</si>
  <si>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</si>
  <si>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</si>
  <si>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</si>
  <si>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</si>
  <si>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</si>
  <si>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</si>
  <si>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</si>
  <si>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</si>
  <si>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</si>
  <si>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</si>
  <si>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</si>
  <si>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</si>
  <si>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</si>
  <si>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</si>
  <si>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</si>
  <si>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</si>
  <si>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</si>
  <si>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</si>
  <si>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W US 05/15/26 C125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</si>
  <si>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</si>
  <si>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</si>
  <si>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</si>
  <si>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</si>
  <si>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</si>
  <si>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</si>
  <si>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</si>
  <si>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</si>
  <si>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</si>
  <si>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</si>
  <si>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</si>
  <si>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</si>
  <si>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</si>
  <si>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</si>
  <si>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</si>
  <si>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ASML US 01/23/26 P1200</t>
  </si>
  <si>
    <t>ASML US 01/23/26 P1100</t>
  </si>
  <si>
    <t>AMAT US 01/23/26 P280</t>
  </si>
  <si>
    <t>AMAT US 01/23/26 P290</t>
  </si>
  <si>
    <t>Internet/SW</t>
  </si>
  <si>
    <t>AMAT US 01/23/26 P290 Equity</t>
  </si>
  <si>
    <t>AMAT US Equity</t>
  </si>
  <si>
    <t>290</t>
  </si>
  <si>
    <t>AMAT US 01/23/26 P280 Equity</t>
  </si>
  <si>
    <t>280</t>
  </si>
  <si>
    <t>Pairs</t>
  </si>
  <si>
    <t>QQQ US 01/16/26 C635</t>
  </si>
  <si>
    <t>QQQ US 01/16/26 C633</t>
  </si>
  <si>
    <t>QQQ US 01/16/26 P622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</si>
  <si>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</si>
  <si>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</si>
  <si>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</si>
  <si>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</si>
  <si>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</si>
  <si>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</si>
  <si>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</si>
  <si>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</si>
  <si>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</si>
  <si>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</si>
  <si>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</si>
  <si>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1OG6P 25000</t>
  </si>
  <si>
    <t>GDX US 09/18/26 C105</t>
  </si>
  <si>
    <t>GDX US 09/18/26 C115</t>
  </si>
  <si>
    <t>1OG6P 24700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</si>
  <si>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</si>
  <si>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</si>
  <si>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</si>
  <si>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</si>
  <si>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</si>
  <si>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</si>
  <si>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</si>
  <si>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NASDAQ-100 E-mini Options - CME</t>
  </si>
  <si>
    <t>DELL DIVIDEND_</t>
  </si>
  <si>
    <t>Provision EUR Equity EUR_</t>
  </si>
  <si>
    <t>Provision Total Return Swap USD_</t>
  </si>
  <si>
    <t>000660 KP</t>
  </si>
  <si>
    <t>SNDK US 02/20/26 C500</t>
  </si>
  <si>
    <t>MRVL US 03/20/26 P70</t>
  </si>
  <si>
    <t>SNDK</t>
  </si>
  <si>
    <t>QQQ US 01/21/26 P616</t>
  </si>
  <si>
    <t>QQQ US 01/23/26 P615</t>
  </si>
  <si>
    <t>QQQ US 01/21/26 P614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</si>
  <si>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</si>
  <si>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</si>
  <si>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</si>
  <si>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</si>
  <si>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</si>
  <si>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</si>
  <si>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</si>
  <si>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</si>
  <si>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</si>
  <si>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</si>
  <si>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</si>
  <si>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QQQ US 01/26/26 C627</t>
  </si>
  <si>
    <t>QQQ US 01/26/26 C630</t>
  </si>
  <si>
    <t>QQQ US 01/26/26 P615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</si>
  <si>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</si>
  <si>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</si>
  <si>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</si>
  <si>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</si>
  <si>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</si>
  <si>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</si>
  <si>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</si>
  <si>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Provision CME USD_</t>
  </si>
  <si>
    <t>SWAP 000660 KP 23JAN2026 25JAN2027 509.6192</t>
  </si>
  <si>
    <t>COPX US 04/17/26 C95</t>
  </si>
  <si>
    <t>COPX US 07/17/26 C85</t>
  </si>
  <si>
    <t>COPX US 07/17/26 C95</t>
  </si>
  <si>
    <t>NVDA US 07/17/26 C195</t>
  </si>
  <si>
    <t>META US 07/17/26 C680</t>
  </si>
  <si>
    <t>QQQ US 02/06/26 P616</t>
  </si>
  <si>
    <t>QQQ US 02/06/26 C630</t>
  </si>
  <si>
    <t>META US 02/27/26 C660</t>
  </si>
  <si>
    <t>INTC US 01/23/26 C60</t>
  </si>
  <si>
    <t>QQQ US 01/26/26 P615 Equity</t>
  </si>
  <si>
    <t>615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</si>
  <si>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</si>
  <si>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</si>
  <si>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</si>
  <si>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</si>
  <si>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</si>
  <si>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</si>
  <si>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</si>
  <si>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</si>
  <si>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</si>
  <si>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</si>
  <si>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</si>
  <si>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</si>
  <si>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</si>
  <si>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</si>
  <si>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</si>
  <si>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</si>
  <si>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</si>
  <si>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</si>
  <si>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</si>
  <si>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</si>
  <si>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</si>
  <si>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</si>
  <si>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</si>
  <si>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</si>
  <si>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</si>
  <si>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</si>
  <si>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</si>
  <si>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</si>
  <si>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CRDO</t>
  </si>
  <si>
    <t>KOSPI 200 Index Options - KRX</t>
  </si>
  <si>
    <t>Provision Korea Exchange USD_</t>
  </si>
  <si>
    <t>SWAP 000660 KS 26JAN2026 26JAN2027 509.6192</t>
  </si>
  <si>
    <t>INTC US 07/17/26 P40</t>
  </si>
  <si>
    <t>INTC US 07/17/26 C50</t>
  </si>
  <si>
    <t>INTC US 07/17/26 C60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</si>
</sst>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6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</fonts>
  <fills count="9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</borders>
  <cellStyleXfs count="546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538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71" fontId="0" fillId="2" borderId="0" xfId="190" applyNumberFormat="1" applyFont="1" applyFill="1"/>
    <xf numFmtId="182" fontId="2" fillId="91" borderId="0" xfId="0" applyNumberFormat="1" applyFont="1" applyFill="1" applyAlignment="1">
      <alignment horizontal="center"/>
    </xf>
    <xf numFmtId="14" fontId="15" fillId="3" borderId="0" xfId="0" applyNumberFormat="1" applyFont="1" applyFill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0" fontId="15" fillId="0" borderId="0" xfId="0" quotePrefix="1" applyFont="1"/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0" fontId="86" fillId="0" borderId="0" xfId="0" applyFont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3" fontId="0" fillId="2" borderId="0" xfId="190" applyNumberFormat="1" applyFont="1" applyFill="1" applyAlignment="1">
      <alignment horizontal="center"/>
    </xf>
    <xf numFmtId="173" fontId="0" fillId="2" borderId="0" xfId="1" applyNumberFormat="1" applyFont="1" applyFill="1"/>
    <xf numFmtId="10" fontId="0" fillId="2" borderId="1" xfId="1" applyNumberFormat="1" applyFont="1" applyFill="1" applyBorder="1"/>
    <xf numFmtId="166" fontId="0" fillId="2" borderId="0" xfId="0" applyNumberFormat="1" applyFill="1" applyAlignment="1">
      <alignment horizontal="right"/>
    </xf>
    <xf numFmtId="170" fontId="0" fillId="2" borderId="1" xfId="190" applyNumberFormat="1" applyFont="1" applyFill="1" applyBorder="1"/>
    <xf numFmtId="166" fontId="0" fillId="2" borderId="0" xfId="0" applyNumberFormat="1" applyFill="1"/>
    <xf numFmtId="170" fontId="0" fillId="2" borderId="0" xfId="1" applyNumberFormat="1" applyFont="1" applyFill="1"/>
    <xf numFmtId="170" fontId="0" fillId="2" borderId="0" xfId="190" applyNumberFormat="1" applyFont="1" applyFill="1" applyBorder="1"/>
    <xf numFmtId="166" fontId="0" fillId="2" borderId="1" xfId="190" applyNumberFormat="1" applyFont="1" applyFill="1" applyBorder="1"/>
    <xf numFmtId="198" fontId="0" fillId="2" borderId="0" xfId="1" applyNumberFormat="1" applyFont="1" applyFill="1"/>
    <xf numFmtId="3" fontId="0" fillId="2" borderId="0" xfId="190" applyNumberFormat="1" applyFont="1" applyFill="1"/>
    <xf numFmtId="43" fontId="0" fillId="2" borderId="19" xfId="190" applyNumberFormat="1" applyFont="1" applyFill="1" applyBorder="1" applyAlignment="1">
      <alignment horizontal="right"/>
    </xf>
    <xf numFmtId="196" fontId="0" fillId="2" borderId="0" xfId="0" applyNumberFormat="1" applyFill="1"/>
    <xf numFmtId="10" fontId="0" fillId="2" borderId="0" xfId="1" applyNumberFormat="1" applyFont="1" applyFill="1" applyBorder="1"/>
    <xf numFmtId="166" fontId="0" fillId="14" borderId="0" xfId="0" applyNumberFormat="1" applyFill="1" applyAlignment="1">
      <alignment horizontal="right"/>
    </xf>
    <xf numFmtId="3" fontId="0" fillId="14" borderId="0" xfId="190" applyNumberFormat="1" applyFont="1" applyFill="1"/>
    <xf numFmtId="170" fontId="0" fillId="14" borderId="1" xfId="190" applyNumberFormat="1" applyFont="1" applyFill="1" applyBorder="1"/>
    <xf numFmtId="4" fontId="86" fillId="14" borderId="0" xfId="190" applyFont="1" applyFill="1"/>
    <xf numFmtId="4" fontId="15" fillId="95" borderId="18" xfId="190" applyFont="1" applyFill="1" applyBorder="1" applyAlignment="1">
      <alignment horizontal="center"/>
    </xf>
    <xf numFmtId="172" fontId="0" fillId="14" borderId="0" xfId="1" applyNumberFormat="1" applyFont="1" applyFill="1"/>
    <xf numFmtId="0" fontId="0" fillId="14" borderId="0" xfId="0" applyFill="1"/>
    <xf numFmtId="0" fontId="0" fillId="14" borderId="0" xfId="0" applyFill="1" applyAlignment="1">
      <alignment horizontal="center"/>
    </xf>
    <xf numFmtId="166" fontId="0" fillId="14" borderId="0" xfId="190" applyNumberFormat="1" applyFont="1" applyFill="1"/>
    <xf numFmtId="43" fontId="0" fillId="14" borderId="0" xfId="190" applyNumberFormat="1" applyFont="1" applyFill="1"/>
    <xf numFmtId="10" fontId="0" fillId="14" borderId="1" xfId="1" applyNumberFormat="1" applyFont="1" applyFill="1" applyBorder="1"/>
    <xf numFmtId="43" fontId="0" fillId="14" borderId="19" xfId="190" applyNumberFormat="1" applyFont="1" applyFill="1" applyBorder="1" applyAlignment="1">
      <alignment horizontal="right"/>
    </xf>
    <xf numFmtId="168" fontId="0" fillId="14" borderId="0" xfId="190" applyNumberFormat="1" applyFont="1" applyFill="1"/>
    <xf numFmtId="166" fontId="0" fillId="14" borderId="1" xfId="190" applyNumberFormat="1" applyFont="1" applyFill="1" applyBorder="1"/>
    <xf numFmtId="198" fontId="0" fillId="14" borderId="0" xfId="1" applyNumberFormat="1" applyFont="1" applyFill="1"/>
    <xf numFmtId="10" fontId="0" fillId="14" borderId="0" xfId="1" applyNumberFormat="1" applyFont="1" applyFill="1"/>
    <xf numFmtId="166" fontId="0" fillId="14" borderId="0" xfId="0" applyNumberFormat="1" applyFill="1"/>
    <xf numFmtId="173" fontId="0" fillId="14" borderId="0" xfId="1" applyNumberFormat="1" applyFont="1" applyFill="1"/>
    <xf numFmtId="3" fontId="0" fillId="14" borderId="0" xfId="190" applyNumberFormat="1" applyFont="1" applyFill="1" applyAlignment="1">
      <alignment horizontal="center"/>
    </xf>
    <xf numFmtId="170" fontId="0" fillId="14" borderId="0" xfId="1" applyNumberFormat="1" applyFont="1" applyFill="1"/>
    <xf numFmtId="4" fontId="0" fillId="14" borderId="0" xfId="190" applyFont="1" applyFill="1"/>
    <xf numFmtId="170" fontId="0" fillId="14" borderId="0" xfId="190" applyNumberFormat="1" applyFont="1" applyFill="1" applyBorder="1"/>
    <xf numFmtId="10" fontId="0" fillId="14" borderId="0" xfId="1" applyNumberFormat="1" applyFont="1" applyFill="1" applyBorder="1"/>
    <xf numFmtId="196" fontId="0" fillId="14" borderId="0" xfId="0" applyNumberFormat="1" applyFill="1"/>
    <xf numFmtId="4" fontId="28" fillId="14" borderId="0" xfId="190" applyFont="1" applyFill="1"/>
    <xf numFmtId="9" fontId="0" fillId="14" borderId="0" xfId="1" applyFont="1" applyFill="1"/>
    <xf numFmtId="170" fontId="1" fillId="14" borderId="0" xfId="190" applyNumberFormat="1" applyFont="1" applyFill="1"/>
    <xf numFmtId="43" fontId="0" fillId="14" borderId="0" xfId="190" quotePrefix="1" applyNumberFormat="1" applyFont="1" applyFill="1"/>
    <xf numFmtId="4" fontId="1" fillId="14" borderId="0" xfId="190" applyFont="1" applyFill="1" applyAlignment="1">
      <alignment horizontal="right"/>
    </xf>
    <xf numFmtId="167" fontId="0" fillId="14" borderId="0" xfId="190" applyNumberFormat="1" applyFont="1" applyFill="1"/>
    <xf numFmtId="170" fontId="0" fillId="14" borderId="0" xfId="190" applyNumberFormat="1" applyFont="1" applyFill="1"/>
    <xf numFmtId="171" fontId="0" fillId="14" borderId="0" xfId="190" applyNumberFormat="1" applyFont="1" applyFill="1"/>
    <xf numFmtId="172" fontId="0" fillId="14" borderId="0" xfId="0" applyNumberFormat="1" applyFill="1"/>
    <xf numFmtId="169" fontId="0" fillId="14" borderId="0" xfId="190" applyNumberFormat="1" applyFont="1" applyFill="1"/>
    <xf numFmtId="2" fontId="0" fillId="14" borderId="0" xfId="0" applyNumberFormat="1" applyFill="1"/>
    <xf numFmtId="2" fontId="15" fillId="95" borderId="18" xfId="0" applyNumberFormat="1" applyFont="1" applyFill="1" applyBorder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15" fillId="0" borderId="0" xfId="0" applyFont="1" applyAlignment="1">
      <alignment horizontal="left"/>
    </xf>
    <xf numFmtId="0" fontId="3" fillId="92" borderId="49" xfId="0" applyFont="1" applyFill="1" applyBorder="1" applyAlignment="1">
      <alignment horizontal="center"/>
    </xf>
    <xf numFmtId="170" fontId="90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left"/>
    </xf>
    <xf numFmtId="172" fontId="89" fillId="0" borderId="0" xfId="0" applyNumberFormat="1" applyFont="1" applyFill="1" applyAlignment="1"/>
    <xf numFmtId="10" fontId="89" fillId="0" borderId="0" xfId="0" applyNumberFormat="1" applyFont="1" applyFill="1" applyAlignment="1"/>
    <xf numFmtId="0" fontId="89" fillId="0" borderId="0" xfId="0" applyFont="1" applyFill="1" applyAlignment="1">
      <alignment horizontal="left" indent="1"/>
    </xf>
    <xf numFmtId="170" fontId="89" fillId="0" borderId="0" xfId="0" applyNumberFormat="1" applyFont="1" applyFill="1" applyAlignment="1"/>
    <xf numFmtId="10" fontId="89" fillId="0" borderId="0" xfId="0" applyNumberFormat="1" applyFont="1" applyFill="1" applyAlignment="1">
      <alignment horizontal="center" vertical="center" wrapText="1"/>
    </xf>
    <xf numFmtId="0" fontId="89" fillId="0" borderId="0" xfId="0" applyFont="1" applyFill="1" applyAlignment="1">
      <alignment horizontal="center" vertical="center" wrapText="1"/>
    </xf>
  </cellXfs>
  <cellStyles count="5466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2"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USD</v>
        <stp/>
        <stp>BDP|1450739568463243609|22</stp>
        <stp>INTC US 01/23/26 C60 Equity</stp>
        <stp>QUOTED_CURRENCY_REALTIME</stp>
        <tr r="F39" s="89"/>
      </tp>
      <tp>
        <v>26749.51</v>
        <stp/>
        <stp>BDP|17098946093906753306|22</stp>
        <stp>HSI Index</stp>
        <stp>LAST_PRICE</stp>
        <tr r="H18" s="252"/>
        <tr r="H18" s="252"/>
      </tp>
      <tp>
        <v>402.17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F63" s="89"/>
        <tr r="G17" s="2"/>
      </tp>
      <tp>
        <v>0.4887097179889679</v>
        <stp/>
        <stp>BDP|17313826581786805603|22</stp>
        <stp>AMZN US 07/17/26 C250 Equity</stp>
        <stp>DELTA_MID_RT</stp>
        <tr r="W234" s="89"/>
      </tp>
      <tp>
        <v>0.05</v>
        <stp/>
        <stp>BDP|6734297528663565888|22</stp>
        <stp>AMAT US 01/23/26 P290 Equity</stp>
        <stp>mid</stp>
        <tr r="L4" s="2"/>
      </tp>
      <tp t="s">
        <v>#N/A Real Time</v>
        <stp/>
        <stp>BDP|9106857053131827566|22</stp>
        <stp>SPXW US 12/31/25 C6950 Index</stp>
        <stp>DELTA_MID_RT</stp>
        <tr r="W160" s="89"/>
      </tp>
      <tp>
        <v>0.44001784920692444</v>
        <stp/>
        <stp>BDP|16080044180315030458|22</stp>
        <stp>META US 04/17/26 C690 Equity</stp>
        <stp>DELTA_MID_RT</stp>
        <tr r="AF12" s="2"/>
        <tr r="W170" s="89"/>
      </tp>
      <tp>
        <v>0.06</v>
        <stp/>
        <stp>BDP|9946810605715956638|22</stp>
        <stp>AMAT US 01/23/26 P280 Equity</stp>
        <stp>ask</stp>
        <tr r="Q5" s="2"/>
        <tr r="L56" s="89"/>
      </tp>
      <tp t="s">
        <v>#N/A Real Time</v>
        <stp/>
        <stp>BDP|4173700437419483715|22</stp>
        <stp>IMBWK5C4 5880 Index</stp>
        <stp>bid</stp>
        <tr r="K90" s="89"/>
      </tp>
      <tp>
        <v>0.01</v>
        <stp/>
        <stp>BDP|1660304564695201690|22</stp>
        <stp>AMAT US 01/23/26 P290 Equity</stp>
        <stp>bid</stp>
        <tr r="P4" s="2"/>
        <tr r="K55" s="89"/>
      </tp>
      <tp>
        <v>39.1</v>
        <stp/>
        <stp>BDP|3303812229576852028|22</stp>
        <stp>MSFT US 07/17/26 C465 Equity</stp>
        <stp>ask</stp>
        <tr r="Q18" s="2"/>
      </tp>
      <tp t="s">
        <v>USD</v>
        <stp/>
        <stp>BDP|6836574577411751820|22</stp>
        <stp>MRVL US 03/20/26 P75 Equity</stp>
        <stp>QUOTED_CURRENCY_REALTIME</stp>
        <tr r="G15" s="2"/>
      </tp>
      <tp>
        <v>10.45</v>
        <stp/>
        <stp>BDP|6325338273908007494|22</stp>
        <stp>W US 05/15/26 C125 Equity</stp>
        <stp>bid</stp>
        <tr r="K40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36.35</v>
        <stp/>
        <stp>BDP|5846012848698429799|22</stp>
        <stp>MSFT US 07/17/26 C470 Equity</stp>
        <stp>bid</stp>
        <tr r="K235" s="89"/>
      </tp>
      <tp>
        <v>0.52350008487701416</v>
        <stp/>
        <stp>BDP|11737212965379664006|22</stp>
        <stp>META US 07/17/26 C680 Equity</stp>
        <stp>DELTA_MID_RT</stp>
        <tr r="W233" s="89"/>
      </tp>
      <tp t="s">
        <v>USD</v>
        <stp/>
        <stp>BDP|18302061383042043751|22</stp>
        <stp>1OG6P 24700 Index</stp>
        <stp>QUOTED_CURRENCY_REALTIME</stp>
        <tr r="F153" s="89"/>
      </tp>
      <tp>
        <v>0.52390956878662109</v>
        <stp/>
        <stp>BDP|15462594640836016524|22</stp>
        <stp>AMZN US 07/17/26 C245 Equity</stp>
        <stp>DELTA_MID_RT</stp>
        <tr r="AF6" s="2"/>
      </tp>
      <tp>
        <v>-0.10332006961107254</v>
        <stp/>
        <stp>BDP|2162853239863021436|22</stp>
        <stp>TSM US 06/18/26 C380 Equity</stp>
        <stp>theta_mid_rt</stp>
        <tr r="AN23" s="2"/>
      </tp>
      <tp>
        <v>0.5214880108833313</v>
        <stp/>
        <stp>BDP|10012779820456568860|22</stp>
        <stp>META US 02/27/26 C660 Equity</stp>
        <stp>DELTA_MID_RT</stp>
        <tr r="W180" s="89"/>
      </tp>
      <tp>
        <v>28.88</v>
        <stp/>
        <stp>BDP|4238048935133024019|22</stp>
        <stp>AVGO US 06/18/26 C350 Equity</stp>
        <stp>mid</stp>
        <tr r="L8" s="2"/>
      </tp>
      <tp t="s">
        <v>#N/A N/A</v>
        <stp/>
        <stp>BDP|7439765758104486583|22</stp>
        <stp>AMAT US 01/23/26 P280 Equity</stp>
        <stp>bid</stp>
        <tr r="P5" s="2"/>
        <tr r="K56" s="89"/>
      </tp>
      <tp>
        <v>16.5</v>
        <stp/>
        <stp>BDP|8422052474652011417|22</stp>
        <stp>META US 04/17/26 P590 Equity</stp>
        <stp>bid</stp>
        <tr r="K171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>
        <v>11.8</v>
        <stp/>
        <stp>BDP|1494523756144102558|22</stp>
        <stp>W US 05/15/26 C125 Equity</stp>
        <stp>ask</stp>
        <tr r="L40" s="89"/>
      </tp>
      <tp t="s">
        <v>#N/A Real Time</v>
        <stp/>
        <stp>BDP|2533983096932488351|22</stp>
        <stp>RTYWU5C3 2425 Index</stp>
        <stp>bid</stp>
        <tr r="K144" s="89"/>
      </tp>
      <tp>
        <v>53.14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0.21080794930458069</v>
        <stp/>
        <stp>BDP|14091170888152008254|22</stp>
        <stp>ASHR US 02/20/26 C35 Equity</stp>
        <stp>DELTA_MID_RT</stp>
        <tr r="AF7" s="2"/>
      </tp>
      <tp t="s">
        <v>#N/A Real Time</v>
        <stp/>
        <stp>BDP|3350828662352011280|22</stp>
        <stp>RFSWZ4C3 2360 Index</stp>
        <stp>ask</stp>
        <tr r="L122" s="89"/>
      </tp>
      <tp>
        <v>-0.27288761734962463</v>
        <stp/>
        <stp>BDP|17295184878350823401|22</stp>
        <stp>INTC US 07/17/26 P40 Equity</stp>
        <stp>DELTA_MID_RT</stp>
        <tr r="W197" s="89"/>
      </tp>
      <tp>
        <v>465.39499999999998</v>
        <stp/>
        <stp>BDP|274803756834169207|22</stp>
        <stp>MSFT EQUITY</stp>
        <stp>LAST_PRICE</stp>
        <tr r="C7" s="1"/>
      </tp>
      <tp>
        <v>-0.22708186507225037</v>
        <stp/>
        <stp>BDP|864859914045185424|22</stp>
        <stp>1OG6P 25000 Index</stp>
        <stp>DELTA_MID_RT</stp>
        <tr r="W154" s="89"/>
      </tp>
      <tp t="s">
        <v>#N/A Real Time</v>
        <stp/>
        <stp>BDP|2891447407704048860|22</stp>
        <stp>IMBWK5C4 5840 Index</stp>
        <stp>bid</stp>
        <tr r="K89" s="89"/>
      </tp>
      <tp t="s">
        <v>USD</v>
        <stp/>
        <stp>BDP|6256704095836032074|22</stp>
        <stp>INTC US 07/17/26 C50 Equity</stp>
        <stp>QUOTED_CURRENCY_REALTIME</stp>
        <tr r="F196" s="89"/>
      </tp>
      <tp t="s">
        <v>USD</v>
        <stp/>
        <stp>BDP|7525271008399615963|22</stp>
        <stp>MRVL US 03/20/26 P80 Equity</stp>
        <stp>QUOTED_CURRENCY_REALTIME</stp>
        <tr r="F62" s="89"/>
        <tr r="G16" s="2"/>
      </tp>
      <tp>
        <v>-0.62737232446670532</v>
        <stp/>
        <stp>BDP|14063713080232141765|22</stp>
        <stp>NFLX US 03/20/26 P90 Equity</stp>
        <stp>DELTA_MID_RT</stp>
        <tr r="W187" s="89"/>
      </tp>
      <tp>
        <v>68.92</v>
        <stp/>
        <stp>BDP|3505174117914270567|22</stp>
        <stp>KRE Equity</stp>
        <stp>LAST PRICE</stp>
        <tr r="I54" s="338"/>
      </tp>
      <tp>
        <v>0.39560624957084656</v>
        <stp/>
        <stp>BDP|18353628177462926305|22</stp>
        <stp>LITE US 02/20/26 C400 Equity</stp>
        <stp>DELTA_MID_RT</stp>
        <tr r="W7" s="89"/>
      </tp>
      <tp>
        <v>267.10000000000002</v>
        <stp/>
        <stp>BDP|9630309169962502325|22</stp>
        <stp>IWM Equity</stp>
        <stp>LAST PRICE</stp>
        <tr r="I48" s="338"/>
        <tr r="I49" s="338"/>
      </tp>
      <tp t="s">
        <v>#N/A Requesting Data...2149747643</v>
        <stp/>
        <stp>BDP|15582332073698885344</stp>
        <tr r="G19" s="446"/>
      </tp>
      <tp t="s">
        <v>#N/A Requesting Data...1617366258</v>
        <stp/>
        <stp>BDP|18146375769712507536</stp>
        <tr r="E2" s="1"/>
        <tr r="K28" s="1"/>
      </tp>
      <tp t="s">
        <v>#N/A Requesting Data...3718364033</v>
        <stp/>
        <stp>BDP|13135230879275111937</stp>
        <tr r="AJ12" s="338"/>
      </tp>
      <tp t="s">
        <v>#N/A Requesting Data...2469832402</v>
        <stp/>
        <stp>BDP|17278629169738623577</stp>
        <tr r="N19" s="252"/>
        <tr r="N19" s="252"/>
      </tp>
      <tp t="s">
        <v>#N/A Requesting Data...3211835013</v>
        <stp/>
        <stp>BDP|13861516293945551079</stp>
        <tr r="AI21" s="1"/>
      </tp>
      <tp t="s">
        <v>#N/A Requesting Data...3044918094</v>
        <stp/>
        <stp>BDP|16146200554279689285</stp>
        <tr r="O211" s="89"/>
      </tp>
      <tp t="s">
        <v>#N/A Requesting Data...2283280034</v>
        <stp/>
        <stp>BDP|15581562198526337530</stp>
        <tr r="AK12" s="338"/>
      </tp>
      <tp t="s">
        <v>#N/A Requesting Data...1566407729</v>
        <stp/>
        <stp>BDP|15965427905903655822</stp>
        <tr r="AA39" s="89"/>
        <tr r="Z39" s="89"/>
      </tp>
      <tp t="s">
        <v>#N/A Requesting Data...3359558624</v>
        <stp/>
        <stp>BDP|13286384604342093849</stp>
        <tr r="X45" s="338"/>
      </tp>
      <tp t="s">
        <v>#N/A Requesting Data...3698582975</v>
        <stp/>
        <stp>BDP|15717048336038730484</stp>
        <tr r="AD19" s="2"/>
      </tp>
      <tp t="s">
        <v>#N/A Requesting Data...1309717428</v>
        <stp/>
        <stp>BDP|16845320119919973779</stp>
        <tr r="D76" s="89"/>
      </tp>
      <tp t="s">
        <v>#N/A Requesting Data...2115307173</v>
        <stp/>
        <stp>BDP|16655732894056873458</stp>
        <tr r="D18" s="2"/>
      </tp>
      <tp t="s">
        <v>#N/A Requesting Data...2841709746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Data...2079169132</v>
        <stp/>
        <stp>BDP|18304888293894101754</stp>
        <tr r="S9" s="338"/>
      </tp>
      <tp t="s">
        <v>#N/A Requesting Data...4262235929</v>
        <stp/>
        <stp>BDP|10639276692284852548</stp>
        <tr r="F28" s="446"/>
      </tp>
      <tp t="s">
        <v>#N/A Requesting Data...2487256969</v>
        <stp/>
        <stp>BDP|10749518787913680498</stp>
        <tr r="G41" s="446"/>
      </tp>
      <tp t="s">
        <v>#N/A Requesting Data...3161085579</v>
        <stp/>
        <stp>BDP|15491877244086779510</stp>
        <tr r="C90" s="89"/>
      </tp>
      <tp t="s">
        <v>#N/A Requesting Data...1265043148</v>
        <stp/>
        <stp>BDP|15599576753428820781</stp>
        <tr r="O236" s="89"/>
      </tp>
      <tp t="s">
        <v>#N/A N/A</v>
        <stp/>
        <stp>BDP|15119105356728105374</stp>
        <tr r="AB55" s="89"/>
        <tr r="AB56" s="89"/>
        <tr r="AQ4" s="2"/>
        <tr r="AQ5" s="2"/>
      </tp>
      <tp t="s">
        <v>#N/A Requesting Data...3788685664</v>
        <stp/>
        <stp>BDP|18282109433921312121</stp>
        <tr r="AA212" s="89"/>
        <tr r="Z212" s="89"/>
      </tp>
      <tp t="s">
        <v>#N/A Requesting Data...1044107720</v>
        <stp/>
        <stp>BDP|12497145892616892699</stp>
        <tr r="D102" s="89"/>
      </tp>
      <tp t="s">
        <v>#N/A Requesting Data...3583089948</v>
        <stp/>
        <stp>BDP|14492417491683249054</stp>
        <tr r="AJ41" s="338"/>
        <tr r="AJ42" s="338"/>
      </tp>
      <tp t="s">
        <v>#N/A Requesting Data...2654989861</v>
        <stp/>
        <stp>BDP|13840950528096738417</stp>
        <tr r="L42" s="338"/>
        <tr r="J42" s="338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Data...2983193720</v>
        <stp/>
        <stp>BDP|10020321410941159965</stp>
        <tr r="S42" s="338"/>
      </tp>
      <tp t="s">
        <v>#N/A Requesting Data...2079949891</v>
        <stp/>
        <stp>BDP|11794748141588350041</stp>
        <tr r="AJ8" s="338"/>
        <tr r="AJ9" s="338"/>
      </tp>
      <tp t="s">
        <v>#N/A Requesting Data...1263494918</v>
        <stp/>
        <stp>BDP|17629987897674831958</stp>
        <tr r="AH16" s="338"/>
        <tr r="AH38" s="338"/>
        <tr r="AH40" s="338"/>
        <tr r="AJ16" s="338"/>
        <tr r="AJ38" s="338"/>
        <tr r="AJ40" s="338"/>
      </tp>
      <tp t="s">
        <v>#N/A Requesting Data...2664000286</v>
        <stp/>
        <stp>BDP|16757205954548058378</stp>
        <tr r="AI20" s="1"/>
      </tp>
      <tp t="s">
        <v>#N/A Requesting Data...3667015731</v>
        <stp/>
        <stp>BDP|16761382649589718257</stp>
        <tr r="F27" s="446"/>
      </tp>
      <tp t="s">
        <v>#N/A Requesting Data...1526413623</v>
        <stp/>
        <stp>BDP|18249467836816673335</stp>
        <tr r="Q32" s="338"/>
      </tp>
      <tp t="s">
        <v>#N/A Requesting Data...2220342578</v>
        <stp/>
        <stp>BDP|11629287799981255124</stp>
        <tr r="C68" s="89"/>
      </tp>
      <tp t="s">
        <v>#N/A Requesting Data...3863140820</v>
        <stp/>
        <stp>BDP|10560430593062313514</stp>
        <tr r="AG30" s="1"/>
      </tp>
      <tp t="s">
        <v>#N/A Requesting Data...3201165876</v>
        <stp/>
        <stp>BDP|13546818454494181070</stp>
        <tr r="AC30" s="1"/>
      </tp>
      <tp t="b">
        <v>0</v>
        <stp/>
        <stp>BDH|10097910716274795641</stp>
        <tr r="W18" s="252"/>
        <tr r="T18" s="252"/>
      </tp>
      <tp t="b">
        <v>0</v>
        <stp/>
        <stp>BDH|11551425818059006794</stp>
        <tr r="AU11" s="338"/>
      </tp>
      <tp t="s">
        <v>#N/A Real Time</v>
        <stp/>
        <stp>BDP|14244088115833890454|22</stp>
        <stp>SCH5C   6250 Index</stp>
        <stp>DELTA_MID_RT</stp>
        <tr r="W96" s="89"/>
      </tp>
      <tp>
        <v>0.51730060577392578</v>
        <stp/>
        <stp>BDP|11754717216942473893|22</stp>
        <stp>INTC US 07/17/26 C50 Equity</stp>
        <stp>DELTA_MID_RT</stp>
        <tr r="W196" s="89"/>
      </tp>
      <tp>
        <v>0.43840646743774414</v>
        <stp/>
        <stp>BDP|13328753895130576771|22</stp>
        <stp>SNDK US 02/20/26 C550 Equity</stp>
        <stp>DELTA_MID_RT</stp>
        <tr r="AF21" s="2"/>
      </tp>
      <tp>
        <v>0.26796475052833557</v>
        <stp/>
        <stp>BDP|15091267836171787049|22</stp>
        <stp>AVGO US 06/18/26 C410 Equity</stp>
        <stp>DELTA_MID_RT</stp>
        <tr r="W222" s="89"/>
      </tp>
      <tp>
        <v>28.9</v>
        <stp/>
        <stp>BDP|9892279240398643988|22</stp>
        <stp>AVGO US 06/18/26 P300 Equity</stp>
        <stp>bid</stp>
        <tr r="K224" s="89"/>
      </tp>
      <tp>
        <v>8.121982216835022E-2</v>
        <stp/>
        <stp>BDP|15345195851714362356|22</stp>
        <stp>NFLX US 03/20/26 C105 Equity</stp>
        <stp>DELTA_MID_RT</stp>
        <tr r="W186" s="89"/>
      </tp>
      <tp t="s">
        <v>#N/A Requesting Data...2099741678</v>
        <stp/>
        <stp>BDP|14708527546846978837</stp>
        <tr r="F22" s="446"/>
      </tp>
      <tp t="s">
        <v>#N/A N/A</v>
        <stp/>
        <stp>BDP|13428468905548973462</stp>
        <tr r="K1" s="2"/>
      </tp>
      <tp t="s">
        <v>#N/A Requesting Data...1945680098</v>
        <stp/>
        <stp>BDP|17382508591454336498</stp>
        <tr r="F10" s="446"/>
      </tp>
      <tp t="s">
        <v>#N/A Requesting Data...2653034921</v>
        <stp/>
        <stp>BDP|15393992280169008616</stp>
        <tr r="F24" s="446"/>
      </tp>
      <tp t="s">
        <v>#N/A Requesting Data...3217953527</v>
        <stp/>
        <stp>BDP|17538921220052801541</stp>
        <tr r="AA187" s="89"/>
        <tr r="Z187" s="89"/>
      </tp>
      <tp t="s">
        <v>#N/A Requesting Data...3288366315</v>
        <stp/>
        <stp>BDP|10256865635189905931</stp>
        <tr r="D26" s="446"/>
        <tr r="AC18" s="1"/>
      </tp>
      <tp t="s">
        <v>#N/A Requesting Data...2314666124</v>
        <stp/>
        <stp>BDP|16456696081243656014</stp>
        <tr r="E237" s="89"/>
      </tp>
      <tp t="s">
        <v>#N/A Requesting Data...3830489289</v>
        <stp/>
        <stp>BDP|16326536432018842310</stp>
        <tr r="E102" s="89"/>
      </tp>
      <tp t="s">
        <v>#N/A Requesting Data...1126847873</v>
        <stp/>
        <stp>BDP|11308191188663844005</stp>
        <tr r="Q34" s="338"/>
      </tp>
      <tp t="s">
        <v>#N/A Requesting Data...2663352855</v>
        <stp/>
        <stp>BDP|11291613004685235986</stp>
        <tr r="T40" s="89"/>
      </tp>
      <tp t="s">
        <v>#N/A Requesting Data...3417016520</v>
        <stp/>
        <stp>BDP|14305045698741171731</stp>
        <tr r="AD15" s="2"/>
      </tp>
      <tp t="s">
        <v>#N/A Requesting Data...2983805870</v>
        <stp/>
        <stp>BDP|10846290148809317467</stp>
        <tr r="T47" s="338"/>
      </tp>
      <tp t="s">
        <v>#N/A Requesting Data...2274597566</v>
        <stp/>
        <stp>BDP|17908300451053627923</stp>
        <tr r="C15" s="2"/>
      </tp>
      <tp t="s">
        <v>#N/A Requesting Data...2801613729</v>
        <stp/>
        <stp>BDP|11292951375013419795</stp>
        <tr r="C13" s="2"/>
      </tp>
      <tp t="s">
        <v>#N/A Requesting Data...2735760747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Data...1060309666</v>
        <stp/>
        <stp>BDP|11569977534954801402</stp>
        <tr r="D63" s="89"/>
      </tp>
      <tp t="s">
        <v>#N/A Requesting Data...2277018040</v>
        <stp/>
        <stp>BDP|14945010294650760658</stp>
        <tr r="L37" s="338"/>
        <tr r="H37" s="338"/>
      </tp>
      <tp t="s">
        <v>#N/A Requesting Data...2038208636</v>
        <stp/>
        <stp>BDP|12625403616855824991</stp>
        <tr r="F15" s="446"/>
      </tp>
      <tp t="s">
        <v>#N/A Requesting Data...1394179297</v>
        <stp/>
        <stp>BDP|17608146625807240849</stp>
        <tr r="Q10" s="338"/>
      </tp>
      <tp t="s">
        <v>#N/A Requesting Data...2209815429</v>
        <stp/>
        <stp>BDP|14416377574372571935</stp>
        <tr r="D101" s="89"/>
      </tp>
      <tp t="s">
        <v>#N/A Requesting Data...4176432819</v>
        <stp/>
        <stp>BDP|11745089010498747381</stp>
        <tr r="T75" s="89"/>
      </tp>
      <tp t="s">
        <v>#N/A Requesting Data...1825325256</v>
        <stp/>
        <stp>BDP|10942621120688011798</stp>
        <tr r="V55" s="338"/>
      </tp>
      <tp t="s">
        <v>#N/A Requesting Data...2652838228</v>
        <stp/>
        <stp>BDP|14853590894083718008</stp>
        <tr r="V12" s="338"/>
      </tp>
      <tp t="s">
        <v>#N/A Requesting Data...2564803308</v>
        <stp/>
        <stp>BDP|17077564961768568704</stp>
        <tr r="O7" s="89"/>
      </tp>
      <tp t="s">
        <v>#N/A Requesting Data...2608502206</v>
        <stp/>
        <stp>BDP|14230486891323782196</stp>
        <tr r="T27" s="89"/>
      </tp>
      <tp t="s">
        <v>#N/A Requesting Data...2160094725</v>
        <stp/>
        <stp>BDP|13154673264950579831</stp>
        <tr r="P8" s="338"/>
      </tp>
      <tp t="s">
        <v>#N/A Requesting Data...2281557652</v>
        <stp/>
        <stp>BDP|18352383299971018866</stp>
        <tr r="V96" s="89"/>
      </tp>
      <tp t="s">
        <v>#N/A Requesting Data...3765506823</v>
        <stp/>
        <stp>BDP|10865582194811567656</stp>
        <tr r="D13" s="2"/>
      </tp>
      <tp t="s">
        <v>#N/A Requesting Data...2337541982</v>
        <stp/>
        <stp>BDP|18149202901248495937</stp>
        <tr r="AH8" s="338"/>
        <tr r="AH9" s="338"/>
      </tp>
      <tp t="s">
        <v>#N/A Requesting Data...1851317427</v>
        <stp/>
        <stp>BDP|17812279814258546797</stp>
        <tr r="U12" s="338"/>
      </tp>
      <tp t="s">
        <v>#N/A Requesting Data...3541315387</v>
        <stp/>
        <stp>BDP|16354487536428919237</stp>
        <tr r="P36" s="338"/>
      </tp>
      <tp t="s">
        <v>#N/A Requesting Data...3728562127</v>
        <stp/>
        <stp>BDP|12938986196201541855</stp>
        <tr r="T9" s="338"/>
      </tp>
      <tp>
        <v>146</v>
        <stp/>
        <stp>BDP|13617156827013839169|22</stp>
        <stp>1OG6P 25000 Index</stp>
        <stp>ask</stp>
        <tr r="L154" s="89"/>
      </tp>
      <tp t="b">
        <v>0</v>
        <stp/>
        <stp>BDH|11924983232882052219</stp>
        <tr r="AR40" s="338"/>
        <tr r="AM39" s="338"/>
        <tr r="AM15" s="338"/>
      </tp>
      <tp t="b">
        <v>0</v>
        <stp/>
        <stp>BDH|15159850060124288449</stp>
        <tr r="AR46" s="338"/>
        <tr r="AR50" s="338"/>
        <tr r="AR32" s="338"/>
        <tr r="AR8" s="338"/>
      </tp>
      <tp t="b">
        <v>0</v>
        <stp/>
        <stp>BDH|15506201948008260048</stp>
        <tr r="AU42" s="338"/>
      </tp>
      <tp t="s">
        <v>#N/A Requesting Data...3634378069</v>
        <stp/>
        <stp>BDP|16382697175628205742</stp>
        <tr r="K2" s="2"/>
        <tr r="J1" s="24"/>
      </tp>
      <tp t="s">
        <v>#N/A Requesting Data...1659517139</v>
        <stp/>
        <stp>BDP|17096775879616571920</stp>
        <tr r="Q36" s="338"/>
      </tp>
      <tp t="s">
        <v>#N/A Requesting Data...3300071353</v>
        <stp/>
        <stp>BDP|14534507482414865574</stp>
        <tr r="AF31" s="1"/>
        <tr r="AF17" s="338"/>
        <tr r="AF18" s="338"/>
      </tp>
      <tp t="s">
        <v>#N/A Requesting Data...2325548486</v>
        <stp/>
        <stp>BDP|18104805924642791891</stp>
        <tr r="AK9" s="338"/>
      </tp>
      <tp t="s">
        <v>#N/A Requesting Data...3766088156</v>
        <stp/>
        <stp>BDP|18319033186521864931</stp>
        <tr r="T224" s="89"/>
      </tp>
      <tp t="s">
        <v>#N/A Requesting Data...2544606731</v>
        <stp/>
        <stp>BDP|11421352885480139296</stp>
        <tr r="AK18" s="338"/>
      </tp>
      <tp t="s">
        <v>#N/A Requesting Data...1515527570</v>
        <stp/>
        <stp>BDP|14385972258221788175</stp>
        <tr r="K32" s="1"/>
      </tp>
      <tp t="s">
        <v>#N/A Requesting Data...1894775938</v>
        <stp/>
        <stp>BDP|13320582805658221621</stp>
        <tr r="Q29" s="338"/>
      </tp>
      <tp t="s">
        <v>#N/A Requesting Data...2398955355</v>
        <stp/>
        <stp>BDP|14368247967240567849</stp>
        <tr r="AK48" s="338"/>
        <tr r="AK49" s="338"/>
      </tp>
      <tp t="s">
        <v>#N/A Requesting Data...1648473872</v>
        <stp/>
        <stp>BDP|18355353104331140221</stp>
        <tr r="E6" s="1"/>
      </tp>
      <tp t="s">
        <v>#N/A Requesting Data...1707266136</v>
        <stp/>
        <stp>BDP|14339764599746958441</stp>
        <tr r="L14" s="252"/>
        <tr r="L14" s="252"/>
      </tp>
      <tp t="s">
        <v>#N/A Requesting Data...1623805528</v>
        <stp/>
        <stp>BDP|13273727322169541747</stp>
        <tr r="S31" s="338"/>
      </tp>
      <tp t="s">
        <v>#N/A Requesting Data...2813607692</v>
        <stp/>
        <stp>BDP|11594902352491463409</stp>
        <tr r="AA6" s="2"/>
      </tp>
      <tp t="s">
        <v>#N/A Requesting Data...2083348394</v>
        <stp/>
        <stp>BDP|18059086409648276807</stp>
        <tr r="X13" s="338"/>
      </tp>
      <tp t="s">
        <v>#N/A Requesting Data...3850770006</v>
        <stp/>
        <stp>BDP|14077436120512876887</stp>
        <tr r="AH14" s="338"/>
        <tr r="AH35" s="338"/>
      </tp>
      <tp t="s">
        <v>#N/A Requesting Data...4013652831</v>
        <stp/>
        <stp>BDP|15744958059654008590</stp>
        <tr r="M11" s="252"/>
      </tp>
      <tp t="s">
        <v>#N/A Requesting Data...2553186559</v>
        <stp/>
        <stp>BDP|13690707356499397067</stp>
        <tr r="AG42" s="338"/>
      </tp>
      <tp t="s">
        <v>#N/A Requesting Data...2161357762</v>
        <stp/>
        <stp>BDP|12538321051928445466</stp>
        <tr r="AR16" s="2"/>
      </tp>
      <tp t="s">
        <v>#N/A Requesting Data...2486801853</v>
        <stp/>
        <stp>BDP|13052160308013823928</stp>
        <tr r="L16" s="252"/>
        <tr r="L16" s="252"/>
      </tp>
      <tp t="s">
        <v>#N/A Requesting Data...2608523427</v>
        <stp/>
        <stp>BDP|10630112845779481422</stp>
        <tr r="T8" s="338"/>
      </tp>
      <tp t="s">
        <v>#N/A Requesting Data...2508577604</v>
        <stp/>
        <stp>BDP|11209184266078842639</stp>
        <tr r="AC16" s="1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Data...1802960135</v>
        <stp/>
        <stp>BDP|18091505366056640561</stp>
        <tr r="D69" s="89"/>
      </tp>
      <tp t="s">
        <v>#N/A Requesting Data...2476461684</v>
        <stp/>
        <stp>BDP|17203212740478165145</stp>
        <tr r="AA195" s="89"/>
        <tr r="Z195" s="89"/>
      </tp>
      <tp t="b">
        <v>0</v>
        <stp/>
        <stp>BDH|18292916897604331435</stp>
        <tr r="AU39" s="338"/>
        <tr r="AU15" s="338"/>
        <tr r="AU38" s="338"/>
        <tr r="AU17" s="338"/>
        <tr r="AU52" s="338"/>
        <tr r="AU16" s="338"/>
        <tr r="AU44" s="338"/>
      </tp>
      <tp t="s">
        <v>USD</v>
        <stp/>
        <stp>BDP|1779856531118410213|22</stp>
        <stp>ASML US 01/23/26 P1100 Equity</stp>
        <stp>QUOTED_CURRENCY_REALTIME</stp>
        <tr r="F50" s="89"/>
      </tp>
      <tp t="b">
        <v>0</v>
        <stp/>
        <stp>BDH|18400039107736206646</stp>
        <tr r="AS42" s="338"/>
      </tp>
      <tp t="s">
        <v>#N/A Real Time</v>
        <stp/>
        <stp>BDP|3928061582338749570|22</stp>
        <stp>MRYWZ4C4 2390 Index</stp>
        <stp>bid</stp>
        <tr r="K129" s="89"/>
      </tp>
      <tp>
        <v>26.6</v>
        <stp/>
        <stp>BDP|1262865218775301973|22</stp>
        <stp>GOOG US 07/17/26 C350 Equity</stp>
        <stp>ask</stp>
        <tr r="L236" s="89"/>
      </tp>
      <tp>
        <v>0.57090157270431519</v>
        <stp/>
        <stp>BDP|11692362111124219231|22</stp>
        <stp>MSFT US 07/17/26 C465 Equity</stp>
        <stp>DELTA_MID_RT</stp>
        <tr r="AF18" s="2"/>
      </tp>
      <tp>
        <v>0.54965072870254517</v>
        <stp/>
        <stp>BDP|12751338922919034266|22</stp>
        <stp>MSFT US 07/17/26 C470 Equity</stp>
        <stp>DELTA_MID_RT</stp>
        <tr r="W235" s="89"/>
      </tp>
      <tp t="s">
        <v>#N/A Requesting Data...2277650174</v>
        <stp/>
        <stp>BDP|14228839741476914704</stp>
        <tr r="AF32" s="1"/>
      </tp>
      <tp t="s">
        <v>#N/A Requesting Data...1994408292</v>
        <stp/>
        <stp>BDP|17177336076889407390</stp>
        <tr r="Q52" s="338"/>
      </tp>
      <tp t="s">
        <v>#N/A Requesting Data...1542178762</v>
        <stp/>
        <stp>BDP|13108014284305863746</stp>
        <tr r="AH29" s="338"/>
        <tr r="AH30" s="338"/>
        <tr r="AJ29" s="338"/>
        <tr r="AJ30" s="338"/>
      </tp>
      <tp t="s">
        <v>#N/A Requesting Data...1166236783</v>
        <stp/>
        <stp>BDP|16161490436721422919</stp>
        <tr r="D19" s="89"/>
      </tp>
      <tp t="s">
        <v>#N/A Requesting Data...2206238509</v>
        <stp/>
        <stp>BDP|18084144309549296940</stp>
        <tr r="X46" s="338"/>
      </tp>
      <tp t="s">
        <v>#N/A N/A</v>
        <stp/>
        <stp>BDP|11645940326313791089</stp>
        <tr r="AQ21" s="2"/>
      </tp>
      <tp t="s">
        <v>#N/A Requesting Data...3979767112</v>
        <stp/>
        <stp>BDP|14080496093764135415</stp>
        <tr r="P8" s="252"/>
      </tp>
      <tp t="s">
        <v>#N/A Requesting Data...2159814769</v>
        <stp/>
        <stp>BDP|10379287684220430311</stp>
        <tr r="F7" s="2"/>
      </tp>
      <tp t="s">
        <v>#N/A Requesting Data...4086244911</v>
        <stp/>
        <stp>BDP|12113970899503508804</stp>
        <tr r="F4" s="2"/>
      </tp>
      <tp t="s">
        <v>#N/A Requesting Data...2232281740</v>
        <stp/>
        <stp>BDP|13667922398723991985</stp>
        <tr r="O8" s="252"/>
      </tp>
      <tp t="s">
        <v>#N/A Requesting Data...1608565491</v>
        <stp/>
        <stp>BDP|16276991072151645027</stp>
        <tr r="AC21" s="1"/>
      </tp>
      <tp t="s">
        <v>#N/A Requesting Data...2061176349</v>
        <stp/>
        <stp>BDP|11569233714862664985</stp>
        <tr r="E14" s="2"/>
      </tp>
      <tp t="s">
        <v>#N/A Requesting Data...2845909742</v>
        <stp/>
        <stp>BDP|16922257546430083956</stp>
        <tr r="E11" s="2"/>
      </tp>
      <tp t="s">
        <v>#N/A Requesting Data...1242574766</v>
        <stp/>
        <stp>BDP|14084731383605893774</stp>
        <tr r="T30" s="338"/>
      </tp>
      <tp t="s">
        <v>#N/A Requesting Data...1199890675</v>
        <stp/>
        <stp>BDP|17920955902274781369</stp>
        <tr r="AK13" s="338"/>
      </tp>
      <tp t="s">
        <v>#N/A Requesting Data...4186055854</v>
        <stp/>
        <stp>BDP|15814817125237185133</stp>
        <tr r="AK11" s="338"/>
      </tp>
      <tp t="s">
        <v>#N/A Requesting Data...1591796943</v>
        <stp/>
        <stp>BDP|10683822754613362720</stp>
        <tr r="C89" s="89"/>
      </tp>
      <tp t="s">
        <v>#N/A Requesting Data...1950373591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Data...3593674270</v>
        <stp/>
        <stp>BDP|17719503394081403362</stp>
        <tr r="AH37" s="338"/>
        <tr r="AJ37" s="338"/>
      </tp>
      <tp t="s">
        <v>#N/A Requesting Data...1775177357</v>
        <stp/>
        <stp>BDP|18279909896309755834</stp>
        <tr r="AG14" s="1"/>
      </tp>
      <tp t="s">
        <v>#N/A Requesting Data...1870651808</v>
        <stp/>
        <stp>BDP|12571041380342291138</stp>
        <tr r="F34" s="446"/>
      </tp>
      <tp t="s">
        <v>#N/A Requesting Data...1117842262</v>
        <stp/>
        <stp>BDP|16648478878978208488</stp>
        <tr r="O178" s="89"/>
        <tr r="O179" s="89"/>
      </tp>
      <tp t="s">
        <v>#N/A Requesting Data...3587416780</v>
        <stp/>
        <stp>BDP|17654964972910872093</stp>
        <tr r="V204" s="89"/>
      </tp>
      <tp t="s">
        <v>#N/A Requesting Data...1482143434</v>
        <stp/>
        <stp>BDP|13659806942011456735</stp>
        <tr r="P7" s="252"/>
      </tp>
      <tp t="s">
        <v>#N/A Requesting Data...3393279228</v>
        <stp/>
        <stp>BDP|18096821285957052647</stp>
        <tr r="F18" s="446"/>
      </tp>
      <tp t="s">
        <v>#N/A Requesting Data...2732898297</v>
        <stp/>
        <stp>BDP|10570370408323999914</stp>
        <tr r="AA8" s="89"/>
        <tr r="Z8" s="89"/>
      </tp>
      <tp t="s">
        <v>#N/A Requesting Data...1146413317</v>
        <stp/>
        <stp>BDP|17046967805152979583</stp>
        <tr r="V89" s="89"/>
      </tp>
      <tp t="s">
        <v>#N/A Requesting Data...2872002193</v>
        <stp/>
        <stp>BDP|12912684483811638411</stp>
        <tr r="L20" s="1"/>
      </tp>
      <tp t="s">
        <v>#N/A Requesting Data...3304911007</v>
        <stp/>
        <stp>BDP|17800905748963418018</stp>
        <tr r="V52" s="338"/>
      </tp>
      <tp t="s">
        <v>#N/A Requesting Data...3281515679</v>
        <stp/>
        <stp>BDP|16080473360335288805</stp>
        <tr r="AF18" s="1"/>
        <tr r="AF10" s="338"/>
        <tr r="AF11" s="338"/>
        <tr r="AF33" s="338"/>
      </tp>
      <tp t="s">
        <v>#N/A Requesting Data...3423223358</v>
        <stp/>
        <stp>BDP|18082660766744672526</stp>
        <tr r="X34" s="338"/>
      </tp>
      <tp t="s">
        <v>#N/A Requesting Data...4032054784</v>
        <stp/>
        <stp>BDP|16257040632264100814</stp>
        <tr r="V237" s="89"/>
      </tp>
      <tp t="s">
        <v>#N/A Requesting Data...2211747622</v>
        <stp/>
        <stp>BDP|17620015100226350806</stp>
        <tr r="AG19" s="1"/>
      </tp>
      <tp t="s">
        <v>#N/A Requesting Data...3054835998</v>
        <stp/>
        <stp>BDP|18094164205149537914</stp>
        <tr r="V49" s="89"/>
      </tp>
      <tp t="s">
        <v>#N/A Requesting Data...3630354637</v>
        <stp/>
        <stp>BDP|17113464131298207134</stp>
        <tr r="O6" s="252"/>
      </tp>
      <tp t="s">
        <v>#N/A Requesting Data...1950014028</v>
        <stp/>
        <stp>BDP|16852781535332351915</stp>
        <tr r="E50" s="89"/>
      </tp>
      <tp t="s">
        <v>#N/A Requesting Data...2102819544</v>
        <stp/>
        <stp>BDP|16284628867238126714</stp>
        <tr r="AD14" s="2"/>
      </tp>
      <tp t="s">
        <v>#N/A Requesting Data...3292492230</v>
        <stp/>
        <stp>BDP|13465906218584984636</stp>
        <tr r="U48" s="338"/>
      </tp>
      <tp t="s">
        <v>USD</v>
        <stp/>
        <stp>BDP|6513932945318794459|22</stp>
        <stp>ASML US 01/23/26 P1200 Equity</stp>
        <stp>QUOTED_CURRENCY_REALTIME</stp>
        <tr r="F49" s="89"/>
      </tp>
      <tp t="b">
        <v>0</v>
        <stp/>
        <stp>BDH|12801859367905618066</stp>
        <tr r="AS29" s="338"/>
      </tp>
      <tp t="b">
        <v>0</v>
        <stp/>
        <stp>BDH|13617656877612378991</stp>
        <tr r="AS17" s="338"/>
        <tr r="AS44" s="338"/>
        <tr r="AS38" s="338"/>
        <tr r="AS15" s="338"/>
        <tr r="AS52" s="338"/>
        <tr r="AS39" s="338"/>
        <tr r="AS16" s="338"/>
      </tp>
      <tp>
        <v>20.85</v>
        <stp/>
        <stp>BDP|5023371189536845968|22</stp>
        <stp>AMZN US 07/17/26 C245 Equity</stp>
        <stp>ask</stp>
        <tr r="Q6" s="2"/>
      </tp>
      <tp t="s">
        <v>#N/A Requesting Data...4106124217</v>
        <stp/>
        <stp>BDP|13370676866274995925</stp>
        <tr r="V29" s="338"/>
      </tp>
      <tp t="s">
        <v>#N/A Requesting Data...3800688301</v>
        <stp/>
        <stp>BDP|16549461050648260185</stp>
        <tr r="V48" s="338"/>
      </tp>
      <tp t="s">
        <v>#N/A Requesting Data...1285502399</v>
        <stp/>
        <stp>BDP|12600721729889000049</stp>
        <tr r="F10" s="2"/>
      </tp>
      <tp t="s">
        <v>#N/A Requesting Data...2963584214</v>
        <stp/>
        <stp>BDP|11883811462826271727</stp>
        <tr r="AI13" s="338"/>
        <tr r="AK13" s="338"/>
      </tp>
      <tp t="s">
        <v>#N/A Requesting Data...2063884764</v>
        <stp/>
        <stp>BDP|15816931278674113197</stp>
        <tr r="C7" s="2"/>
      </tp>
      <tp t="s">
        <v>#N/A Requesting Data...2425888344</v>
        <stp/>
        <stp>BDP|16651632599577766000</stp>
        <tr r="T20" s="89"/>
      </tp>
      <tp t="s">
        <v>#N/A Requesting Data...3970764356</v>
        <stp/>
        <stp>BDP|15466705637537159880</stp>
        <tr r="AF12" s="1"/>
      </tp>
      <tp t="s">
        <v>#N/A Requesting Data...1924148253</v>
        <stp/>
        <stp>BDP|13773404769917079849</stp>
        <tr r="X41" s="338"/>
      </tp>
      <tp t="s">
        <v>#N/A Requesting Data...4129009415</v>
        <stp/>
        <stp>BDP|17094237872549842544</stp>
        <tr r="P11" s="338"/>
      </tp>
      <tp t="s">
        <v>#N/A Requesting Data...2915000065</v>
        <stp/>
        <stp>BDP|17894084826469233293</stp>
        <tr r="D14" s="2"/>
      </tp>
      <tp t="s">
        <v>#N/A Requesting Data...3084041121</v>
        <stp/>
        <stp>BDP|10903940119976188082</stp>
        <tr r="T19" s="2"/>
      </tp>
      <tp t="s">
        <v>#N/A Requesting Data...2022776353</v>
        <stp/>
        <stp>BDP|16326348528261420875</stp>
        <tr r="AH37" s="338"/>
      </tp>
      <tp t="s">
        <v>#N/A Requesting Data...4241610862</v>
        <stp/>
        <stp>BDP|17705908535480976375</stp>
        <tr r="Z205" s="89"/>
        <tr r="AA205" s="89"/>
      </tp>
      <tp t="s">
        <v>#N/A Requesting Data...4149709177</v>
        <stp/>
        <stp>BDP|14902852357240652727</stp>
        <tr r="K21" s="1"/>
      </tp>
      <tp t="s">
        <v>#N/A Requesting Data...1204234763</v>
        <stp/>
        <stp>BDP|10719787797623635315</stp>
        <tr r="AR11" s="2"/>
      </tp>
      <tp t="s">
        <v>#N/A Requesting Data...3409338792</v>
        <stp/>
        <stp>BDP|17404395287666660429</stp>
        <tr r="T204" s="89"/>
      </tp>
      <tp t="s">
        <v>#N/A Requesting Data...1961478846</v>
        <stp/>
        <stp>BDP|15931273390478107816</stp>
        <tr r="AA81" s="89"/>
        <tr r="Z81" s="89"/>
      </tp>
      <tp t="s">
        <v>#N/A Requesting Data...3581921383</v>
        <stp/>
        <stp>BDP|12942600097452969197</stp>
        <tr r="AI30" s="338"/>
      </tp>
      <tp t="s">
        <v>#N/A Requesting Data...1373446948</v>
        <stp/>
        <stp>BDP|11004855748816491574</stp>
        <tr r="AA145" s="89"/>
        <tr r="Z145" s="89"/>
      </tp>
      <tp t="s">
        <v>#N/A Requesting Data...1552391478</v>
        <stp/>
        <stp>BDP|13321932753372613352</stp>
        <tr r="S50" s="338"/>
      </tp>
      <tp t="s">
        <v>#N/A Requesting Data...3425838454</v>
        <stp/>
        <stp>BDP|14026845325197194708</stp>
        <tr r="AB22" s="1"/>
      </tp>
      <tp t="s">
        <v>#N/A Requesting Data...4235317945</v>
        <stp/>
        <stp>BDP|18139099943730098283</stp>
        <tr r="X42" s="338"/>
      </tp>
      <tp t="s">
        <v>#N/A Requesting Data...3254468268</v>
        <stp/>
        <stp>BDP|14818954946994919376</stp>
        <tr r="T55" s="338"/>
      </tp>
      <tp t="s">
        <v>#N/A Requesting Data...2152286885</v>
        <stp/>
        <stp>BDP|16547593626468626792</stp>
        <tr r="V90" s="89"/>
      </tp>
      <tp t="s">
        <v>#N/A Requesting Data...3595905413</v>
        <stp/>
        <stp>BDP|12254931781748441511</stp>
        <tr r="AA7" s="2"/>
      </tp>
      <tp t="s">
        <v>#N/A Requesting Data...1409688065</v>
        <stp/>
        <stp>BDP|16747972762296741126</stp>
        <tr r="AF22" s="1"/>
      </tp>
      <tp t="s">
        <v>#N/A Requesting Data...4144409053</v>
        <stp/>
        <stp>BDP|16825767499796337034</stp>
        <tr r="AA18" s="2"/>
      </tp>
      <tp t="s">
        <v>#N/A Requesting Data...2571878771</v>
        <stp/>
        <stp>BDP|10277773846639500409</stp>
        <tr r="E225" s="89"/>
      </tp>
      <tp t="s">
        <v>#N/A Requesting Data...3984105909</v>
        <stp/>
        <stp>BDP|15391597190645842246</stp>
        <tr r="U41" s="338"/>
      </tp>
      <tp t="s">
        <v>#N/A Requesting Data...3183023843</v>
        <stp/>
        <stp>BDP|11743873404217661042</stp>
        <tr r="D14" s="89"/>
      </tp>
      <tp t="b">
        <v>0</v>
        <stp/>
        <stp>BDH|11163001609196160988</stp>
        <tr r="AS45" s="338"/>
      </tp>
      <tp t="b">
        <v>0</v>
        <stp/>
        <stp>BDH|10426772301078449164</stp>
        <tr r="AM8" s="338"/>
        <tr r="AM9" s="338"/>
      </tp>
      <tp t="b">
        <v>0</v>
        <stp/>
        <stp>BDH|14865972039053679383</stp>
        <tr r="AM17" s="338"/>
        <tr r="AM18" s="338"/>
      </tp>
      <tp t="b">
        <v>0</v>
        <stp/>
        <stp>BDH|13018564161326483889</stp>
        <tr r="AS13" s="338"/>
      </tp>
      <tp>
        <v>-0.52872025966644287</v>
        <stp/>
        <stp>BDP|12363987419731278955|22</stp>
        <stp>MRVL US 03/20/26 P85 Equity</stp>
        <stp>DELTA_MID_RT</stp>
        <tr r="AF14" s="2"/>
      </tp>
      <tp>
        <v>0.45659318566322327</v>
        <stp/>
        <stp>BDP|18110796337974702583|22</stp>
        <stp>AVGO US 06/18/26 C350 Equity</stp>
        <stp>DELTA_MID_RT</stp>
        <tr r="AF8" s="2"/>
        <tr r="W223" s="89"/>
      </tp>
      <tp>
        <v>34.25</v>
        <stp/>
        <stp>BDP|5056262684534913710|22</stp>
        <stp>LITE US 03/20/26 C420 Equity</stp>
        <stp>mid</stp>
        <tr r="L11" s="2"/>
      </tp>
      <tp t="s">
        <v>#N/A Requesting Data...1868012513</v>
        <stp/>
        <stp>BDP|14736502366221001988</stp>
        <tr r="AG17" s="1"/>
      </tp>
      <tp t="s">
        <v>#N/A Requesting Data...2122078407</v>
        <stp/>
        <stp>BDP|14590387959435843851</stp>
        <tr r="P18" s="252"/>
      </tp>
      <tp t="s">
        <v>#N/A Requesting Data...4037806061</v>
        <stp/>
        <stp>BDP|13791594013149475126</stp>
        <tr r="M13" s="252"/>
      </tp>
      <tp t="s">
        <v>#N/A Requesting Data...1363135914</v>
        <stp/>
        <stp>BDP|17874986578052725446</stp>
        <tr r="P50" s="338"/>
      </tp>
      <tp t="s">
        <v>#N/A Requesting Data...3998400336</v>
        <stp/>
        <stp>BDP|15706360756855267982</stp>
        <tr r="E213" s="89"/>
      </tp>
      <tp t="s">
        <v>#N/A Requesting Data...2266698000</v>
        <stp/>
        <stp>BDP|12067346968488625077</stp>
        <tr r="K9" s="1"/>
      </tp>
      <tp t="s">
        <v>#N/A Requesting Data...3575411828</v>
        <stp/>
        <stp>BDP|12930748263249803590</stp>
        <tr r="V47" s="338"/>
      </tp>
      <tp t="s">
        <v>#N/A Requesting Data...1330538217</v>
        <stp/>
        <stp>BDP|10458872348380612322</stp>
        <tr r="D32" s="446"/>
      </tp>
      <tp t="s">
        <v>#N/A Requesting Data...1569669634</v>
        <stp/>
        <stp>BDP|15539249302758934044</stp>
        <tr r="E81" s="89"/>
      </tp>
      <tp t="s">
        <v>#N/A Requesting Data...4127006876</v>
        <stp/>
        <stp>BDP|17591857746666872206</stp>
        <tr r="T233" s="89"/>
      </tp>
      <tp t="s">
        <v>#N/A Requesting Data...1567571964</v>
        <stp/>
        <stp>BDP|12114087887616661368</stp>
        <tr r="O205" s="89"/>
      </tp>
      <tp t="s">
        <v>#N/A Requesting Data...2584826668</v>
        <stp/>
        <stp>BDP|17242536611318950476</stp>
        <tr r="E82" s="89"/>
      </tp>
      <tp t="s">
        <v>#N/A Requesting Data...3625680611</v>
        <stp/>
        <stp>BDP|11607763991426641696</stp>
        <tr r="O180" s="89"/>
      </tp>
      <tp t="s">
        <v>#N/A Requesting Data...1546339292</v>
        <stp/>
        <stp>BDP|12446616610012704839</stp>
        <tr r="AF14" s="1"/>
      </tp>
      <tp t="s">
        <v>#N/A Requesting Data...2933873870</v>
        <stp/>
        <stp>BDP|16111091406080680995</stp>
        <tr r="S20" s="252"/>
      </tp>
      <tp t="s">
        <v>#N/A Requesting Data...1372033206</v>
        <stp/>
        <stp>BDP|12917284443828342304</stp>
        <tr r="AC31" s="1"/>
      </tp>
      <tp t="s">
        <v>#N/A Requesting Data...1791354479</v>
        <stp/>
        <stp>BDP|12565777765454100870</stp>
        <tr r="AK45" s="338"/>
      </tp>
      <tp t="s">
        <v>#N/A Requesting Data...2243170303</v>
        <stp/>
        <stp>BDP|14757904724106470662</stp>
        <tr r="C115" s="89"/>
      </tp>
      <tp t="s">
        <v>#N/A Requesting Data...1537491319</v>
        <stp/>
        <stp>BDP|10685364633036146921</stp>
        <tr r="E33" s="89"/>
      </tp>
      <tp t="s">
        <v>#N/A Requesting Data...2208535179</v>
        <stp/>
        <stp>BDP|15520885965692162698</stp>
        <tr r="P35" s="338"/>
      </tp>
      <tp t="s">
        <v>#N/A Requesting Data...3409665867</v>
        <stp/>
        <stp>BDP|15477739397991893583</stp>
        <tr r="F19" s="2"/>
      </tp>
      <tp t="s">
        <v>#N/A Requesting Data...3279412421</v>
        <stp/>
        <stp>BDP|18411820983824502305</stp>
        <tr r="E9" s="1"/>
        <tr r="K18" s="1"/>
      </tp>
      <tp t="s">
        <v>#N/A Requesting Data...4100018246</v>
        <stp/>
        <stp>BDP|18187575182553363942</stp>
        <tr r="S29" s="338"/>
      </tp>
      <tp t="s">
        <v>#N/A Requesting Data...4145255193</v>
        <stp/>
        <stp>BDP|15088949515073653147</stp>
        <tr r="AI22" s="1"/>
      </tp>
      <tp t="s">
        <v>#N/A Requesting Data...2633784135</v>
        <stp/>
        <stp>BDP|12559765690110808384</stp>
        <tr r="L6" s="252"/>
        <tr r="L6" s="252"/>
      </tp>
      <tp t="s">
        <v>#N/A Requesting Data...4001226475</v>
        <stp/>
        <stp>BDP|16650855945696243361</stp>
        <tr r="O235" s="89"/>
      </tp>
      <tp t="s">
        <v>#N/A Requesting Data...2616643781</v>
        <stp/>
        <stp>BDP|10141273456439406166</stp>
        <tr r="U40" s="338"/>
      </tp>
      <tp t="s">
        <v>#N/A Requesting Data...3581567576</v>
        <stp/>
        <stp>BDP|15650822721567670765</stp>
        <tr r="AF15" s="338"/>
        <tr r="AF39" s="338"/>
        <tr r="AG40" s="338"/>
      </tp>
      <tp t="s">
        <v>#N/A Requesting Data...3972118406</v>
        <stp/>
        <stp>BDP|10661203894173514722</stp>
        <tr r="P40" s="338"/>
      </tp>
      <tp t="s">
        <v>#N/A Requesting Data...2706965168</v>
        <stp/>
        <stp>BDP|11769411948438232696</stp>
        <tr r="V235" s="89"/>
      </tp>
      <tp t="s">
        <v>#N/A N/A</v>
        <stp/>
        <stp>BDP|13400157600295352875</stp>
        <tr r="AQ7" s="2"/>
      </tp>
      <tp t="s">
        <v>#N/A Requesting Data...3777557884</v>
        <stp/>
        <stp>BDP|16644071595826516655</stp>
        <tr r="M17" s="252"/>
      </tp>
      <tp t="s">
        <v>#N/A Requesting Data...2128589240</v>
        <stp/>
        <stp>BDP|10282731194108712961</stp>
        <tr r="X32" s="338"/>
      </tp>
      <tp t="s">
        <v>#N/A Requesting Data...3165119707</v>
        <stp/>
        <stp>BDP|11825565969849644458</stp>
        <tr r="G26" s="446"/>
      </tp>
      <tp t="s">
        <v>#N/A Requesting Data...3426309338</v>
        <stp/>
        <stp>BDP|10108308591442278756</stp>
        <tr r="V154" s="89"/>
      </tp>
      <tp t="s">
        <v>#N/A Requesting Data...2447002385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Data...1692213409</v>
        <stp/>
        <stp>BDP|13743925468151835237</stp>
        <tr r="AF52" s="338"/>
        <tr r="AF53" s="338"/>
        <tr r="AF54" s="338"/>
      </tp>
      <tp t="b">
        <v>0</v>
        <stp/>
        <stp>BDH|15301870027157436707</stp>
        <tr r="W7" s="252"/>
        <tr r="T7" s="252"/>
      </tp>
      <tp t="b">
        <v>0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0.4866732656955719</v>
        <stp/>
        <stp>BDP|91139731021883834|22</stp>
        <stp>GOOG US 07/17/26 C350 Equity</stp>
        <stp>DELTA_MID_RT</stp>
        <tr r="W236" s="89"/>
      </tp>
      <tp t="s">
        <v>#N/A Requesting Data...1261993852</v>
        <stp/>
        <stp>BDP|10552070608995420954</stp>
        <tr r="O9" s="252"/>
      </tp>
      <tp t="s">
        <v>#N/A Requesting Data...2876191812</v>
        <stp/>
        <stp>BDP|15489180332173336860</stp>
        <tr r="O62" s="89"/>
        <tr r="T16" s="2"/>
      </tp>
      <tp t="s">
        <v>#N/A Requesting Data...2570276000</v>
        <stp/>
        <stp>BDP|17186599672479508041</stp>
        <tr r="AA21" s="2"/>
      </tp>
      <tp t="s">
        <v>#N/A Requesting Data...1666125160</v>
        <stp/>
        <stp>BDP|16415819239102308353</stp>
        <tr r="P13" s="338"/>
      </tp>
      <tp t="s">
        <v>#N/A N/A</v>
        <stp/>
        <stp>BDP|11721037088260019563</stp>
        <tr r="AB26" s="89"/>
        <tr r="AB27" s="89"/>
        <tr r="AB34" s="89"/>
      </tp>
      <tp t="s">
        <v>#N/A Requesting Data...1421205978</v>
        <stp/>
        <stp>BDP|14151613796081423680</stp>
        <tr r="AI14" s="1"/>
      </tp>
      <tp t="s">
        <v>#N/A Requesting Data...4112595083</v>
        <stp/>
        <stp>BDP|16048814305041128389</stp>
        <tr r="AH12" s="338"/>
        <tr r="AJ12" s="338"/>
      </tp>
      <tp t="s">
        <v>#N/A Requesting Data...2889615149</v>
        <stp/>
        <stp>BDP|17315018787765860602</stp>
        <tr r="U29" s="338"/>
      </tp>
      <tp t="s">
        <v>#N/A Requesting Data...1617287765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Data...3376298003</v>
        <stp/>
        <stp>BDP|15549933334837718499</stp>
        <tr r="AJ36" s="338"/>
      </tp>
      <tp t="s">
        <v>#N/A Requesting Data...3381333765</v>
        <stp/>
        <stp>BDP|13138132963221825966</stp>
        <tr r="AA154" s="89"/>
        <tr r="Z154" s="89"/>
      </tp>
      <tp t="s">
        <v>#N/A Requesting Data...1553535121</v>
        <stp/>
        <stp>BDP|13803427191303479105</stp>
        <tr r="O26" s="89"/>
      </tp>
      <tp t="s">
        <v>#N/A Requesting Data...3588825481</v>
        <stp/>
        <stp>BDP|13021422978704305879</stp>
        <tr r="F33" s="446"/>
      </tp>
      <tp t="s">
        <v>#N/A N/A</v>
        <stp/>
        <stp>BDP|16521478898015424206</stp>
        <tr r="AV12" s="2"/>
        <tr r="R169" s="89"/>
        <tr r="R170" s="89"/>
        <tr r="R171" s="89"/>
        <tr r="R233" s="89"/>
        <tr r="AV13" s="2"/>
        <tr r="R180" s="89"/>
      </tp>
      <tp t="s">
        <v>#N/A Requesting Data...3920103373</v>
        <stp/>
        <stp>BDP|16877024025140252836</stp>
        <tr r="F37" s="446"/>
      </tp>
      <tp t="s">
        <v>#N/A Requesting Data...1952082456</v>
        <stp/>
        <stp>BDP|11873488141545455841</stp>
        <tr r="AK12" s="338"/>
      </tp>
      <tp t="s">
        <v>#N/A Requesting Data...3692363233</v>
        <stp/>
        <stp>BDP|10918059229437544914</stp>
        <tr r="S14" s="252"/>
      </tp>
      <tp t="s">
        <v>#N/A Requesting Data...2569652107</v>
        <stp/>
        <stp>BDP|17459985945086122091</stp>
        <tr r="F19" s="252"/>
      </tp>
      <tp t="s">
        <v>#N/A Requesting Data...1236537086</v>
        <stp/>
        <stp>BDP|16146881818116826586</stp>
        <tr r="P41" s="338"/>
      </tp>
      <tp t="s">
        <v>#N/A Requesting Data...2869902523</v>
        <stp/>
        <stp>BDP|15485843473026578068</stp>
        <tr r="U54" s="338"/>
      </tp>
      <tp t="s">
        <v>#N/A Requesting Data...1436615367</v>
        <stp/>
        <stp>BDP|14702322456147385934</stp>
        <tr r="U47" s="338"/>
      </tp>
      <tp t="s">
        <v>#N/A Requesting Data...1943827374</v>
        <stp/>
        <stp>BDP|13405037176711243908</stp>
        <tr r="E137" s="89"/>
      </tp>
      <tp t="s">
        <v>#N/A Requesting Data...2131198024</v>
        <stp/>
        <stp>BDP|12945955828165458035</stp>
        <tr r="AA96" s="89"/>
        <tr r="Z96" s="89"/>
      </tp>
      <tp t="s">
        <v>#N/A Requesting Data...2402899474</v>
        <stp/>
        <stp>BDP|14217961267851904682</stp>
        <tr r="V62" s="89"/>
        <tr r="AD16" s="2"/>
      </tp>
      <tp t="s">
        <v>#N/A Requesting Data...2365657476</v>
        <stp/>
        <stp>BDP|16199643097561563420</stp>
        <tr r="C129" s="89"/>
      </tp>
      <tp t="s">
        <v>#N/A Requesting Data...2664151442</v>
        <stp/>
        <stp>BDP|14535010240339641566</stp>
        <tr r="T195" s="89"/>
      </tp>
      <tp t="s">
        <v>#N/A Requesting Data...2883358111</v>
        <stp/>
        <stp>BDP|12025675637399291269</stp>
        <tr r="O15" s="252"/>
      </tp>
      <tp t="s">
        <v>#N/A Requesting Data...1510863515</v>
        <stp/>
        <stp>BDP|11664873615115482148</stp>
        <tr r="V69" s="89"/>
      </tp>
      <tp t="s">
        <v>#N/A Requesting Data...3809863896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Data...3574789344</v>
        <stp/>
        <stp>BDP|17024231109840476984</stp>
        <tr r="E26" s="89"/>
      </tp>
      <tp t="s">
        <v>#N/A Requesting Data...4236556375</v>
        <stp/>
        <stp>BDP|12603143287034451379</stp>
        <tr r="D27" s="446"/>
      </tp>
      <tp t="s">
        <v>#N/A Requesting Data...2756484358</v>
        <stp/>
        <stp>BDP|10004210412887167840</stp>
        <tr r="D40" s="446"/>
      </tp>
      <tp t="b">
        <v>0</v>
        <stp/>
        <stp>BDH|13392831222951112430</stp>
        <tr r="J11" s="252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>
        <v>-0.35452631115913391</v>
        <stp/>
        <stp>BDP|15300860136715577647|22</stp>
        <stp>AVGO US 06/18/26 P300 Equity</stp>
        <stp>DELTA_MID_RT</stp>
        <tr r="W224" s="89"/>
      </tp>
      <tp>
        <v>345.73</v>
        <stp/>
        <stp>BDP|336164456245703188|22</stp>
        <stp>LITE US Equity</stp>
        <stp>LAST_PRICE</stp>
        <tr r="S7" s="89"/>
        <tr r="S8" s="89"/>
        <tr r="Z11" s="2"/>
      </tp>
      <tp t="s">
        <v>#N/A Real Time</v>
        <stp/>
        <stp>BDP|4430211455615003459|22</stp>
        <stp>4OX4C    20500 Index</stp>
        <stp>bid</stp>
        <tr r="K108" s="89"/>
      </tp>
      <tp>
        <v>25.1</v>
        <stp/>
        <stp>BDP|4716754069265805089|22</stp>
        <stp>LITE US 02/20/26 C400 Equity</stp>
        <stp>bid</stp>
        <tr r="K7" s="89"/>
      </tp>
      <tp t="s">
        <v>#N/A Requesting Data...2625813193</v>
        <stp/>
        <stp>BDP|10830436782351213025</stp>
        <tr r="AG13" s="338"/>
      </tp>
      <tp t="s">
        <v>#N/A Requesting Data...3745035158</v>
        <stp/>
        <stp>BDP|16101110071044873900</stp>
        <tr r="S19" s="252"/>
      </tp>
      <tp t="s">
        <v>#N/A Requesting Data...1984552666</v>
        <stp/>
        <stp>BDP|13861053581177056155</stp>
        <tr r="Q16" s="338"/>
        <tr r="Q38" s="338"/>
      </tp>
      <tp t="s">
        <v>#N/A Requesting Data...3152420857</v>
        <stp/>
        <stp>BDP|17375751787424053193</stp>
        <tr r="T90" s="89"/>
      </tp>
      <tp t="s">
        <v>#N/A Requesting Data...1506693442</v>
        <stp/>
        <stp>BDP|15805166451638287462</stp>
        <tr r="S18" s="338"/>
      </tp>
      <tp t="s">
        <v>#N/A Requesting Data...1473567402</v>
        <stp/>
        <stp>BDP|18288576254733893628</stp>
        <tr r="C50" s="89"/>
      </tp>
      <tp t="s">
        <v>#N/A Requesting Data...2669871519</v>
        <stp/>
        <stp>BDP|11433444491248891924</stp>
        <tr r="E211" s="89"/>
      </tp>
      <tp t="s">
        <v>#N/A Requesting Data...2557910233</v>
        <stp/>
        <stp>BDP|18446461901708890906</stp>
        <tr r="S45" s="338"/>
      </tp>
      <tp t="s">
        <v>#N/A Requesting Data...2966532511</v>
        <stp/>
        <stp>BDP|12514485676904256829</stp>
        <tr r="E160" s="89"/>
      </tp>
      <tp t="s">
        <v>#N/A Requesting Data...4217801376</v>
        <stp/>
        <stp>BDP|18053748462790891444</stp>
        <tr r="V169" s="89"/>
      </tp>
      <tp t="s">
        <v>#N/A Requesting Data...2694837982</v>
        <stp/>
        <stp>BDP|10028687100653384862</stp>
        <tr r="O223" s="89"/>
        <tr r="T8" s="2"/>
      </tp>
      <tp t="s">
        <v>#N/A Requesting Data...3026130897</v>
        <stp/>
        <stp>BDP|15843140282036113720</stp>
        <tr r="G22" s="446"/>
      </tp>
      <tp t="s">
        <v>#N/A Requesting Data...3355346313</v>
        <stp/>
        <stp>BDP|11847564369457057888</stp>
        <tr r="F13" s="252"/>
      </tp>
      <tp t="s">
        <v>#N/A Requesting Data...2896377901</v>
        <stp/>
        <stp>BDP|11809842670084461778</stp>
        <tr r="E154" s="89"/>
      </tp>
      <tp t="s">
        <v>#N/A Requesting Data...1732280295</v>
        <stp/>
        <stp>BDP|13571664718169245067</stp>
        <tr r="U14" s="338"/>
      </tp>
      <tp t="s">
        <v>#N/A Requesting Data...1550676825</v>
        <stp/>
        <stp>BDP|17319342610009091197</stp>
        <tr r="G27" s="446"/>
      </tp>
      <tp t="s">
        <v>#N/A Requesting Data...3406260026</v>
        <stp/>
        <stp>BDP|18197169773181317293</stp>
        <tr r="AA169" s="89"/>
        <tr r="Z169" s="89"/>
      </tp>
      <tp t="s">
        <v>#N/A Requesting Data...3450533673</v>
        <stp/>
        <stp>BDP|11924439292996409721</stp>
        <tr r="AG27" s="1"/>
      </tp>
      <tp t="s">
        <v>#N/A Requesting Data...4170399163</v>
        <stp/>
        <stp>BDP|17756698812965502873</stp>
        <tr r="AA213" s="89"/>
        <tr r="Z213" s="89"/>
      </tp>
      <tp t="s">
        <v>#N/A Requesting Data...3354205835</v>
        <stp/>
        <stp>BDP|14882210397437387533</stp>
        <tr r="T42" s="338"/>
      </tp>
      <tp t="s">
        <v>#N/A Requesting Data...1461315561</v>
        <stp/>
        <stp>BDP|16174661133786135858</stp>
        <tr r="L12" s="338"/>
        <tr r="H12" s="338"/>
      </tp>
      <tp t="s">
        <v>#N/A Requesting Data...2973924244</v>
        <stp/>
        <stp>BDP|17115834681353057933</stp>
        <tr r="U31" s="338"/>
      </tp>
      <tp t="s">
        <v>#N/A Requesting Data...3317886791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1" s="89"/>
        <tr r="R203" s="89"/>
        <tr r="R204" s="89"/>
        <tr r="R205" s="89"/>
        <tr r="R211" s="89"/>
        <tr r="R212" s="89"/>
        <tr r="R82" s="89"/>
        <tr r="R33" s="89"/>
        <tr r="AV20" s="2"/>
        <tr r="R213" s="89"/>
      </tp>
      <tp t="s">
        <v>#N/A Requesting Data...2974808155</v>
        <stp/>
        <stp>BDP|11498093077793803806</stp>
        <tr r="Q31" s="338"/>
      </tp>
      <tp t="s">
        <v>#N/A Requesting Data...2405219834</v>
        <stp/>
        <stp>BDP|18074111082599132509</stp>
        <tr r="D196" s="89"/>
      </tp>
      <tp t="s">
        <v>#N/A Requesting Data...4016623548</v>
        <stp/>
        <stp>BDP|16200988588058493248</stp>
        <tr r="AA224" s="89"/>
        <tr r="Z224" s="89"/>
      </tp>
      <tp t="s">
        <v>#N/A Requesting Data...1565317653</v>
        <stp/>
        <stp>BDP|17051618884910746406</stp>
        <tr r="T44" s="338"/>
      </tp>
      <tp t="s">
        <v>#N/A Requesting Data...3915980864</v>
        <stp/>
        <stp>BDP|14959318848357778920</stp>
        <tr r="T41" s="338"/>
      </tp>
      <tp t="s">
        <v>#N/A Requesting Data...1671638823</v>
        <stp/>
        <stp>BDP|15219096160618738682</stp>
        <tr r="X17" s="338"/>
      </tp>
      <tp t="s">
        <v>#N/A Requesting Data...1714815762</v>
        <stp/>
        <stp>BDP|14574759861540790819</stp>
        <tr r="S34" s="338"/>
      </tp>
      <tp t="s">
        <v>#N/A Requesting Data...4098306956</v>
        <stp/>
        <stp>BDP|12063939312664514322</stp>
        <tr r="N17" s="252"/>
        <tr r="N17" s="252"/>
      </tp>
      <tp t="s">
        <v>#N/A Requesting Data...4036886712</v>
        <stp/>
        <stp>BDP|16239364000238452060</stp>
        <tr r="E40" s="89"/>
      </tp>
      <tp t="b">
        <v>0</v>
        <stp/>
        <stp>BDH|10468118627127535915</stp>
        <tr r="AN16" s="338"/>
        <tr r="AN40" s="338"/>
        <tr r="AN38" s="338"/>
      </tp>
      <tp t="b">
        <v>0</v>
        <stp/>
        <stp>BDH|13885285882450008494</stp>
        <tr r="J17" s="252"/>
      </tp>
      <tp t="b">
        <v>0</v>
        <stp/>
        <stp>BDH|16422184027449084106</stp>
        <tr r="AP32" s="338"/>
        <tr r="AP31" s="338"/>
      </tp>
      <tp>
        <v>623.66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82.51</v>
        <stp/>
        <stp>BDP|3617422536658376331|22</stp>
        <stp>XLP Equity</stp>
        <stp>LAST PRICE</stp>
        <tr r="I9" s="338"/>
      </tp>
      <tp>
        <v>27.6</v>
        <stp/>
        <stp>BDP|8644428270203613467|22</stp>
        <stp>LITE US 02/20/26 C400 Equity</stp>
        <stp>ask</stp>
        <tr r="L7" s="89"/>
      </tp>
      <tp>
        <v>65.72</v>
        <stp/>
        <stp>BDP|4473817456220841094|22</stp>
        <stp>META US 07/17/26 C670 Equity</stp>
        <stp>mid</stp>
        <tr r="L13" s="2"/>
      </tp>
      <tp t="s">
        <v>#N/A Requesting Data...3987403498</v>
        <stp/>
        <stp>BDP|12339741374220877028</stp>
        <tr r="F21" s="446"/>
      </tp>
      <tp t="s">
        <v>#N/A Requesting Data...2685298259</v>
        <stp/>
        <stp>BDP|10313697833123536458</stp>
        <tr r="E15" s="2"/>
      </tp>
      <tp t="s">
        <v>#N/A Requesting Data...2080256827</v>
        <stp/>
        <stp>BDP|16044672586352901816</stp>
        <tr r="D26" s="89"/>
      </tp>
      <tp t="s">
        <v>#N/A Requesting Data...3996359695</v>
        <stp/>
        <stp>BDP|15108137503044913212</stp>
        <tr r="AA13" s="2"/>
      </tp>
      <tp t="s">
        <v>#N/A Requesting Data...2246370553</v>
        <stp/>
        <stp>BDP|12562291822957166773</stp>
        <tr r="X15" s="338"/>
        <tr r="X39" s="338"/>
      </tp>
      <tp t="s">
        <v>#N/A Requesting Data...2618643577</v>
        <stp/>
        <stp>BDP|17646594623933242160</stp>
        <tr r="AJ8" s="338"/>
        <tr r="AJ9" s="338"/>
      </tp>
      <tp t="s">
        <v>#N/A Requesting Data...3638203828</v>
        <stp/>
        <stp>BDP|10920319565786030158</stp>
        <tr r="E116" s="89"/>
      </tp>
      <tp t="s">
        <v>#N/A Requesting Data...3185107013</v>
        <stp/>
        <stp>BDP|11988979111049200256</stp>
        <tr r="AK29" s="338"/>
      </tp>
      <tp t="s">
        <v>#N/A Requesting Data...3031068147</v>
        <stp/>
        <stp>BDP|10430788467275400653</stp>
        <tr r="AA236" s="89"/>
        <tr r="Z236" s="89"/>
      </tp>
      <tp t="s">
        <v>#N/A Requesting Data...3966963769</v>
        <stp/>
        <stp>BDP|15347429979155774156</stp>
        <tr r="AG21" s="1"/>
      </tp>
      <tp t="s">
        <v>#N/A Requesting Data...3138332383</v>
        <stp/>
        <stp>BDP|17671295855377364531</stp>
        <tr r="V205" s="89"/>
      </tp>
      <tp t="s">
        <v>#N/A Requesting Data...4262913765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Data...3638356703</v>
        <stp/>
        <stp>BDP|14776745928063005042</stp>
        <tr r="T136" s="89"/>
      </tp>
      <tp t="s">
        <v>#N/A Requesting Data...2780774197</v>
        <stp/>
        <stp>BDP|16719292853193179031</stp>
        <tr r="O13" s="89"/>
        <tr r="T22" s="2"/>
      </tp>
      <tp t="s">
        <v>#N/A Requesting Data...2896727916</v>
        <stp/>
        <stp>BDP|13796779298948123776</stp>
        <tr r="C136" s="89"/>
      </tp>
      <tp t="s">
        <v>#N/A Requesting Data...2430933270</v>
        <stp/>
        <stp>BDP|13805405504302407767</stp>
        <tr r="AA197" s="89"/>
        <tr r="Z197" s="89"/>
      </tp>
      <tp t="s">
        <v>#N/A Requesting Data...1677461861</v>
        <stp/>
        <stp>BDP|16819116934213136521</stp>
        <tr r="F14" s="2"/>
      </tp>
      <tp t="s">
        <v>#N/A Requesting Data...1823367147</v>
        <stp/>
        <stp>BDP|13698454327306550105</stp>
        <tr r="T180" s="89"/>
      </tp>
      <tp t="s">
        <v>#N/A Requesting Data...3063872481</v>
        <stp/>
        <stp>BDP|15827021270859860931</stp>
        <tr r="C211" s="89"/>
      </tp>
      <tp t="s">
        <v>#N/A Requesting Data...3907385189</v>
        <stp/>
        <stp>BDP|10522514781749760636</stp>
        <tr r="C6" s="2"/>
      </tp>
      <tp t="s">
        <v>#N/A Requesting Data...2305616394</v>
        <stp/>
        <stp>BDP|16047448851216675329</stp>
        <tr r="V68" s="89"/>
      </tp>
      <tp t="s">
        <v>#N/A Requesting Data...3792289737</v>
        <stp/>
        <stp>BDP|11875259860180843752</stp>
        <tr r="L9" s="252"/>
        <tr r="L9" s="252"/>
      </tp>
      <tp t="s">
        <v>#N/A Requesting Data...3360806369</v>
        <stp/>
        <stp>BDP|17193753013640317341</stp>
        <tr r="T197" s="89"/>
      </tp>
      <tp t="s">
        <v>#N/A Requesting Data...1513141357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Requesting Data...1510173106</v>
        <stp/>
        <stp>BDP|15024773487379018132</stp>
        <tr r="C34" s="89"/>
      </tp>
      <tp t="s">
        <v>#N/A N/A</v>
        <stp/>
        <stp>BDP|16665812118984554998</stp>
        <tr r="AC14" s="2"/>
        <tr r="AC15" s="2"/>
        <tr r="AC16" s="2"/>
        <tr r="AC17" s="2"/>
      </tp>
      <tp t="s">
        <v>#N/A Requesting Data...1582597179</v>
        <stp/>
        <stp>BDP|10392302271721368734</stp>
        <tr r="AJ15" s="338"/>
        <tr r="AJ39" s="338"/>
        <tr r="AK40" s="338"/>
      </tp>
      <tp t="s">
        <v>#N/A Requesting Data...1978001764</v>
        <stp/>
        <stp>BDP|13077127063164089235</stp>
        <tr r="L30" s="338"/>
        <tr r="L29" s="338"/>
        <tr r="H29" s="338"/>
        <tr r="H30" s="338"/>
      </tp>
      <tp t="s">
        <v>#N/A Requesting Data...1616852992</v>
        <stp/>
        <stp>BDP|15616266803836462358</stp>
        <tr r="P18" s="338"/>
      </tp>
      <tp t="s">
        <v>#N/A Requesting Data...1452081538</v>
        <stp/>
        <stp>BDP|12909617883408150686</stp>
        <tr r="F17" s="446"/>
      </tp>
      <tp t="s">
        <v>#N/A Requesting Data...3278648734</v>
        <stp/>
        <stp>BDP|12668630201684454223</stp>
        <tr r="T40" s="338"/>
      </tp>
      <tp t="s">
        <v>#N/A Requesting Data...3494268598</v>
        <stp/>
        <stp>BDP|14907590063523957686</stp>
        <tr r="D39" s="446"/>
      </tp>
      <tp t="s">
        <v>#N/A Requesting Data...1959682978</v>
        <stp/>
        <stp>BDP|15427086549125422631</stp>
        <tr r="F29" s="446"/>
      </tp>
      <tp t="s">
        <v>#N/A Requesting Data...2886499512</v>
        <stp/>
        <stp>BDP|12603611155092450139</stp>
        <tr r="P44" s="338"/>
      </tp>
      <tp t="s">
        <v>#N/A Requesting Data...4092052635</v>
        <stp/>
        <stp>BDP|15495225542906335725</stp>
        <tr r="Q41" s="338"/>
      </tp>
      <tp t="s">
        <v>#N/A Requesting Data...2579100208</v>
        <stp/>
        <stp>BDP|15070758468347809116</stp>
        <tr r="AA75" s="89"/>
        <tr r="Z75" s="89"/>
      </tp>
      <tp t="s">
        <v>#N/A Requesting Data...1809201406</v>
        <stp/>
        <stp>BDP|14733502401484175730</stp>
        <tr r="AD9" s="2"/>
      </tp>
      <tp t="s">
        <v>#N/A Requesting Data...1374183584</v>
        <stp/>
        <stp>BDP|12650903035052242853</stp>
        <tr r="T50" s="338"/>
      </tp>
      <tp t="s">
        <v>#N/A Requesting Data...4178824897</v>
        <stp/>
        <stp>BDP|15097578277281717435</stp>
        <tr r="AK13" s="338"/>
      </tp>
      <tp t="s">
        <v>#N/A N/A</v>
        <stp/>
        <stp>BDP|17445646416605654744</stp>
        <tr r="AV4" s="2"/>
        <tr r="AV5" s="2"/>
        <tr r="R55" s="89"/>
        <tr r="R56" s="89"/>
      </tp>
      <tp t="s">
        <v>#N/A Requesting Data...3293350742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Requesting Data...3098967950</v>
        <stp/>
        <stp>BDP|14281191247594841737</stp>
        <tr r="Q12" s="338"/>
      </tp>
      <tp t="s">
        <v>#N/A N/A</v>
        <stp/>
        <stp>BDP|17447943913214573912</stp>
        <tr r="AC22" s="2"/>
        <tr r="AC23" s="2"/>
      </tp>
      <tp t="s">
        <v>#N/A Requesting Data...1387589446</v>
        <stp/>
        <stp>BDP|10540491936722929740</stp>
        <tr r="F13" s="446"/>
      </tp>
      <tp t="s">
        <v>#N/A Requesting Data...1655945066</v>
        <stp/>
        <stp>BDP|11743579767140670071</stp>
        <tr r="T20" s="2"/>
        <tr r="O33" s="89"/>
      </tp>
      <tp t="s">
        <v>#N/A Requesting Data...2025377797</v>
        <stp/>
        <stp>BDP|12465228967747275351</stp>
        <tr r="F8" s="2"/>
      </tp>
      <tp t="s">
        <v>#N/A N/A</v>
        <stp/>
        <stp>BDP|10374405008290534684</stp>
        <tr r="R49" s="89"/>
        <tr r="R50" s="89"/>
      </tp>
      <tp t="s">
        <v>#N/A Requesting Data...1405712314</v>
        <stp/>
        <stp>BDP|11774657841727499618</stp>
        <tr r="T8" s="89"/>
        <tr r="AA11" s="2"/>
      </tp>
      <tp t="b">
        <v>0</v>
        <stp/>
        <stp>BDH|11217410611470050632</stp>
        <tr r="AP30" s="338"/>
        <tr r="AP29" s="338"/>
      </tp>
      <tp t="b">
        <v>0</v>
        <stp/>
        <stp>BDH|17220079290198638431</stp>
        <tr r="W20" s="252"/>
        <tr r="T20" s="252"/>
      </tp>
      <tp t="b">
        <v>0</v>
        <stp/>
        <stp>BDH|12784643802417884195</stp>
        <tr r="AU13" s="338"/>
      </tp>
      <tp t="b">
        <v>0</v>
        <stp/>
        <stp>BDH|17584423057877396301</stp>
        <tr r="J7" s="252"/>
      </tp>
      <tp>
        <v>116.27</v>
        <stp/>
        <stp>BDP|1868269163989593436|22</stp>
        <stp>EWY Equity</stp>
        <stp>LAST_PRICE</stp>
        <tr r="I22" s="1"/>
      </tp>
      <tp t="b">
        <v>0</v>
        <stp/>
        <stp>BDH|12532436670852710183</stp>
        <tr r="AS32" s="338"/>
        <tr r="AS8" s="338"/>
        <tr r="AS50" s="338"/>
        <tr r="AS46" s="338"/>
      </tp>
      <tp t="b">
        <v>0</v>
        <stp/>
        <stp>BDH|13433517978227188448</stp>
        <tr r="J12" s="252"/>
      </tp>
      <tp>
        <v>31.5</v>
        <stp/>
        <stp>BDP|3322764634781769714|22</stp>
        <stp>META US 02/27/26 C660 Equity</stp>
        <stp>ask</stp>
        <tr r="L180" s="89"/>
      </tp>
      <tp>
        <v>0.41</v>
        <stp/>
        <stp>BDP|7779660573183859665|22</stp>
        <stp>NFLX US 03/20/26 C105 Equity</stp>
        <stp>ask</stp>
        <tr r="L186" s="89"/>
      </tp>
      <tp t="s">
        <v>#N/A Requesting Data...3642794969</v>
        <stp/>
        <stp>BDP|15895214585768543406</stp>
        <tr r="AB17" s="1"/>
      </tp>
      <tp t="s">
        <v>#N/A Requesting Data...2730833805</v>
        <stp/>
        <stp>BDP|12506693576836787640</stp>
        <tr r="AC17" s="1"/>
      </tp>
      <tp t="s">
        <v>#N/A Requesting Data...1429017161</v>
        <stp/>
        <stp>BDP|12913717425274232066</stp>
        <tr r="AG20" s="1"/>
      </tp>
      <tp t="s">
        <v>#N/A Requesting Data...4049765832</v>
        <stp/>
        <stp>BDP|17492317750491407394</stp>
        <tr r="O81" s="89"/>
      </tp>
      <tp t="s">
        <v>#N/A Requesting Data...3974565559</v>
        <stp/>
        <stp>BDP|14952713124422363077</stp>
        <tr r="AI54" s="338"/>
      </tp>
      <tp t="s">
        <v>#N/A N/A</v>
        <stp/>
        <stp>BDP|17344183941382189338</stp>
        <tr r="AQ18" s="2"/>
        <tr r="AB235" s="89"/>
        <tr r="AQ19" s="2"/>
      </tp>
      <tp t="s">
        <v>#N/A Requesting Data...3874623514</v>
        <stp/>
        <stp>BDP|12659323579531227475</stp>
        <tr r="C137" s="89"/>
      </tp>
      <tp t="s">
        <v>#N/A Requesting Data...2562185599</v>
        <stp/>
        <stp>BDP|13685951603788859137</stp>
        <tr r="T138" s="89"/>
      </tp>
      <tp t="s">
        <v>#N/A Requesting Data...2036615652</v>
        <stp/>
        <stp>BDP|10998952471375281858</stp>
        <tr r="C7" s="89"/>
      </tp>
      <tp t="s">
        <v>#N/A Requesting Data...2803980021</v>
        <stp/>
        <stp>BDP|16973005602894719115</stp>
        <tr r="P19" s="252"/>
      </tp>
      <tp t="s">
        <v>#N/A Requesting Data...1682634289</v>
        <stp/>
        <stp>BDP|12197625641431851271</stp>
        <tr r="C63" s="89"/>
        <tr r="D17" s="2"/>
      </tp>
      <tp t="s">
        <v>#N/A Requesting Data...1667484653</v>
        <stp/>
        <stp>BDP|14061654258613093712</stp>
        <tr r="AA116" s="89"/>
        <tr r="Z116" s="89"/>
      </tp>
      <tp t="s">
        <v>#N/A Requesting Data...2357148837</v>
        <stp/>
        <stp>BDP|11585397164616268161</stp>
        <tr r="D116" s="89"/>
      </tp>
      <tp t="s">
        <v>#N/A Requesting Data...3781195267</v>
        <stp/>
        <stp>BDP|18214340488518015823</stp>
        <tr r="V236" s="89"/>
      </tp>
      <tp t="s">
        <v>#N/A Requesting Data...3970251825</v>
        <stp/>
        <stp>BDP|12861943665177076956</stp>
        <tr r="AF12" s="338"/>
      </tp>
      <tp t="s">
        <v>#N/A Requesting Data...1521416763</v>
        <stp/>
        <stp>BDP|10647799601996151235</stp>
        <tr r="D21" s="2"/>
      </tp>
      <tp t="s">
        <v>#N/A Requesting Data...2683688308</v>
        <stp/>
        <stp>BDP|15919437567850131436</stp>
        <tr r="G28" s="446"/>
      </tp>
      <tp t="s">
        <v>#N/A Requesting Data...2897832660</v>
        <stp/>
        <stp>BDP|17345659231843132294</stp>
        <tr r="X31" s="338"/>
      </tp>
      <tp t="s">
        <v>#N/A N/A</v>
        <stp/>
        <stp>BDP|12988555714434708108</stp>
        <tr r="R187" s="89"/>
        <tr r="R188" s="89"/>
        <tr r="R186" s="89"/>
      </tp>
      <tp t="s">
        <v>#N/A Requesting Data...4290564094</v>
        <stp/>
        <stp>BDP|13934642593416417954</stp>
        <tr r="AI33" s="1"/>
      </tp>
      <tp t="s">
        <v>#N/A Requesting Data...1666958444</v>
        <stp/>
        <stp>BDP|11060492626660625465</stp>
        <tr r="E49" s="89"/>
      </tp>
      <tp t="s">
        <v>#N/A Requesting Data...2615908897</v>
        <stp/>
        <stp>BDP|15708606918020014119</stp>
        <tr r="AA7" s="89"/>
        <tr r="Z7" s="89"/>
      </tp>
      <tp t="s">
        <v>#N/A Requesting Data...1866718163</v>
        <stp/>
        <stp>BDP|11636396119835192597</stp>
        <tr r="T69" s="89"/>
      </tp>
      <tp t="s">
        <v>#N/A Requesting Data...3197807640</v>
        <stp/>
        <stp>BDP|17039732835313216359</stp>
        <tr r="G13" s="446"/>
      </tp>
      <tp t="s">
        <v>#N/A Requesting Data...3999932359</v>
        <stp/>
        <stp>BDP|10212284669224289309</stp>
        <tr r="G15" s="446"/>
      </tp>
      <tp t="s">
        <v>#N/A Requesting Data...2319769353</v>
        <stp/>
        <stp>BDP|16462724592283769820</stp>
        <tr r="Z69" s="89"/>
        <tr r="AA69" s="89"/>
      </tp>
      <tp t="s">
        <v>#N/A Requesting Data...4168111827</v>
        <stp/>
        <stp>BDP|14477773684938548023</stp>
        <tr r="AI19" s="1"/>
      </tp>
      <tp t="s">
        <v>#N/A Requesting Data...4196538929</v>
        <stp/>
        <stp>BDP|16582836999550942450</stp>
        <tr r="O56" s="89"/>
        <tr r="T5" s="2"/>
      </tp>
      <tp t="s">
        <v>#N/A Requesting Data...1700492602</v>
        <stp/>
        <stp>BDP|10628744726607068175</stp>
        <tr r="C225" s="89"/>
      </tp>
      <tp t="s">
        <v>#N/A Requesting Data...1872748493</v>
        <stp/>
        <stp>BDP|16931852689404443127</stp>
        <tr r="F23" s="446"/>
        <tr r="AB24" s="1"/>
      </tp>
      <tp t="s">
        <v>#N/A Requesting Data...1934625548</v>
        <stp/>
        <stp>BDP|14461057417982680435</stp>
        <tr r="T63" s="89"/>
        <tr r="AA17" s="2"/>
      </tp>
      <tp t="s">
        <v>#N/A Requesting Data...3158269187</v>
        <stp/>
        <stp>BDP|10113138217821262251</stp>
        <tr r="V153" s="89"/>
      </tp>
      <tp t="s">
        <v>#N/A Requesting Data...2611298888</v>
        <stp/>
        <stp>BDP|17214529260663576400</stp>
        <tr r="AC20" s="1"/>
      </tp>
      <tp t="s">
        <v>#N/A Requesting Data...3471461726</v>
        <stp/>
        <stp>BDP|11246696260120787292</stp>
        <tr r="F10" s="252"/>
      </tp>
      <tp t="s">
        <v>#N/A Requesting Data...3166196815</v>
        <stp/>
        <stp>BDP|15227373250511500153</stp>
        <tr r="X14" s="338"/>
      </tp>
      <tp t="s">
        <v>#N/A Requesting Data...2341488815</v>
        <stp/>
        <stp>BDP|13044527620903591424</stp>
        <tr r="U15" s="338"/>
        <tr r="U39" s="338"/>
      </tp>
      <tp t="s">
        <v>#N/A N/A</v>
        <stp/>
        <stp>BDP|16066178257148215968</stp>
        <tr r="AV14" s="2"/>
        <tr r="R62" s="89"/>
        <tr r="R63" s="89"/>
        <tr r="AV15" s="2"/>
        <tr r="AV17" s="2"/>
        <tr r="AV16" s="2"/>
      </tp>
      <tp t="s">
        <v>#N/A Requesting Data...1519372604</v>
        <stp/>
        <stp>BDP|12718343677950174519</stp>
        <tr r="E7" s="1"/>
        <tr r="K19" s="1"/>
      </tp>
      <tp t="s">
        <v>#N/A Requesting Data...3247283862</v>
        <stp/>
        <stp>BDP|10051767211612645755</stp>
        <tr r="E21" s="2"/>
      </tp>
      <tp t="s">
        <v>#N/A Requesting Data...3191594669</v>
        <stp/>
        <stp>BDP|14592404034766531631</stp>
        <tr r="S53" s="338"/>
      </tp>
      <tp t="s">
        <v>#N/A Requesting Data...4186252090</v>
        <stp/>
        <stp>BDP|11486261538490579386</stp>
        <tr r="AH55" s="338"/>
        <tr r="AI14" s="338"/>
        <tr r="AI55" s="338"/>
      </tp>
      <tp t="s">
        <v>#N/A Requesting Data...2637931668</v>
        <stp/>
        <stp>BDP|14563056355411273301</stp>
        <tr r="D34" s="89"/>
      </tp>
      <tp t="s">
        <v>#N/A Requesting Data...4278494977</v>
        <stp/>
        <stp>BDP|10407776681355403913</stp>
        <tr r="AI9" s="338"/>
      </tp>
      <tp t="s">
        <v>#N/A Requesting Data...1779599546</v>
        <stp/>
        <stp>BDP|14730076527710394522</stp>
        <tr r="K3" s="1"/>
      </tp>
      <tp t="b">
        <v>0</v>
        <stp/>
        <stp>BDH|11596458941611906385</stp>
        <tr r="AR38" s="338"/>
        <tr r="AR17" s="338"/>
        <tr r="AR44" s="338"/>
        <tr r="AR16" s="338"/>
        <tr r="AR52" s="338"/>
        <tr r="AR39" s="338"/>
        <tr r="AR15" s="338"/>
      </tp>
      <tp t="b">
        <v>0</v>
        <stp/>
        <stp>BDH|14583815225278766527</stp>
        <tr r="J8" s="252"/>
      </tp>
      <tp t="b">
        <v>0</v>
        <stp/>
        <stp>BDH|10232271617231031163</stp>
        <tr r="AN37" s="338"/>
      </tp>
      <tp t="b">
        <v>0</v>
        <stp/>
        <stp>BDH|10054022423711512021</stp>
        <tr r="AR29" s="338"/>
      </tp>
      <tp t="b">
        <v>0</v>
        <stp/>
        <stp>BDH|10912132563775977191</stp>
        <tr r="AM52" s="338"/>
        <tr r="AM54" s="338"/>
        <tr r="AM53" s="338"/>
      </tp>
      <tp t="b">
        <v>0</v>
        <stp/>
        <stp>BDH|12505864929619636265</stp>
        <tr r="AP35" s="338"/>
        <tr r="AP14" s="338"/>
      </tp>
      <tp t="b">
        <v>0</v>
        <stp/>
        <stp>BDH|18372738994241038486</stp>
        <tr r="AM34" s="338"/>
        <tr r="AM13" s="338"/>
      </tp>
      <tp t="s">
        <v>USD</v>
        <stp/>
        <stp>BDP|1317667679904084219|22</stp>
        <stp>NFLX US 03/20/26 P90 Equity</stp>
        <stp>QUOTED_CURRENCY_REALTIME</stp>
        <tr r="F187" s="89"/>
      </tp>
      <tp>
        <v>-3.0241502448916435E-2</v>
        <stp/>
        <stp>BDP|2414594441666047375|22</stp>
        <stp>GDX US 09/18/26 C115 Equity</stp>
        <stp>theta_mid_rt</stp>
        <tr r="AN10" s="2"/>
      </tp>
      <tp t="s">
        <v>#N/A Real Time</v>
        <stp/>
        <stp>BDP|8550151833773817651|22</stp>
        <stp>3OF5C    22500 Index</stp>
        <stp>bid</stp>
        <tr r="K109" s="89"/>
      </tp>
      <tp t="s">
        <v>#N/A Requesting Data...3723244065</v>
        <stp/>
        <stp>BDP|14418992521239609632</stp>
        <tr r="T81" s="89"/>
      </tp>
      <tp t="s">
        <v>#N/A Requesting Data...4102571807</v>
        <stp/>
        <stp>BDP|17314881181040082738</stp>
        <tr r="T205" s="89"/>
      </tp>
      <tp t="s">
        <v>#N/A N/A</v>
        <stp/>
        <stp>BDP|13215475469594762530</stp>
        <tr r="AB89" s="89"/>
        <tr r="AB90" s="89"/>
      </tp>
      <tp t="s">
        <v>#N/A Requesting Data...3708662845</v>
        <stp/>
        <stp>BDP|10538723357113113195</stp>
        <tr r="C212" s="89"/>
      </tp>
      <tp t="s">
        <v>#N/A Requesting Data...3523456134</v>
        <stp/>
        <stp>BDP|10384653628097195348</stp>
        <tr r="V33" s="338"/>
      </tp>
      <tp t="s">
        <v>#N/A Requesting Data...2393340444</v>
        <stp/>
        <stp>BDP|15830810886156463309</stp>
        <tr r="AA89" s="89"/>
        <tr r="Z89" s="89"/>
      </tp>
      <tp t="s">
        <v>#N/A Requesting Data...2806582316</v>
        <stp/>
        <stp>BDP|16329127935980609498</stp>
        <tr r="M9" s="252"/>
      </tp>
      <tp t="s">
        <v>#N/A Requesting Data...3026007962</v>
        <stp/>
        <stp>BDP|10213293417720387350</stp>
        <tr r="V20" s="89"/>
      </tp>
      <tp t="s">
        <v>#N/A Requesting Data...1669487459</v>
        <stp/>
        <stp>BDP|14136785762373472653</stp>
        <tr r="P12" s="338"/>
      </tp>
      <tp t="s">
        <v>#N/A Requesting Data...2057347859</v>
        <stp/>
        <stp>BDP|10907713945543986097</stp>
        <tr r="AJ12" s="338"/>
      </tp>
      <tp t="s">
        <v>#N/A Requesting Data...4032645492</v>
        <stp/>
        <stp>BDP|18157396268365948849</stp>
        <tr r="G32" s="446"/>
      </tp>
      <tp t="s">
        <v>#N/A Requesting Data...3086565467</v>
        <stp/>
        <stp>BDP|12322490716684467354</stp>
        <tr r="V14" s="89"/>
        <tr r="AD23" s="2"/>
      </tp>
      <tp t="s">
        <v>#N/A Requesting Data...3264162869</v>
        <stp/>
        <stp>BDP|16998277646851211171</stp>
        <tr r="C40" s="89"/>
      </tp>
      <tp t="s">
        <v>#N/A Requesting Data...1471504667</v>
        <stp/>
        <stp>BDP|10224241980952801827</stp>
        <tr r="V34" s="89"/>
      </tp>
      <tp t="s">
        <v>#N/A Requesting Data...1493069873</v>
        <stp/>
        <stp>BDP|18108361989784462767</stp>
        <tr r="AR6" s="2"/>
      </tp>
      <tp t="s">
        <v>#N/A Requesting Data...2947204645</v>
        <stp/>
        <stp>BDP|17187500422678411886</stp>
        <tr r="T62" s="89"/>
        <tr r="AA16" s="2"/>
      </tp>
      <tp t="s">
        <v>#N/A Requesting Data...1483957411</v>
        <stp/>
        <stp>BDP|11850099902500446183</stp>
        <tr r="AR23" s="2"/>
      </tp>
      <tp t="s">
        <v>#N/A Requesting Data...1798059874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Requesting Data...2128804686</v>
        <stp/>
        <stp>BDP|16064123849234228774</stp>
        <tr r="Q11" s="338"/>
      </tp>
      <tp t="s">
        <v>#N/A N/A</v>
        <stp/>
        <stp>BDP|13846974553487624841</stp>
        <tr r="AQ20" s="2"/>
        <tr r="AB203" s="89"/>
        <tr r="AB204" s="89"/>
        <tr r="AB205" s="89"/>
        <tr r="AB211" s="89"/>
        <tr r="AB212" s="89"/>
        <tr r="AB213" s="89"/>
        <tr r="AB33" s="89"/>
        <tr r="AB68" s="89"/>
        <tr r="AB69" s="89"/>
        <tr r="AB75" s="89"/>
        <tr r="AB76" s="89"/>
        <tr r="AB81" s="89"/>
        <tr r="AB82" s="89"/>
      </tp>
      <tp t="s">
        <v>#N/A Requesting Data...2117617718</v>
        <stp/>
        <stp>BDP|10105680387859953799</stp>
        <tr r="AA20" s="2"/>
        <tr r="T33" s="89"/>
      </tp>
      <tp t="s">
        <v>#N/A Requesting Data...4231320606</v>
        <stp/>
        <stp>BDP|13092497781378873713</stp>
        <tr r="E76" s="89"/>
      </tp>
      <tp t="s">
        <v>#N/A Requesting Data...3157333194</v>
        <stp/>
        <stp>BDP|14597180097325807932</stp>
        <tr r="O34" s="89"/>
      </tp>
      <tp t="s">
        <v>#N/A Requesting Data...2400329404</v>
        <stp/>
        <stp>BDP|13176433799579956737</stp>
        <tr r="C16" s="2"/>
      </tp>
      <tp t="s">
        <v>#N/A Requesting Data...1984405691</v>
        <stp/>
        <stp>BDP|11877678453870847248</stp>
        <tr r="AJ29" s="338"/>
        <tr r="AJ30" s="338"/>
      </tp>
      <tp t="s">
        <v>#N/A Requesting Data...4071271299</v>
        <stp/>
        <stp>BDP|17979638844017722292</stp>
        <tr r="E224" s="89"/>
      </tp>
      <tp t="s">
        <v>#N/A Requesting Data...1782824038</v>
        <stp/>
        <stp>BDP|12913131077284987044</stp>
        <tr r="T55" s="89"/>
        <tr r="AA4" s="2"/>
      </tp>
      <tp t="s">
        <v>#N/A Requesting Data...3112745977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Data...1636116415</v>
        <stp/>
        <stp>BDP|17857693024795624634</stp>
        <tr r="V19" s="89"/>
      </tp>
      <tp t="s">
        <v>#N/A Requesting Data...2535908938</v>
        <stp/>
        <stp>BDP|14736375789817362891</stp>
        <tr r="AC2" s="1"/>
        <tr r="AD2" s="1"/>
      </tp>
      <tp t="s">
        <v>#N/A N/A</v>
        <stp/>
        <stp>BDP|10445203744035528368</stp>
        <tr r="AC10" s="2"/>
        <tr r="AC9" s="2"/>
      </tp>
      <tp t="s">
        <v>#N/A Requesting Data...3423929822</v>
        <stp/>
        <stp>BDP|10709542423404602352</stp>
        <tr r="Q55" s="338"/>
      </tp>
      <tp t="s">
        <v>#N/A Requesting Data...3723539914</v>
        <stp/>
        <stp>BDP|16915999897423444512</stp>
        <tr r="AC24" s="1"/>
      </tp>
      <tp t="s">
        <v>#N/A Requesting Data...4141573303</v>
        <stp/>
        <stp>BDP|11760219723344715507</stp>
        <tr r="V26" s="89"/>
      </tp>
      <tp t="s">
        <v>#N/A Requesting Data...3607994859</v>
        <stp/>
        <stp>BDP|13439578072010389109</stp>
        <tr r="O225" s="89"/>
      </tp>
      <tp t="s">
        <v>#N/A Requesting Data...2177119347</v>
        <stp/>
        <stp>BDP|11184865175579332734</stp>
        <tr r="F12" s="446"/>
      </tp>
      <tp t="s">
        <v>#N/A Requesting Data...2901491528</v>
        <stp/>
        <stp>BDP|12133420967599732913</stp>
        <tr r="AG12" s="338"/>
      </tp>
      <tp t="s">
        <v>#N/A Requesting Data...3541736538</v>
        <stp/>
        <stp>BDP|15122146107040099471</stp>
        <tr r="E55" s="89"/>
      </tp>
      <tp t="s">
        <v>#N/A Requesting Data...3554228635</v>
        <stp/>
        <stp>BDP|15022453490698167011</stp>
        <tr r="AD18" s="2"/>
      </tp>
      <tp t="s">
        <v>#N/A Requesting Data...1659305343</v>
        <stp/>
        <stp>BDP|11301603537853289723</stp>
        <tr r="T18" s="338"/>
      </tp>
      <tp t="s">
        <v>#N/A Requesting Data...2413888508</v>
        <stp/>
        <stp>BDP|17819773794190840945</stp>
        <tr r="P17" s="252"/>
      </tp>
      <tp t="s">
        <v>#N/A Requesting Data...3008778469</v>
        <stp/>
        <stp>BDP|14405326057281461339</stp>
        <tr r="E236" s="89"/>
      </tp>
      <tp t="s">
        <v>#N/A Requesting Data...2712152858</v>
        <stp/>
        <stp>BDP|11542574144783666360</stp>
        <tr r="F41" s="446"/>
      </tp>
      <tp t="s">
        <v>#N/A Requesting Data...1615562943</v>
        <stp/>
        <stp>BDP|10347220747614218226</stp>
        <tr r="O203" s="89"/>
      </tp>
      <tp t="b">
        <v>0</v>
        <stp/>
        <stp>BDH|14901772953832908445</stp>
        <tr r="AN32" s="338"/>
        <tr r="AN31" s="338"/>
      </tp>
      <tp t="b">
        <v>0</v>
        <stp/>
        <stp>BDH|10848866183172554258</stp>
        <tr r="AU30" s="338"/>
      </tp>
      <tp t="s">
        <v>USD</v>
        <stp/>
        <stp>BDP|2710784205974410109|22</stp>
        <stp>ASHR US 02/20/26 C35 Equity</stp>
        <stp>QUOTED_CURRENCY_REALTIME</stp>
        <tr r="G7" s="2"/>
      </tp>
      <tp t="s">
        <v>#N/A Real Time</v>
        <stp/>
        <stp>BDP|7488669990583969064|22</stp>
        <stp>SPXW US 12/31/25 C6950 Index</stp>
        <stp>ask</stp>
        <tr r="L160" s="89"/>
      </tp>
      <tp>
        <v>32.9</v>
        <stp/>
        <stp>BDP|3050834555440308322|22</stp>
        <stp>LITE US 03/20/26 C420 Equity</stp>
        <stp>bid</stp>
        <tr r="K8" s="89"/>
        <tr r="P11" s="2"/>
      </tp>
      <tp t="s">
        <v>#N/A Requesting Data...2942736353</v>
        <stp/>
        <stp>BDP|10801083268771247632</stp>
        <tr r="D90" s="89"/>
      </tp>
      <tp t="s">
        <v>#N/A Requesting Data...4221175089</v>
        <stp/>
        <stp>BDP|15656499554320397517</stp>
        <tr r="AA196" s="89"/>
        <tr r="Z196" s="89"/>
      </tp>
      <tp t="s">
        <v>#N/A Requesting Data...2814416219</v>
        <stp/>
        <stp>BDP|16715867013956947830</stp>
        <tr r="AA56" s="89"/>
        <tr r="Z56" s="89"/>
      </tp>
      <tp t="s">
        <v>#N/A Requesting Data...3803187325</v>
        <stp/>
        <stp>BDP|11531803114351862812</stp>
        <tr r="F11" s="2"/>
      </tp>
      <tp t="s">
        <v>#N/A Requesting Data...4011682768</v>
        <stp/>
        <stp>BDP|12055500611067822013</stp>
        <tr r="AJ31" s="338"/>
        <tr r="AJ32" s="338"/>
        <tr r="AH31" s="338"/>
        <tr r="AH32" s="338"/>
      </tp>
      <tp t="s">
        <v>#N/A Requesting Data...2942538241</v>
        <stp/>
        <stp>BDP|10712352949092709470</stp>
        <tr r="AA19" s="89"/>
        <tr r="Z19" s="89"/>
      </tp>
      <tp t="s">
        <v>#N/A Requesting Data...3800613656</v>
        <stp/>
        <stp>BDP|14212859632916868866</stp>
        <tr r="Q45" s="338"/>
      </tp>
      <tp t="s">
        <v>#N/A Requesting Data...2545969841</v>
        <stp/>
        <stp>BDP|14336270361883873268</stp>
        <tr r="E62" s="89"/>
      </tp>
      <tp t="s">
        <v>#N/A Requesting Data...3747551631</v>
        <stp/>
        <stp>BDP|15783676161145872136</stp>
        <tr r="O12" s="252"/>
      </tp>
      <tp t="s">
        <v>#N/A Requesting Data...2125802291</v>
        <stp/>
        <stp>BDP|10827554593684445907</stp>
        <tr r="AG28" s="1"/>
      </tp>
      <tp t="s">
        <v>#N/A Requesting Data...2338814417</v>
        <stp/>
        <stp>BDP|10651894387614235500</stp>
        <tr r="V138" s="89"/>
      </tp>
      <tp t="s">
        <v>#N/A Requesting Data...1636860646</v>
        <stp/>
        <stp>BDP|10435868994421818135</stp>
        <tr r="C23" s="2"/>
      </tp>
      <tp t="s">
        <v>#N/A Requesting Data...1991473439</v>
        <stp/>
        <stp>BDP|18017376398746707540</stp>
        <tr r="G37" s="446"/>
      </tp>
      <tp t="s">
        <v>#N/A Requesting Data...2719231513</v>
        <stp/>
        <stp>BDP|17365785494690778868</stp>
        <tr r="E5" s="1"/>
        <tr r="K17" s="1"/>
      </tp>
      <tp t="s">
        <v>#N/A Requesting Data...2234135709</v>
        <stp/>
        <stp>BDP|11154785569869703897</stp>
        <tr r="V101" s="89"/>
      </tp>
      <tp t="s">
        <v>#N/A Requesting Data...3173994762</v>
        <stp/>
        <stp>BDP|15611895190386842392</stp>
        <tr r="O212" s="89"/>
      </tp>
      <tp t="s">
        <v>#N/A Requesting Data...2008012916</v>
        <stp/>
        <stp>BDP|15429373874678916801</stp>
        <tr r="C55" s="89"/>
        <tr r="D4" s="2"/>
      </tp>
      <tp t="s">
        <v>#N/A Requesting Data...2136438038</v>
        <stp/>
        <stp>BDP|13462113802766482523</stp>
        <tr r="P51" s="338"/>
      </tp>
      <tp t="s">
        <v>#N/A Requesting Data...3041526683</v>
        <stp/>
        <stp>BDP|16316216903460593558</stp>
        <tr r="C27" s="89"/>
      </tp>
      <tp t="s">
        <v>#N/A Requesting Data...4173720433</v>
        <stp/>
        <stp>BDP|13507309990980542809</stp>
        <tr r="P54" s="338"/>
      </tp>
      <tp t="s">
        <v>#N/A Requesting Data...2376295081</v>
        <stp/>
        <stp>BDP|13251961527568785177</stp>
        <tr r="L41" s="338"/>
        <tr r="H41" s="338"/>
        <tr r="L42" s="338"/>
        <tr r="H42" s="338"/>
      </tp>
      <tp t="s">
        <v>#N/A Requesting Data...3550016278</v>
        <stp/>
        <stp>BDP|10532025680450781936</stp>
        <tr r="T53" s="338"/>
      </tp>
      <tp t="s">
        <v>#N/A Requesting Data...3174299775</v>
        <stp/>
        <stp>BDP|15584846954420486925</stp>
        <tr r="V30" s="338"/>
      </tp>
      <tp t="s">
        <v>#N/A Requesting Data...2418887431</v>
        <stp/>
        <stp>BDP|12417922592843377049</stp>
        <tr r="V50" s="338"/>
      </tp>
      <tp t="s">
        <v>#N/A Requesting Data...4212416542</v>
        <stp/>
        <stp>BDP|15633972697785552118</stp>
        <tr r="V115" s="89"/>
      </tp>
      <tp t="s">
        <v>#N/A Requesting Data...2783626590</v>
        <stp/>
        <stp>BDP|15698160403534380128</stp>
        <tr r="AB16" s="1"/>
      </tp>
      <tp t="s">
        <v>#N/A Requesting Data...3526471808</v>
        <stp/>
        <stp>BDP|10829342338896620706</stp>
        <tr r="D204" s="89"/>
      </tp>
      <tp t="s">
        <v>#N/A Requesting Data...2792666863</v>
        <stp/>
        <stp>BDP|11998355979195097173</stp>
        <tr r="T160" s="89"/>
      </tp>
      <tp t="s">
        <v>#N/A Requesting Data...1681759921</v>
        <stp/>
        <stp>BDP|16353514989043023996</stp>
        <tr r="AH14" s="338"/>
        <tr r="AH35" s="338"/>
        <tr r="AJ14" s="338"/>
        <tr r="AJ35" s="338"/>
      </tp>
      <tp t="s">
        <v>#N/A Requesting Data...1857284093</v>
        <stp/>
        <stp>BDP|12456380201726902619</stp>
        <tr r="AA50" s="89"/>
        <tr r="Z50" s="89"/>
      </tp>
      <tp t="s">
        <v>#N/A Requesting Data...4188950997</v>
        <stp/>
        <stp>BDP|11157579934717202151</stp>
        <tr r="V136" s="89"/>
      </tp>
      <tp t="s">
        <v>#N/A Requesting Data...4223208666</v>
        <stp/>
        <stp>BDP|16176003730321499511</stp>
        <tr r="L9" s="338"/>
        <tr r="J9" s="338"/>
      </tp>
      <tp t="s">
        <v>#N/A Requesting Data...4057599380</v>
        <stp/>
        <stp>BDP|16488629082059415041</stp>
        <tr r="M15" s="252"/>
      </tp>
      <tp t="s">
        <v>#N/A Requesting Data...3077890260</v>
        <stp/>
        <stp>BDP|13170702077463225105</stp>
        <tr r="V102" s="89"/>
      </tp>
      <tp t="s">
        <v>#N/A Requesting Data...1787907965</v>
        <stp/>
        <stp>BDP|18267029483522135357</stp>
        <tr r="C19" s="89"/>
      </tp>
      <tp t="s">
        <v>#N/A Requesting Data...3396537565</v>
        <stp/>
        <stp>BDP|15665722340580183729</stp>
        <tr r="AH17" s="338"/>
        <tr r="AH18" s="338"/>
      </tp>
      <tp t="s">
        <v>#N/A Requesting Data...4036597417</v>
        <stp/>
        <stp>BDP|15153756229823388297</stp>
        <tr r="D6" s="2"/>
      </tp>
      <tp t="s">
        <v>#N/A Requesting Data...3757290861</v>
        <stp/>
        <stp>BDP|10682710845653266163</stp>
        <tr r="E96" s="89"/>
      </tp>
      <tp t="s">
        <v>#N/A Requesting Data...1995197512</v>
        <stp/>
        <stp>BDP|10764751743486083471</stp>
        <tr r="E7" s="2"/>
      </tp>
      <tp t="s">
        <v>#N/A Requesting Data...3240528714</v>
        <stp/>
        <stp>BDP|14562048524442507562</stp>
        <tr r="AA49" s="89"/>
        <tr r="Z49" s="89"/>
      </tp>
      <tp t="s">
        <v>#N/A Requesting Data...4127228172</v>
        <stp/>
        <stp>BDP|14914589903223067341</stp>
        <tr r="AH31" s="338"/>
        <tr r="AH32" s="338"/>
      </tp>
      <tp t="s">
        <v>#N/A Requesting Data...3332254228</v>
        <stp/>
        <stp>BDP|13078977087646612504</stp>
        <tr r="C81" s="89"/>
      </tp>
      <tp t="s">
        <v>#N/A Requesting Data...2188940436</v>
        <stp/>
        <stp>BDP|18379492061603418894</stp>
        <tr r="Q13" s="338"/>
      </tp>
      <tp t="b">
        <v>0</v>
        <stp/>
        <stp>BDH|12501223725310314358</stp>
        <tr r="AR18" s="338"/>
      </tp>
      <tp t="b">
        <v>0</v>
        <stp/>
        <stp>BDH|14836635556213218569</stp>
        <tr r="AP9" s="338"/>
        <tr r="AP8" s="338"/>
      </tp>
      <tp t="b">
        <v>0</v>
        <stp/>
        <stp>BDH|14401082628493720493</stp>
        <tr r="AP37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Data...4164959001</v>
        <stp/>
        <stp>BDP|10297523734239490992</stp>
        <tr r="F19" s="446"/>
        <tr r="AB33" s="1"/>
      </tp>
      <tp t="s">
        <v>#N/A Requesting Data...2523652456</v>
        <stp/>
        <stp>BDP|12796713228197729608</stp>
        <tr r="P20" s="252"/>
      </tp>
      <tp t="s">
        <v>#N/A Requesting Data...2841459192</v>
        <stp/>
        <stp>BDP|14277784462456832595</stp>
        <tr r="L17" s="338"/>
        <tr r="L18" s="338"/>
        <tr r="H17" s="338"/>
        <tr r="H18" s="338"/>
      </tp>
      <tp t="s">
        <v>#N/A Requesting Data...3538732069</v>
        <stp/>
        <stp>BDP|15345577350865826658</stp>
        <tr r="V211" s="89"/>
      </tp>
      <tp t="s">
        <v>#N/A Requesting Data...1574589676</v>
        <stp/>
        <stp>BDP|17424699323975103062</stp>
        <tr r="K23" s="1"/>
      </tp>
      <tp t="s">
        <v>#N/A Requesting Data...2583374078</v>
        <stp/>
        <stp>BDP|13066894584424507113</stp>
        <tr r="AA186" s="89"/>
        <tr r="Z186" s="89"/>
      </tp>
      <tp t="s">
        <v>#N/A Requesting Data...1981195449</v>
        <stp/>
        <stp>BDP|13534980394766736373</stp>
        <tr r="AG31" s="1"/>
      </tp>
      <tp t="s">
        <v>#N/A Requesting Data...3887440668</v>
        <stp/>
        <stp>BDP|17797289754802274410</stp>
        <tr r="AH16" s="338"/>
        <tr r="AH38" s="338"/>
        <tr r="AH40" s="338"/>
      </tp>
      <tp t="s">
        <v>#N/A Requesting Data...2716603234</v>
        <stp/>
        <stp>BDP|11992255575683104108</stp>
        <tr r="D33" s="89"/>
      </tp>
      <tp t="s">
        <v>#N/A Requesting Data...2734681644</v>
        <stp/>
        <stp>BDP|13950429544874140162</stp>
        <tr r="AA82" s="89"/>
        <tr r="Z82" s="89"/>
      </tp>
      <tp t="s">
        <v>#N/A Requesting Data...3830938568</v>
        <stp/>
        <stp>BDP|16115925375469725792</stp>
        <tr r="F9" s="2"/>
      </tp>
      <tp t="s">
        <v>#N/A Requesting Data...3643692970</v>
        <stp/>
        <stp>BDP|10811773521330276340</stp>
        <tr r="F42" s="446"/>
      </tp>
      <tp t="s">
        <v>#N/A Requesting Data...4177410830</v>
        <stp/>
        <stp>BDP|10555016852265553684</stp>
        <tr r="V222" s="89"/>
      </tp>
      <tp t="s">
        <v>#N/A Requesting Data...2903535958</v>
        <stp/>
        <stp>BDP|11364787337662503131</stp>
        <tr r="L48" s="338"/>
        <tr r="J48" s="338"/>
        <tr r="L49" s="338"/>
        <tr r="J49" s="338"/>
      </tp>
      <tp t="s">
        <v>#N/A Requesting Data...2563583088</v>
        <stp/>
        <stp>BDP|11872742860665595345</stp>
        <tr r="C203" s="89"/>
      </tp>
      <tp t="s">
        <v>#N/A Requesting Data...2290913827</v>
        <stp/>
        <stp>BDP|10592355801820537596</stp>
        <tr r="V225" s="89"/>
      </tp>
      <tp t="s">
        <v>#N/A Requesting Data...2717476282</v>
        <stp/>
        <stp>BDP|12754284242295866781</stp>
        <tr r="Y6" s="252"/>
      </tp>
      <tp t="s">
        <v>#N/A Requesting Data...3969779502</v>
        <stp/>
        <stp>BDP|18269203655158880133</stp>
        <tr r="F39" s="446"/>
      </tp>
      <tp t="s">
        <v>#N/A Requesting Data...2800261088</v>
        <stp/>
        <stp>BDP|12227291512562192542</stp>
        <tr r="AJ37" s="338"/>
      </tp>
      <tp t="s">
        <v>#N/A Requesting Data...2749627533</v>
        <stp/>
        <stp>BDP|16951549404092060765</stp>
        <tr r="V109" s="89"/>
      </tp>
      <tp t="s">
        <v>#N/A Requesting Data...1565211180</v>
        <stp/>
        <stp>BDP|14465682678745316685</stp>
        <tr r="V171" s="89"/>
      </tp>
      <tp t="s">
        <v>#N/A Requesting Data...4052242031</v>
        <stp/>
        <stp>BDP|11386689669882555588</stp>
        <tr r="E122" s="89"/>
      </tp>
      <tp t="s">
        <v>#N/A Requesting Data...1799917109</v>
        <stp/>
        <stp>BDP|16786358086579802228</stp>
        <tr r="E5" s="2"/>
      </tp>
      <tp t="s">
        <v>#N/A Requesting Data...2712107269</v>
        <stp/>
        <stp>BDP|16385386864915757060</stp>
        <tr r="T54" s="338"/>
      </tp>
      <tp t="s">
        <v>#N/A Requesting Data...4148232924</v>
        <stp/>
        <stp>BDP|13639162762852624052</stp>
        <tr r="AF23" s="1"/>
      </tp>
      <tp t="s">
        <v>#N/A Requesting Data...3358944885</v>
        <stp/>
        <stp>BDP|16302213673966019302</stp>
        <tr r="V224" s="89"/>
      </tp>
      <tp t="s">
        <v>#N/A Requesting Data...3217038794</v>
        <stp/>
        <stp>BDP|14172029208847257580</stp>
        <tr r="V42" s="338"/>
      </tp>
      <tp t="s">
        <v>#N/A Requesting Data...3042808736</v>
        <stp/>
        <stp>BDP|11529244177927244541</stp>
        <tr r="Q18" s="338"/>
      </tp>
      <tp t="s">
        <v>#N/A Requesting Data...2977802958</v>
        <stp/>
        <stp>BDP|17101265217926745477</stp>
        <tr r="D7" s="89"/>
      </tp>
      <tp t="s">
        <v>#N/A Requesting Data...3980848786</v>
        <stp/>
        <stp>BDP|10374609618263940213</stp>
        <tr r="S30" s="338"/>
      </tp>
      <tp t="s">
        <v>#N/A Requesting Data...3348635649</v>
        <stp/>
        <stp>BDP|11156706822837900596</stp>
        <tr r="V51" s="338"/>
      </tp>
      <tp t="s">
        <v>#N/A N/A</v>
        <stp/>
        <stp>BDP|10137680139817712447</stp>
        <tr r="AC18" s="2"/>
        <tr r="AC19" s="2"/>
      </tp>
      <tp t="s">
        <v>#N/A Requesting Data...1727156980</v>
        <stp/>
        <stp>BDP|18365939499897354990</stp>
        <tr r="D160" s="89"/>
      </tp>
      <tp t="s">
        <v>#N/A Requesting Data...3837857985</v>
        <stp/>
        <stp>BDP|15452088774745294193</stp>
        <tr r="AA14" s="89"/>
        <tr r="Z14" s="89"/>
      </tp>
      <tp t="s">
        <v>#N/A Requesting Data...2043121399</v>
        <stp/>
        <stp>BDP|11064610705050727104</stp>
        <tr r="V137" s="89"/>
      </tp>
      <tp t="s">
        <v>#N/A Requesting Data...2632019610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Data...3484894562</v>
        <stp/>
        <stp>BDP|16272552922964616315</stp>
        <tr r="T129" s="89"/>
      </tp>
      <tp t="s">
        <v>#N/A Requesting Data...2767773553</v>
        <stp/>
        <stp>BDP|10078809003498061665</stp>
        <tr r="AH12" s="338"/>
      </tp>
      <tp t="s">
        <v>#N/A Requesting Data...3172493560</v>
        <stp/>
        <stp>BDP|11277689408467201656</stp>
        <tr r="T13" s="338"/>
      </tp>
      <tp t="s">
        <v>#N/A Requesting Data...3083130531</v>
        <stp/>
        <stp>BDP|13974956684510873453</stp>
        <tr r="D123" s="89"/>
      </tp>
      <tp t="s">
        <v>#N/A Requesting Data...3364177022</v>
        <stp/>
        <stp>BDP|10427861548958967244</stp>
        <tr r="AJ55" s="338"/>
        <tr r="AK14" s="338"/>
        <tr r="AK55" s="338"/>
      </tp>
      <tp t="s">
        <v>#N/A Requesting Data...2093122791</v>
        <stp/>
        <stp>BDP|12964383061440508121</stp>
        <tr r="S49" s="338"/>
      </tp>
      <tp t="s">
        <v>#N/A Requesting Data...3885363327</v>
        <stp/>
        <stp>BDP|17935753969917403773</stp>
        <tr r="F11" s="252"/>
      </tp>
      <tp t="s">
        <v>#N/A Requesting Data...2988514982</v>
        <stp/>
        <stp>BDP|16562085350705983025</stp>
        <tr r="D223" s="89"/>
      </tp>
      <tp t="s">
        <v>#N/A Requesting Data...2283377644</v>
        <stp/>
        <stp>BDP|10542746004898665953</stp>
        <tr r="AR4" s="2"/>
      </tp>
      <tp t="s">
        <v>#N/A Requesting Data...2175969444</v>
        <stp/>
        <stp>BDP|12893396681958013760</stp>
        <tr r="C95" s="89"/>
      </tp>
      <tp t="b">
        <v>0</v>
        <stp/>
        <stp>BDH|10959678561493876560</stp>
        <tr r="AP36" s="338"/>
      </tp>
      <tp t="b">
        <v>0</v>
        <stp/>
        <stp>BDH|10658776607639471809</stp>
        <tr r="J18" s="252"/>
      </tp>
      <tp t="b">
        <v>0</v>
        <stp/>
        <stp>BDH|11117704741541044544</stp>
        <tr r="AS30" s="338"/>
      </tp>
      <tp t="b">
        <v>0</v>
        <stp/>
        <stp>BDH|17971409355675783559</stp>
        <tr r="AS51" s="338"/>
        <tr r="AS31" s="338"/>
        <tr r="AS47" s="338"/>
        <tr r="AS33" s="338"/>
        <tr r="AN49" s="338"/>
        <tr r="AN45" s="338"/>
        <tr r="AN46" s="338"/>
        <tr r="AS41" s="338"/>
      </tp>
      <tp t="s">
        <v>USD</v>
        <stp/>
        <stp>BDP|2423561100599861373|22</stp>
        <stp>INTC US 07/17/26 P40 Equity</stp>
        <stp>QUOTED_CURRENCY_REALTIME</stp>
        <tr r="F197" s="89"/>
      </tp>
      <tp>
        <v>33.200000000000003</v>
        <stp/>
        <stp>BDP|5005092167591802286|22</stp>
        <stp>META US 04/17/26 C690 Equity</stp>
        <stp>bid</stp>
        <tr r="P12" s="2"/>
        <tr r="K170" s="89"/>
      </tp>
      <tp t="s">
        <v>#N/A Requesting Data...2586653327</v>
        <stp/>
        <stp>BDP|14882631572614102616</stp>
        <tr r="S10" s="252"/>
      </tp>
      <tp t="s">
        <v>#N/A Requesting Data...1926831789</v>
        <stp/>
        <stp>BDP|14531256854956960242</stp>
        <tr r="C196" s="89"/>
      </tp>
      <tp t="s">
        <v>#N/A Requesting Data...4110750536</v>
        <stp/>
        <stp>BDP|14222470646161364298</stp>
        <tr r="C14" s="2"/>
      </tp>
      <tp t="s">
        <v>#N/A Requesting Data...2462609810</v>
        <stp/>
        <stp>BDP|13396250829954504031</stp>
        <tr r="O222" s="89"/>
      </tp>
      <tp t="s">
        <v>#N/A Requesting Data...1828512063</v>
        <stp/>
        <stp>BDP|18254298125537508829</stp>
        <tr r="E204" s="89"/>
      </tp>
      <tp t="s">
        <v>#N/A Requesting Data...3074245212</v>
        <stp/>
        <stp>BDP|11796231449483478311</stp>
        <tr r="V82" s="89"/>
      </tp>
      <tp t="s">
        <v>#N/A N/A</v>
        <stp/>
        <stp>BDP|17370707244810639397</stp>
        <tr r="AC8" s="2"/>
      </tp>
      <tp t="s">
        <v>#N/A Requesting Data...2859571210</v>
        <stp/>
        <stp>BDP|14546342925643453186</stp>
        <tr r="L8" s="338"/>
        <tr r="J8" s="338"/>
        <tr r="L32" s="338"/>
        <tr r="J32" s="338"/>
        <tr r="L46" s="338"/>
        <tr r="J46" s="338"/>
        <tr r="L50" s="338"/>
        <tr r="J50" s="338"/>
      </tp>
      <tp t="s">
        <v>#N/A Requesting Data...4025894740</v>
        <stp/>
        <stp>BDP|17432959968547661878</stp>
        <tr r="C39" s="89"/>
      </tp>
      <tp t="s">
        <v>#N/A Requesting Data...1883252596</v>
        <stp/>
        <stp>BDP|15404493773766767722</stp>
        <tr r="G36" s="446"/>
      </tp>
      <tp t="s">
        <v>#N/A Requesting Data...2076805364</v>
        <stp/>
        <stp>BDP|10498485443064599312</stp>
        <tr r="X50" s="338"/>
      </tp>
      <tp t="s">
        <v>#N/A Requesting Data...3100799954</v>
        <stp/>
        <stp>BDP|15078283603585761571</stp>
        <tr r="O171" s="89"/>
      </tp>
      <tp t="s">
        <v>#N/A Requesting Data...3631407062</v>
        <stp/>
        <stp>BDP|10402852163499001092</stp>
        <tr r="Q54" s="338"/>
      </tp>
      <tp t="s">
        <v>#N/A Requesting Data...2811645403</v>
        <stp/>
        <stp>BDP|18114698683463557242</stp>
        <tr r="AF33" s="1"/>
        <tr r="AG9" s="338"/>
      </tp>
      <tp t="s">
        <v>#N/A Requesting Data...2628939257</v>
        <stp/>
        <stp>BDP|14185986357608085749</stp>
        <tr r="V44" s="338"/>
      </tp>
      <tp t="s">
        <v>#N/A Requesting Data...3036956899</v>
        <stp/>
        <stp>BDP|13775077133931138686</stp>
        <tr r="AH41" s="338"/>
        <tr r="AH42" s="338"/>
        <tr r="AJ41" s="338"/>
        <tr r="AJ42" s="338"/>
      </tp>
      <tp t="s">
        <v>#N/A Requesting Data...1737183887</v>
        <stp/>
        <stp>BDP|15710273126027498587</stp>
        <tr r="E68" s="89"/>
      </tp>
      <tp t="s">
        <v>#N/A Requesting Data...2473855369</v>
        <stp/>
        <stp>BDP|17601997833672663804</stp>
        <tr r="AA234" s="89"/>
        <tr r="Z234" s="89"/>
      </tp>
      <tp t="s">
        <v>#N/A Requesting Data...4137401661</v>
        <stp/>
        <stp>BDP|14627889356148517678</stp>
        <tr r="E195" s="89"/>
      </tp>
      <tp t="s">
        <v>#N/A Requesting Data...2709822670</v>
        <stp/>
        <stp>BDP|14590579742297818521</stp>
        <tr r="K20" s="1"/>
      </tp>
      <tp t="s">
        <v>#N/A Requesting Data...1765952435</v>
        <stp/>
        <stp>BDP|14232577743505528792</stp>
        <tr r="F7" s="252"/>
      </tp>
      <tp t="s">
        <v>#N/A Requesting Data...2648365981</v>
        <stp/>
        <stp>BDP|14556104661927858316</stp>
        <tr r="K24" s="1"/>
        <tr r="K6" s="1"/>
      </tp>
      <tp t="s">
        <v>#N/A Requesting Data...3499130156</v>
        <stp/>
        <stp>BDP|12341108167772818008</stp>
        <tr r="T35" s="338"/>
      </tp>
      <tp t="s">
        <v>#N/A Requesting Data...4006143434</v>
        <stp/>
        <stp>BDP|15607530839212696655</stp>
        <tr r="AG15" s="1"/>
      </tp>
      <tp t="s">
        <v>#N/A Requesting Data...2129491146</v>
        <stp/>
        <stp>BDP|10253727379283384458</stp>
        <tr r="C56" s="89"/>
        <tr r="D5" s="2"/>
      </tp>
      <tp t="s">
        <v>#N/A Requesting Data...2182926888</v>
        <stp/>
        <stp>BDP|13772195236723550526</stp>
        <tr r="X55" s="338"/>
      </tp>
      <tp t="s">
        <v>#N/A Requesting Data...2622039763</v>
        <stp/>
        <stp>BDP|17524118567766475161</stp>
        <tr r="F20" s="252"/>
      </tp>
      <tp t="s">
        <v>#N/A Requesting Data...3515007542</v>
        <stp/>
        <stp>BDP|13483096816386354391</stp>
        <tr r="S54" s="338"/>
      </tp>
      <tp t="s">
        <v>#N/A Requesting Data...1997788689</v>
        <stp/>
        <stp>BDP|16190103000157320731</stp>
        <tr r="V144" s="89"/>
      </tp>
      <tp t="s">
        <v>#N/A Requesting Data...2253684094</v>
        <stp/>
        <stp>BDP|12052868717818962496</stp>
        <tr r="AI32" s="338"/>
        <tr r="AI46" s="338"/>
        <tr r="AI50" s="338"/>
        <tr r="AI8" s="338"/>
      </tp>
      <tp t="s">
        <v>#N/A Requesting Data...1707038004</v>
        <stp/>
        <stp>BDP|12678050625094398357</stp>
        <tr r="D35" s="446"/>
        <tr r="AC26" s="1"/>
      </tp>
      <tp t="s">
        <v>#N/A Requesting Data...1779748079</v>
        <stp/>
        <stp>BDP|10174429034410523025</stp>
        <tr r="E8" s="2"/>
      </tp>
      <tp t="s">
        <v>#N/A Requesting Data...3919579753</v>
        <stp/>
        <stp>BDP|14466338705836267600</stp>
        <tr r="C186" s="89"/>
      </tp>
      <tp t="s">
        <v>#N/A Requesting Data...1760691698</v>
        <stp/>
        <stp>BDP|12696369723990354409</stp>
        <tr r="C5" s="2"/>
      </tp>
      <tp t="s">
        <v>#N/A Requesting Data...3440680188</v>
        <stp/>
        <stp>BDP|13691107662271159260</stp>
        <tr r="AR22" s="2"/>
      </tp>
      <tp t="s">
        <v>#N/A Requesting Data...2970440638</v>
        <stp/>
        <stp>BDP|15357058437984658543</stp>
        <tr r="E108" s="89"/>
      </tp>
      <tp t="s">
        <v>#N/A N/A</v>
        <stp/>
        <stp>BDP|13548034063303146173</stp>
        <tr r="AC20" s="2"/>
      </tp>
      <tp t="s">
        <v>#N/A Requesting Data...3124015852</v>
        <stp/>
        <stp>BDP|16678311834407962683</stp>
        <tr r="V180" s="89"/>
      </tp>
      <tp t="s">
        <v>#N/A Requesting Data...2648467323</v>
        <stp/>
        <stp>BDP|10809595656630258773</stp>
        <tr r="N8" s="252"/>
        <tr r="N8" s="252"/>
      </tp>
      <tp t="s">
        <v>#N/A Requesting Data...4250784301</v>
        <stp/>
        <stp>BDP|11136935115988096638</stp>
        <tr r="AJ17" s="338"/>
        <tr r="AJ18" s="338"/>
      </tp>
      <tp t="s">
        <v>#N/A Requesting Data...4016992356</v>
        <stp/>
        <stp>BDP|17117535562106038540</stp>
        <tr r="X35" s="338"/>
      </tp>
      <tp t="s">
        <v>#N/A Requesting Data...3779426893</v>
        <stp/>
        <stp>BDP|11947265064485960753</stp>
        <tr r="U32" s="338"/>
      </tp>
      <tp t="s">
        <v>#N/A Requesting Data...4171186584</v>
        <stp/>
        <stp>BDP|13856641820218803820</stp>
        <tr r="AB13" s="1"/>
      </tp>
      <tp t="b">
        <v>0</v>
        <stp/>
        <stp>BDH|17018899019688322138</stp>
        <tr r="AS54" s="338"/>
      </tp>
      <tp t="b">
        <v>0</v>
        <stp/>
        <stp>BDH|11559638025205677737</stp>
        <tr r="AR42" s="338"/>
      </tp>
      <tp t="b">
        <v>0</v>
        <stp/>
        <stp>BDH|16913926681901100127</stp>
        <tr r="AU18" s="338"/>
      </tp>
      <tp>
        <v>82.51</v>
        <stp/>
        <stp>BDP|2057497571936690391|22</stp>
        <stp>XLP Equity</stp>
        <stp>LAST_PRICE</stp>
        <tr r="I33" s="1"/>
      </tp>
      <tp t="b">
        <v>0</v>
        <stp/>
        <stp>BDH|14841814459759862757</stp>
        <tr r="W19" s="252"/>
        <tr r="T19" s="252"/>
      </tp>
      <tp t="b">
        <v>0</v>
        <stp/>
        <stp>BDH|17663640529772248671</stp>
        <tr r="J15" s="252"/>
      </tp>
      <tp>
        <v>86</v>
        <stp/>
        <stp>BDP|9722167412074972561|22</stp>
        <stp>MXCN Index</stp>
        <stp>LAST_PRICE</stp>
        <tr r="H17" s="252"/>
        <tr r="H17" s="252"/>
      </tp>
      <tp>
        <v>-0.31613916158676147</v>
        <stp/>
        <stp>BDP|18418713240494206607|22</stp>
        <stp>MRVL US 03/20/26 P75 Equity</stp>
        <stp>DELTA_MID_RT</stp>
        <tr r="AF15" s="2"/>
      </tp>
      <tp>
        <v>0.4</v>
        <stp/>
        <stp>BDP|9219352217858311461|22</stp>
        <stp>NFLX US 03/20/26 C105 Equity</stp>
        <stp>bid</stp>
        <tr r="K186" s="89"/>
      </tp>
      <tp>
        <v>16.45</v>
        <stp/>
        <stp>BDP|8554484547271150911|22</stp>
        <stp>META US 04/17/26 C750 Equity</stp>
        <stp>ask</stp>
        <tr r="L169" s="89"/>
      </tp>
      <tp t="s">
        <v>#N/A Requesting Data...3046412344</v>
        <stp/>
        <stp>BDP|16351185019962298098</stp>
        <tr r="T7" s="89"/>
      </tp>
      <tp t="s">
        <v>#N/A Requesting Data...1716783797</v>
        <stp/>
        <stp>BDP|17506313141244542095</stp>
        <tr r="O55" s="89"/>
        <tr r="T4" s="2"/>
      </tp>
      <tp t="s">
        <v>#N/A Requesting Data...2551593110</v>
        <stp/>
        <stp>BDP|12194689278231069699</stp>
        <tr r="AI12" s="1"/>
      </tp>
      <tp t="s">
        <v>#N/A N/A</v>
        <stp/>
        <stp>BDP|15839339977736656325</stp>
        <tr r="AB7" s="89"/>
        <tr r="AB8" s="89"/>
        <tr r="AQ11" s="2"/>
      </tp>
      <tp t="s">
        <v>#N/A Requesting Data...2339482773</v>
        <stp/>
        <stp>BDP|10441895032989795603</stp>
        <tr r="AI11" s="338"/>
      </tp>
      <tp t="s">
        <v>#N/A Requesting Data...2795896280</v>
        <stp/>
        <stp>BDP|14441106816594061499</stp>
        <tr r="C123" s="89"/>
      </tp>
      <tp t="s">
        <v>#N/A Requesting Data...2901596853</v>
        <stp/>
        <stp>BDP|12860442788122732887</stp>
        <tr r="E4" s="2"/>
      </tp>
      <tp t="s">
        <v>#N/A Requesting Data...3637143551</v>
        <stp/>
        <stp>BDP|16150678046234374495</stp>
        <tr r="T37" s="338"/>
      </tp>
      <tp t="s">
        <v>#N/A Requesting Data...3031246547</v>
        <stp/>
        <stp>BDP|11019717141062892428</stp>
        <tr r="D222" s="89"/>
      </tp>
      <tp t="s">
        <v>#N/A Requesting Data...2002680586</v>
        <stp/>
        <stp>BDP|17303082674511603530</stp>
        <tr r="C180" s="89"/>
      </tp>
      <tp t="s">
        <v>#N/A Requesting Data...3623401733</v>
        <stp/>
        <stp>BDP|11174255088816885991</stp>
        <tr r="AA13" s="89"/>
        <tr r="Z13" s="89"/>
      </tp>
      <tp t="s">
        <v>#N/A Requesting Data...3208022896</v>
        <stp/>
        <stp>BDP|13677881495424052263</stp>
        <tr r="V46" s="338"/>
      </tp>
      <tp t="s">
        <v>#N/A Requesting Data...3591612797</v>
        <stp/>
        <stp>BDP|17810208191751672937</stp>
        <tr r="U53" s="338"/>
      </tp>
      <tp t="s">
        <v>#N/A Requesting Data...3366232322</v>
        <stp/>
        <stp>BDP|13362587002474685639</stp>
        <tr r="G33" s="446"/>
      </tp>
      <tp t="s">
        <v>#N/A Requesting Data...2665990393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Data...2102188375</v>
        <stp/>
        <stp>BDP|11902077291294537854</stp>
        <tr r="T234" s="89"/>
      </tp>
      <tp t="s">
        <v>#N/A Requesting Data...3902567517</v>
        <stp/>
        <stp>BDP|10953387444814317799</stp>
        <tr r="S18" s="252"/>
      </tp>
      <tp t="s">
        <v>#N/A Requesting Data...2861275537</v>
        <stp/>
        <stp>BDP|16095389787508071105</stp>
        <tr r="V11" s="338"/>
      </tp>
      <tp t="s">
        <v>#N/A Requesting Data...2825022384</v>
        <stp/>
        <stp>BDP|11580587764812660407</stp>
        <tr r="P48" s="338"/>
      </tp>
      <tp t="s">
        <v>#N/A Requesting Data...3700529379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Data...2769317787</v>
        <stp/>
        <stp>BDP|15878521351180442107</stp>
        <tr r="D109" s="89"/>
      </tp>
      <tp>
        <v>25772.25</v>
        <stp/>
        <stp>BDP|5100640861095501669|22</stp>
        <stp>1OH6 Index</stp>
        <stp>LAST_PRICE</stp>
        <tr r="S153" s="89"/>
        <tr r="S154" s="89"/>
      </tp>
      <tp t="s">
        <v>#N/A Requesting Data...2395612934</v>
        <stp/>
        <stp>BDP|13970059459100158254</stp>
        <tr r="T222" s="89"/>
      </tp>
      <tp t="s">
        <v>#N/A Requesting Data...3872599731</v>
        <stp/>
        <stp>BDP|10930560316549062982</stp>
        <tr r="C160" s="89"/>
      </tp>
      <tp t="s">
        <v>#N/A Requesting Data...4079578437</v>
        <stp/>
        <stp>BDP|17624673723155105222</stp>
        <tr r="AB32" s="1"/>
      </tp>
      <tp t="s">
        <v>#N/A Requesting Data...1746192146</v>
        <stp/>
        <stp>BDP|15878042315295832504</stp>
        <tr r="E13" s="2"/>
      </tp>
      <tp t="s">
        <v>#N/A Requesting Data...2935342479</v>
        <stp/>
        <stp>BDP|12562415073000019571</stp>
        <tr r="T6" s="2"/>
      </tp>
      <tp t="s">
        <v>#N/A Requesting Data...4156268646</v>
        <stp/>
        <stp>BDP|16023917640776957980</stp>
        <tr r="AI11" s="338"/>
        <tr r="AK11" s="338"/>
      </tp>
      <tp t="s">
        <v>#N/A Requesting Data...3932323724</v>
        <stp/>
        <stp>BDP|14437871301241284935</stp>
        <tr r="AJ36" s="338"/>
      </tp>
      <tp t="s">
        <v>#N/A Requesting Data...3479560613</v>
        <stp/>
        <stp>BDP|11214745035248274920</stp>
        <tr r="V32" s="338"/>
      </tp>
      <tp t="s">
        <v>#N/A Requesting Data...2574087078</v>
        <stp/>
        <stp>BDP|12168490429210433067</stp>
        <tr r="T170" s="89"/>
        <tr r="AA12" s="2"/>
      </tp>
      <tp t="s">
        <v>#N/A Requesting Data...3903151782</v>
        <stp/>
        <stp>BDP|11625676250200786659</stp>
        <tr r="T32" s="338"/>
      </tp>
      <tp t="s">
        <v>#N/A Requesting Data...2915144100</v>
        <stp/>
        <stp>BDP|13296159244091423359</stp>
        <tr r="P29" s="338"/>
      </tp>
      <tp t="s">
        <v>#N/A N/A</v>
        <stp/>
        <stp>BDP|18042899846108511886</stp>
        <tr r="AB237" s="89"/>
      </tp>
      <tp t="s">
        <v>#N/A Requesting Data...3596130046</v>
        <stp/>
        <stp>BDP|10190934152880793852</stp>
        <tr r="X52" s="338"/>
      </tp>
      <tp t="s">
        <v>#N/A Requesting Data...1992918041</v>
        <stp/>
        <stp>BDP|14059396921424230587</stp>
        <tr r="AF28" s="1"/>
        <tr r="AF14" s="338"/>
        <tr r="AF35" s="338"/>
      </tp>
      <tp t="s">
        <v>#N/A Requesting Data...1956428423</v>
        <stp/>
        <stp>BDP|12679894611876997952</stp>
        <tr r="S44" s="338"/>
      </tp>
      <tp t="s">
        <v>#N/A Requesting Data...3040798735</v>
        <stp/>
        <stp>BDP|12362248812136683317</stp>
        <tr r="AR5" s="2"/>
      </tp>
      <tp t="s">
        <v>#N/A Requesting Data...3491343706</v>
        <stp/>
        <stp>BDP|15308638561242100355</stp>
        <tr r="V203" s="89"/>
      </tp>
      <tp t="s">
        <v>#N/A Requesting Data...3026408519</v>
        <stp/>
        <stp>BDP|17956776735294864366</stp>
        <tr r="E145" s="89"/>
      </tp>
      <tp t="s">
        <v>#N/A Requesting Data...1825350976</v>
        <stp/>
        <stp>BDP|13164210523337526031</stp>
        <tr r="E89" s="89"/>
      </tp>
      <tp t="s">
        <v>#N/A Requesting Data...2299503373</v>
        <stp/>
        <stp>BDP|10130888374289856216</stp>
        <tr r="U13" s="338"/>
      </tp>
      <tp t="s">
        <v>#N/A Requesting Data...1911646778</v>
        <stp/>
        <stp>BDP|11025769754705706214</stp>
        <tr r="V40" s="89"/>
      </tp>
      <tp t="s">
        <v>#N/A Requesting Data...2776510490</v>
        <stp/>
        <stp>BDP|12072061123567199335</stp>
        <tr r="X16" s="338"/>
        <tr r="X38" s="338"/>
      </tp>
      <tp t="s">
        <v>#N/A Requesting Data...3536313250</v>
        <stp/>
        <stp>BDP|10337841861653211939</stp>
        <tr r="F14" s="446"/>
        <tr r="AB31" s="1"/>
      </tp>
      <tp t="s">
        <v>#N/A Requesting Data...2386967712</v>
        <stp/>
        <stp>BDP|13510264833692721404</stp>
        <tr r="U49" s="338"/>
      </tp>
      <tp t="s">
        <v>#N/A Requesting Data...3894324304</v>
        <stp/>
        <stp>BDP|11243430201469561835</stp>
        <tr r="AI25" s="1"/>
      </tp>
      <tp t="s">
        <v>#N/A Requesting Data...2531921002</v>
        <stp/>
        <stp>BDP|12719415768747911315</stp>
        <tr r="Q48" s="338"/>
      </tp>
      <tp t="b">
        <v>0</v>
        <stp/>
        <stp>BDH|16384354533185279741</stp>
        <tr r="AM29" s="338"/>
        <tr r="AM30" s="338"/>
      </tp>
      <tp t="b">
        <v>0</v>
        <stp/>
        <stp>BDH|14787871165809047737</stp>
        <tr r="J10" s="252"/>
      </tp>
      <tp t="b">
        <v>0</v>
        <stp/>
        <stp>BDH|14194618711260400788</stp>
        <tr r="AM14" s="338"/>
        <tr r="AM35" s="338"/>
      </tp>
      <tp>
        <v>0.34666207432746887</v>
        <stp/>
        <stp>BDP|13606219202075101737|22</stp>
        <stp>INTC US 07/17/26 C60 Equity</stp>
        <stp>DELTA_MID_RT</stp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19.399999999999999</v>
        <stp/>
        <stp>BDP|7023975285926683061|22</stp>
        <stp>MSFT US 03/20/26 P465 Equity</stp>
        <stp>bid</stp>
        <tr r="P19" s="2"/>
      </tp>
      <tp>
        <v>31.1</v>
        <stp/>
        <stp>BDP|3455432218402996031|22</stp>
        <stp>META US 02/27/26 C660 Equity</stp>
        <stp>bid</stp>
        <tr r="K180" s="89"/>
      </tp>
      <tp t="s">
        <v>#N/A Requesting Data...4153258005</v>
        <stp/>
        <stp>BDP|10508197528283416594</stp>
        <tr r="X48" s="338"/>
      </tp>
      <tp t="s">
        <v>#N/A N/A</v>
        <stp/>
        <stp>BDP|10976567873595722239</stp>
        <tr r="R13" s="89"/>
        <tr r="R19" s="89"/>
        <tr r="R20" s="89"/>
        <tr r="R14" s="89"/>
        <tr r="AV22" s="2"/>
        <tr r="AV23" s="2"/>
      </tp>
      <tp t="s">
        <v>#N/A Requesting Data...3292975361</v>
        <stp/>
        <stp>BDP|15507550424153522492</stp>
        <tr r="Q14" s="338"/>
      </tp>
      <tp t="s">
        <v>#N/A Requesting Data...4073435388</v>
        <stp/>
        <stp>BDP|15688066863846340087</stp>
        <tr r="D28" s="446"/>
      </tp>
      <tp t="s">
        <v>#N/A Requesting Data...4117849374</v>
        <stp/>
        <stp>BDP|10174366559095309654</stp>
        <tr r="AA137" s="89"/>
        <tr r="Z137" s="89"/>
      </tp>
      <tp t="s">
        <v>#N/A Requesting Data...4012294475</v>
        <stp/>
        <stp>BDP|15767057305588506896</stp>
        <tr r="AH10" s="338"/>
        <tr r="AH11" s="338"/>
        <tr r="AH33" s="338"/>
      </tp>
      <tp t="s">
        <v>#N/A Requesting Data...2388140033</v>
        <stp/>
        <stp>BDP|12598914732268945550</stp>
        <tr r="E10" s="1"/>
      </tp>
      <tp t="s">
        <v>#N/A Requesting Data...1973928712</v>
        <stp/>
        <stp>BDP|15320520678352516068</stp>
        <tr r="O82" s="89"/>
      </tp>
      <tp t="s">
        <v>#N/A Requesting Data...2347437982</v>
        <stp/>
        <stp>BDP|10946231384896009942</stp>
        <tr r="N15" s="252"/>
        <tr r="N15" s="252"/>
      </tp>
      <tp t="s">
        <v>#N/A Requesting Data...2658267066</v>
        <stp/>
        <stp>BDP|10968744678995921066</stp>
        <tr r="C178" s="89"/>
        <tr r="C179" s="89"/>
      </tp>
      <tp t="s">
        <v>#N/A Requesting Data...3312540300</v>
        <stp/>
        <stp>BDP|11098096253680456149</stp>
        <tr r="P16" s="338"/>
        <tr r="P38" s="338"/>
      </tp>
      <tp t="s">
        <v>#N/A Requesting Data...4284363110</v>
        <stp/>
        <stp>BDP|12490577043850363694</stp>
        <tr r="C170" s="89"/>
        <tr r="D12" s="2"/>
      </tp>
      <tp t="s">
        <v>#N/A Requesting Data...2906428202</v>
        <stp/>
        <stp>BDP|10787623999933097918</stp>
        <tr r="L10" s="252"/>
        <tr r="L10" s="252"/>
      </tp>
      <tp t="s">
        <v>#N/A Requesting Data...2633085797</v>
        <stp/>
        <stp>BDP|15872646771885299421</stp>
        <tr r="F16" s="446"/>
      </tp>
      <tp t="s">
        <v>#N/A Requesting Data...3507215619</v>
        <stp/>
        <stp>BDP|17220718142881835059</stp>
        <tr r="F14" s="252"/>
      </tp>
      <tp t="s">
        <v>#N/A Requesting Data...3518826880</v>
        <stp/>
        <stp>BDP|11918335078837659785</stp>
        <tr r="Z204" s="89"/>
        <tr r="AA204" s="89"/>
      </tp>
      <tp t="s">
        <v>#N/A Requesting Data...2724433565</v>
        <stp/>
        <stp>BDP|12558430699342487846</stp>
        <tr r="E187" s="89"/>
      </tp>
      <tp t="s">
        <v>#N/A Requesting Data...2648517545</v>
        <stp/>
        <stp>BDP|15051140014688420859</stp>
        <tr r="AC12" s="1"/>
      </tp>
      <tp t="s">
        <v>#N/A Requesting Data...2946400425</v>
        <stp/>
        <stp>BDP|11160692723917345791</stp>
        <tr r="C169" s="89"/>
      </tp>
      <tp t="s">
        <v>#N/A Requesting Data...1978173892</v>
        <stp/>
        <stp>BDP|13738518813242630024</stp>
        <tr r="U55" s="338"/>
      </tp>
      <tp t="s">
        <v>#N/A Requesting Data...1866266924</v>
        <stp/>
        <stp>BDP|10649617194228048229</stp>
        <tr r="V195" s="89"/>
      </tp>
      <tp t="s">
        <v>#N/A Requesting Data...1709072604</v>
        <stp/>
        <stp>BDP|16068368952433220674</stp>
        <tr r="D145" s="89"/>
      </tp>
      <tp t="s">
        <v>#N/A Requesting Data...2380955320</v>
        <stp/>
        <stp>BDP|11836964052478808040</stp>
        <tr r="C20" s="2"/>
      </tp>
      <tp t="s">
        <v>#N/A Requesting Data...3923885196</v>
        <stp/>
        <stp>BDP|18184244170510394863</stp>
        <tr r="D20" s="2"/>
        <tr r="C33" s="89"/>
      </tp>
      <tp t="s">
        <v>#N/A Requesting Data...2162256978</v>
        <stp/>
        <stp>BDP|10830522917212474394</stp>
        <tr r="M6" s="252"/>
      </tp>
      <tp t="s">
        <v>#N/A N/A</v>
        <stp/>
        <stp>BDP|17289014403731542359</stp>
        <tr r="AB195" s="89"/>
        <tr r="AB196" s="89"/>
        <tr r="AB197" s="89"/>
        <tr r="AB39" s="89"/>
      </tp>
      <tp t="s">
        <v>#N/A Requesting Data...4018743421</v>
        <stp/>
        <stp>BDP|13449047331402957787</stp>
        <tr r="F15" s="2"/>
      </tp>
      <tp t="s">
        <v>#N/A Requesting Data...3156066504</v>
        <stp/>
        <stp>BDP|14342024613619901985</stp>
        <tr r="F32" s="446"/>
      </tp>
      <tp t="s">
        <v>#N/A Requesting Data...4014938191</v>
        <stp/>
        <stp>BDP|17882539857607640595</stp>
        <tr r="AG54" s="338"/>
      </tp>
      <tp t="s">
        <v>#N/A Requesting Data...4001712831</v>
        <stp/>
        <stp>BDP|13450917922399223467</stp>
        <tr r="G34" s="446"/>
      </tp>
      <tp t="s">
        <v>#N/A Requesting Data...3830707814</v>
        <stp/>
        <stp>BDP|12142735374617755031</stp>
        <tr r="AG13" s="1"/>
      </tp>
      <tp t="s">
        <v>#N/A Requesting Data...3660204376</v>
        <stp/>
        <stp>BDP|12540520710212521104</stp>
        <tr r="AC15" s="1"/>
      </tp>
      <tp t="s">
        <v>#N/A Requesting Data...1845817239</v>
        <stp/>
        <stp>BDP|10511277652532461062</stp>
        <tr r="AA90" s="89"/>
        <tr r="Z90" s="89"/>
      </tp>
      <tp t="s">
        <v>#N/A Requesting Data...2758857854</v>
        <stp/>
        <stp>BDP|12129279820182595515</stp>
        <tr r="E196" s="89"/>
      </tp>
      <tp t="s">
        <v>#N/A Requesting Data...3705915357</v>
        <stp/>
        <stp>BDP|14655831860859350630</stp>
        <tr r="L13" s="338"/>
        <tr r="J13" s="338"/>
      </tp>
      <tp t="s">
        <v>#N/A Requesting Data...2014366922</v>
        <stp/>
        <stp>BDP|12932290900667287274</stp>
        <tr r="AR12" s="2"/>
      </tp>
      <tp t="s">
        <v>#N/A Requesting Data...1805618865</v>
        <stp/>
        <stp>BDP|18269255641489268206</stp>
        <tr r="AC23" s="1"/>
      </tp>
      <tp t="s">
        <v>#N/A Requesting Data...3220149115</v>
        <stp/>
        <stp>BDP|15660791077340487089</stp>
        <tr r="E1" s="1"/>
        <tr r="K25" s="1"/>
      </tp>
      <tp t="s">
        <v>#N/A Requesting Data...4236178926</v>
        <stp/>
        <stp>BDP|10749732335826116771</stp>
        <tr r="D224" s="89"/>
      </tp>
      <tp t="s">
        <v>#N/A Requesting Data...3992004158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Data...3920464791</v>
        <stp/>
        <stp>BDP|11838573161432005595</stp>
        <tr r="C187" s="89"/>
      </tp>
      <tp t="s">
        <v>#N/A Requesting Data...2292415996</v>
        <stp/>
        <stp>BDP|17114611528944869260</stp>
        <tr r="AI12" s="338"/>
        <tr r="AK12" s="338"/>
      </tp>
      <tp t="s">
        <v>#N/A Requesting Data...2920943387</v>
        <stp/>
        <stp>BDP|14505061934744038618</stp>
        <tr r="AB2" s="1"/>
      </tp>
      <tp t="s">
        <v>#N/A Requesting Data...3159032774</v>
        <stp/>
        <stp>BDP|13635936347568321371</stp>
        <tr r="AA235" s="89"/>
        <tr r="Z235" s="89"/>
      </tp>
      <tp t="s">
        <v>#N/A Requesting Data...3301052187</v>
        <stp/>
        <stp>BDP|11370170641465778442</stp>
        <tr r="O170" s="89"/>
        <tr r="T12" s="2"/>
      </tp>
      <tp t="b">
        <v>0</v>
        <stp/>
        <stp>BDH|17383443131482674733</stp>
        <tr r="AN18" s="338"/>
        <tr r="AN17" s="338"/>
      </tp>
      <tp t="b">
        <v>0</v>
        <stp/>
        <stp>BDH|14131773964710507045</stp>
        <tr r="J9" s="252"/>
      </tp>
      <tp t="b">
        <v>0</v>
        <stp/>
        <stp>BDH|10825554036716072545</stp>
        <tr r="T8" s="252"/>
        <tr r="W8" s="252"/>
      </tp>
      <tp t="b">
        <v>0</v>
        <stp/>
        <stp>BDH|12817058387938472701</stp>
        <tr r="W10" s="252"/>
        <tr r="T10" s="252"/>
      </tp>
    </main>
    <main first="bofaddin.rtdserver">
      <tp>
        <v>14827.12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267.10000000000002</v>
        <stp/>
        <stp>BDP|7062867511992634566|22</stp>
        <stp>IWM EQUITY</stp>
        <stp>LAST_PRICE</stp>
        <tr r="I8" s="1"/>
      </tp>
      <tp>
        <v>-0.25865715742111206</v>
        <stp/>
        <stp>BDP|16965813729943912763|22</stp>
        <stp>META US 04/17/26 C690 Equity</stp>
        <stp>theta_mid_rt</stp>
        <tr r="AN12" s="2"/>
      </tp>
      <tp>
        <v>33.49</v>
        <stp/>
        <stp>BDP|16778716474861008512|22</stp>
        <stp>ASHR US Equity</stp>
        <stp>LAST_PRICE</stp>
        <tr r="Z7" s="2"/>
      </tp>
      <tp>
        <v>767000</v>
        <stp/>
        <stp>BDP|5584348829070198606|22</stp>
        <stp>000660 KP Equity</stp>
        <stp>LAST_PRICE</stp>
        <tr r="I20" s="1"/>
      </tp>
      <tp>
        <v>218.4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1385.5</v>
        <stp/>
        <stp>BDP|15490560954416168559|22</stp>
        <stp>ASML US Equity</stp>
        <stp>LAST_PRICE</stp>
        <tr r="S49" s="89"/>
        <tr r="S50" s="89"/>
      </tp>
      <tp t="s">
        <v>#N/A Real Time</v>
        <stp/>
        <stp>BDP|8671606719947634072|22</stp>
        <stp>4EM5P    6025 Index</stp>
        <stp>DELTA_MID_RT</stp>
        <tr r="W137" s="89"/>
      </tp>
      <tp>
        <v>-0.68529897928237915</v>
        <stp/>
        <stp>BDP|8369518914882815880|22</stp>
        <stp>QQQ US 01/15/26 P623 Equity</stp>
        <stp>DELTA_MID_RT</stp>
        <tr r="W68" s="89"/>
      </tp>
      <tp>
        <v>106.32</v>
        <stp/>
        <stp>BDP|828808174050573795|22</stp>
        <stp>GDX US Equity</stp>
        <stp>LAST_PRICE</stp>
        <tr r="Z9" s="2"/>
        <tr r="Z10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317.54000000000002</v>
        <stp/>
        <stp>BDP|17019897193923426340|22</stp>
        <stp>AVGO US Equity</stp>
        <stp>LAST_PRICE</stp>
        <tr r="Z8" s="2"/>
        <tr r="S222" s="89"/>
        <tr r="S224" s="89"/>
        <tr r="S223" s="89"/>
        <tr r="S225" s="89"/>
      </tp>
      <tp t="s">
        <v>USD</v>
        <stp/>
        <stp>BDP|8578071273177149995|22</stp>
        <stp>AVGO US 06/18/26 P270 Equity</stp>
        <stp>QUOTED_CURRENCY_REALTIME</stp>
        <tr r="F225" s="89"/>
      </tp>
      <tp>
        <v>-1.6759784892201424E-2</v>
        <stp/>
        <stp>BDP|4936585278190549239|22</stp>
        <stp>QQQ US 01/21/26 P614 Equity</stp>
        <stp>DELTA_MID_RT</stp>
        <tr r="W82" s="89"/>
      </tp>
      <tp t="s">
        <v>#N/A Real Time</v>
        <stp/>
        <stp>BDP|16831399122066681226|22</stp>
        <stp>RTYWU5C3 2500 Index</stp>
        <stp>bid</stp>
        <tr r="K145" s="89"/>
      </tp>
      <tp>
        <v>402.17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 t="s">
        <v>#N/A Real Time</v>
        <stp/>
        <stp>BDP|9893971634581157776|22</stp>
        <stp>RTYWU5C3 2425 Index</stp>
        <stp>DELTA_MID_RT</stp>
        <tr r="W144" s="89"/>
      </tp>
      <tp>
        <v>62.6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USD</v>
        <stp/>
        <stp>BDP|1840204436268749462|22</stp>
        <stp>NFLX US 03/20/26 C105 Equity</stp>
        <stp>QUOTED_CURRENCY_REALTIME</stp>
        <tr r="F186" s="89"/>
      </tp>
      <tp>
        <v>0.28946611285209656</v>
        <stp/>
        <stp>BDP|3530608701148378750|22</stp>
        <stp>QQQ US 01/26/26 C627 Equity</stp>
        <stp>DELTA_MID_RT</stp>
        <tr r="W212" s="89"/>
      </tp>
      <tp t="s">
        <v>#N/A Requesting Data...4273022747</v>
        <stp/>
        <stp>BDP|3297967097008051</stp>
        <tr r="AA223" s="89"/>
        <tr r="Z223" s="89"/>
      </tp>
      <tp>
        <v>325.89</v>
        <stp/>
        <stp>BDP|4205875099267338750|22</stp>
        <stp>V Equity</stp>
        <stp>LAST PRICE</stp>
        <tr r="G15" s="338"/>
        <tr r="G39" s="338"/>
        <tr r="I40" s="338"/>
      </tp>
      <tp>
        <v>335.92</v>
        <stp/>
        <stp>BDP|5454315708850008901|22</stp>
        <stp>TSM EQUITY</stp>
        <stp>LAST_PRICE</stp>
        <tr r="C3" s="1"/>
      </tp>
      <tp>
        <v>36.549999999999997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500.75</v>
        <stp/>
        <stp>BDP|15828492879202900921|22</stp>
        <stp>SNDK US Equity</stp>
        <stp>LAST_PRICE</stp>
        <tr r="Z21" s="2"/>
      </tp>
      <tp>
        <v>320.44</v>
        <stp/>
        <stp>BDP|14680776317739946594|22</stp>
        <stp>AMAT US Equity</stp>
        <stp>LAST_PRICE</stp>
        <tr r="Z4" s="2"/>
        <tr r="Z5" s="2"/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 t="s">
        <v>#N/A Real Time</v>
        <stp/>
        <stp>BDP|3644211716247599726|22</stp>
        <stp>RTYWU5C3 2500 Index</stp>
        <stp>DELTA_MID_RT</stp>
        <tr r="W145" s="89"/>
      </tp>
      <tp>
        <v>-4.2831428349018097E-2</v>
        <stp/>
        <stp>BDP|7770981328006744750|22</stp>
        <stp>QQQ US 01/23/26 P615 Equity</stp>
        <stp>DELTA_MID_RT</stp>
        <tr r="W75" s="89"/>
      </tp>
      <tp t="s">
        <v>USD</v>
        <stp/>
        <stp>BDP|3136129985130948796|22</stp>
        <stp>MSFT US 07/17/26 C465 Equity</stp>
        <stp>QUOTED_CURRENCY_REALTIME</stp>
        <tr r="G18" s="2"/>
      </tp>
      <tp t="s">
        <v>USD</v>
        <stp/>
        <stp>BDP|8789910064232569805|22</stp>
        <stp>AMAT US 01/23/26 P290 Equity</stp>
        <stp>QUOTED_CURRENCY_REALTIME</stp>
        <tr r="G4" s="2"/>
        <tr r="F55" s="89"/>
      </tp>
      <tp>
        <v>-0.49389687180519104</v>
        <stp/>
        <stp>BDP|17444184218214348444|22</stp>
        <stp>LITE US 03/20/26 C420 Equity</stp>
        <stp>theta_mid_rt</stp>
        <tr r="AN11" s="2"/>
      </tp>
      <tp>
        <v>-5.8694310486316681E-2</v>
        <stp/>
        <stp>BDP|15158621682476696755|22</stp>
        <stp>MRVL US 03/20/26 P75 Equity</stp>
        <stp>theta_mid_rt</stp>
        <tr r="AN15" s="2"/>
      </tp>
      <tp>
        <v>26.4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G13" s="2"/>
      </tp>
      <tp t="s">
        <v>USD</v>
        <stp/>
        <stp>BDP|12646934507024855207|22</stp>
        <stp>QQQ US 01/26/26 C627 Equity</stp>
        <stp>QUOTED_CURRENCY_REALTIME</stp>
        <tr r="F212" s="89"/>
      </tp>
      <tp t="s">
        <v>USD</v>
        <stp/>
        <stp>BDP|5793744081546209980|22</stp>
        <stp>META US 04/17/26 C690 Equity</stp>
        <stp>QUOTED_CURRENCY_REALTIME</stp>
        <tr r="G12" s="2"/>
        <tr r="F170" s="89"/>
      </tp>
      <tp t="s">
        <v>#N/A Real Time</v>
        <stp/>
        <stp>BDP|4903616747917947670|22</stp>
        <stp>SCH5C   6200 Index</stp>
        <stp>DELTA_MID_RT</stp>
        <tr r="W101" s="89"/>
      </tp>
      <tp>
        <v>0.51306432485580444</v>
        <stp/>
        <stp>BDP|4155313352666840768|22</stp>
        <stp>GDX US 09/18/26 C115 Equity</stp>
        <stp>DELTA_MID_RT</stp>
        <tr r="AF10" s="2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407.82</v>
        <stp/>
        <stp>BDP|12429311880057526361|22</stp>
        <stp>MU EQUITY</stp>
        <stp>LAST_PRICE</stp>
        <tr r="C4" s="1"/>
      </tp>
      <tp>
        <v>-0.10191158205270767</v>
        <stp/>
        <stp>BDP|16863084936447879221|22</stp>
        <stp>MSFT US 07/17/26 C465 Equity</stp>
        <stp>theta_mid_rt</stp>
        <tr r="AN18" s="2"/>
      </tp>
      <tp t="s">
        <v>USD</v>
        <stp/>
        <stp>BDP|2525333739928687371|22</stp>
        <stp>W US 05/15/26 C125 Equity</stp>
        <stp>QUOTED_CURRENCY_REALTIME</stp>
        <tr r="F40" s="89"/>
      </tp>
      <tp t="s">
        <v>#N/A Real Time</v>
        <stp/>
        <stp>BDP|7920363454183743223|22</stp>
        <stp>IMBWK5C4 5880 Index</stp>
        <stp>DELTA_MID_RT</stp>
        <tr r="W90" s="89"/>
      </tp>
      <tp>
        <v>17.600000000000001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BDP|3970030095933477348|22</stp>
        <stp>LITE US 02/20/26 C400 Equity</stp>
        <stp>QUOTED_CURRENCY_REALTIME</stp>
        <tr r="F7" s="89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46.284999999999997</v>
        <stp/>
        <stp>BDP|15280641543212915371|22</stp>
        <stp>INTC US Equity</stp>
        <stp>LAST_PRICE</stp>
        <tr r="S195" s="89"/>
        <tr r="S196" s="89"/>
        <tr r="S197" s="89"/>
        <tr r="S39" s="89"/>
      </tp>
      <tp t="s">
        <v>#N/A Real Time</v>
        <stp/>
        <stp>BDP|4377385755401510832|22</stp>
        <stp>RFSWZ4C3 2360 Index</stp>
        <stp>DELTA_MID_RT</stp>
        <tr r="W122" s="89"/>
      </tp>
      <tp>
        <v>-1.0565321445465088</v>
        <stp/>
        <stp>BDP|13378953386459094086|22</stp>
        <stp>SNDK US 02/20/26 C550 Equity</stp>
        <stp>theta_mid_rt</stp>
        <tr r="AN21" s="2"/>
      </tp>
      <tp t="s">
        <v>#N/A Real Time</v>
        <stp/>
        <stp>BDP|8704363037405218648|22</stp>
        <stp>3OF5C    22500 Index</stp>
        <stp>QUOTED_CURRENCY_REALTIME</stp>
        <tr r="F109" s="89"/>
      </tp>
      <tp>
        <v>-4.9249980598688126E-2</v>
        <stp/>
        <stp>BDP|16456111785153391042|22</stp>
        <stp>MRVL US 03/20/26 P70 Equity</stp>
        <stp>theta_mid_rt</stp>
        <tr r="AN17" s="2"/>
      </tp>
      <tp>
        <v>6081.5272999999997</v>
        <stp/>
        <stp>BDP|12063806539307343070|22</stp>
        <stp>H11137 Index</stp>
        <stp>LAST_PRICE</stp>
        <tr r="H13" s="252"/>
        <tr r="H13" s="252"/>
      </tp>
      <tp t="s">
        <v>USD</v>
        <stp/>
        <stp>BDP|4713116799582805446|22</stp>
        <stp>1OG6P 25000 Index</stp>
        <stp>QUOTED_CURRENCY_REALTIME</stp>
        <tr r="F154" s="89"/>
      </tp>
      <tp>
        <v>237.66499999999999</v>
        <stp/>
        <stp>BDP|11431942920512482031|22</stp>
        <stp>AMZN US Equity</stp>
        <stp>LAST_PRICE</stp>
        <tr r="S234" s="89"/>
        <tr r="Z6" s="2"/>
      </tp>
      <tp>
        <v>0.61063921451568604</v>
        <stp/>
        <stp>BDP|7447356985829106309|22</stp>
        <stp>GDX US 09/18/26 C105 Equity</stp>
        <stp>DELTA_MID_RT</stp>
        <tr r="AF9" s="2"/>
      </tp>
      <tp>
        <v>623.66</v>
        <stp/>
        <stp>BDP|360499996244621952|22</stp>
        <stp>QQQ US Equity</stp>
        <stp>LAST_PRICE</stp>
        <tr r="S68" s="89"/>
        <tr r="S69" s="89"/>
        <tr r="S75" s="89"/>
        <tr r="S76" s="89"/>
        <tr r="S81" s="89"/>
        <tr r="S203" s="89"/>
        <tr r="S204" s="89"/>
        <tr r="S205" s="89"/>
        <tr r="S211" s="89"/>
        <tr r="S212" s="89"/>
        <tr r="S82" s="89"/>
        <tr r="S33" s="89"/>
        <tr r="Z20" s="2"/>
        <tr r="S213" s="89"/>
      </tp>
      <tp t="s">
        <v>#N/A Real Time</v>
        <stp/>
        <stp>BDP|15463751634066228508|22</stp>
        <stp>MRYWZ4C4 2390 Index</stp>
        <stp>ask</stp>
        <tr r="L129" s="89"/>
      </tp>
      <tp>
        <v>0.05</v>
        <stp/>
        <stp>BDP|7471545347057439094|22</stp>
        <stp>ASML US 01/23/26 P1200 Equity</stp>
        <stp>ask</stp>
        <tr r="L49" s="89"/>
      </tp>
      <tp>
        <v>657.13499999999999</v>
        <stp/>
        <stp>BDP|12884552599081678750|22</stp>
        <stp>META US Equity</stp>
        <stp>LAST_PRICE</stp>
        <tr r="Z12" s="2"/>
        <tr r="S169" s="89"/>
        <tr r="S170" s="89"/>
        <tr r="S171" s="89"/>
        <tr r="S233" s="89"/>
        <tr r="Z13" s="2"/>
        <tr r="S180" s="89"/>
      </tp>
      <tp>
        <v>84.709299999999999</v>
        <stp/>
        <stp>BDP|18303621184368417422|22</stp>
        <stp>COPX US Equity</stp>
        <stp>LAST_PRICE</stp>
        <tr r="S27" s="89"/>
        <tr r="S34" s="89"/>
        <tr r="S26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-6.4851425588130951E-2</v>
        <stp/>
        <stp>BDP|12438727553717188638|22</stp>
        <stp>MRVL US 03/20/26 P85 Equity</stp>
        <stp>theta_mid_rt</stp>
        <tr r="AN14" s="2"/>
      </tp>
      <tp t="s">
        <v>#N/A N/A</v>
        <stp/>
        <stp>BDP|4931331422744178730|22</stp>
        <stp>ASML US 01/23/26 P1100 Equity</stp>
        <stp>bid</stp>
        <tr r="K50" s="89"/>
      </tp>
      <tp t="s">
        <v>USD</v>
        <stp/>
        <stp>BDP|13653475185267269899|22</stp>
        <stp>QQQ US 01/16/26 C633 Equity</stp>
        <stp>QUOTED_CURRENCY_REALTIME</stp>
        <tr r="F204" s="89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F8" s="89"/>
        <tr r="G11" s="2"/>
      </tp>
      <tp>
        <v>97.77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 t="s">
        <v>USD</v>
        <stp/>
        <stp>BDP|15921512247754171265|22</stp>
        <stp>QQQ US 02/06/26 P616 Equity</stp>
        <stp>QUOTED_CURRENCY_REALTIME</stp>
        <tr r="F81" s="89"/>
      </tp>
      <tp t="s">
        <v>USD</v>
        <stp/>
        <stp>BDP|4017173425125763732|22</stp>
        <stp>META US 04/17/26 C750 Equity</stp>
        <stp>QUOTED_CURRENCY_REALTIME</stp>
        <tr r="F169" s="89"/>
      </tp>
      <tp>
        <v>0</v>
        <stp/>
        <stp>BDP|16624195928833601507|22</stp>
        <stp>AMAT US 01/23/26 P290 Equity</stp>
        <stp>theta_mid_rt</stp>
        <tr r="AN4" s="2"/>
      </tp>
      <tp t="s">
        <v>#N/A Real Time</v>
        <stp/>
        <stp>BDP|2879552152728014398|22</stp>
        <stp>4OK5C 21300 Index</stp>
        <stp>QUOTED_CURRENCY_REALTIME</stp>
        <tr r="F115" s="89"/>
      </tp>
      <tp t="s">
        <v>#N/A Invalid Security</v>
        <stp/>
        <stp>BDP|7846864529941089881|22</stp>
        <stp xml:space="preserve"> Equity</stp>
        <stp>mid</stp>
        <tr r="L2" s="2"/>
      </tp>
      <tp>
        <v>623.66</v>
        <stp/>
        <stp>BDP|2689810960265066336|22</stp>
        <stp>QQQ EQUITY</stp>
        <stp>LAST_PRICE</stp>
        <tr r="I6" s="1"/>
      </tp>
      <tp t="s">
        <v>#N/A Requesting Data...3783338134</v>
        <stp/>
        <stp>BDP|3970119255888163378</stp>
        <tr r="L14" s="338"/>
        <tr r="H14" s="338"/>
        <tr r="L35" s="338"/>
        <tr r="H35" s="338"/>
      </tp>
      <tp t="s">
        <v>#N/A Requesting Data...2216068495</v>
        <stp/>
        <stp>BDP|1780817128230709721</stp>
        <tr r="AC27" s="1"/>
      </tp>
      <tp t="s">
        <v>#N/A Requesting Data...2759417888</v>
        <stp/>
        <stp>BDP|6079579929065496810</stp>
        <tr r="O17" s="252"/>
      </tp>
      <tp t="s">
        <v>#N/A Requesting Data...2752191952</v>
        <stp/>
        <stp>BDP|7892942422180160079</stp>
        <tr r="AF29" s="338"/>
        <tr r="AF30" s="338"/>
      </tp>
      <tp t="s">
        <v>#N/A Requesting Data...3392354707</v>
        <stp/>
        <stp>BDP|6875767680954769102</stp>
        <tr r="AR8" s="2"/>
      </tp>
      <tp t="s">
        <v>#N/A Requesting Data...3583468088</v>
        <stp/>
        <stp>BDP|7500005297250850236</stp>
        <tr r="K1" s="1"/>
      </tp>
      <tp t="s">
        <v>#N/A Requesting Data...2511390916</v>
        <stp/>
        <stp>BDP|7828562231434179977</stp>
        <tr r="G30" s="446"/>
      </tp>
      <tp t="s">
        <v>#N/A Requesting Data...3695525985</v>
        <stp/>
        <stp>BDP|5719360958046661910</stp>
        <tr r="U16" s="338"/>
        <tr r="U38" s="338"/>
      </tp>
      <tp t="s">
        <v>#N/A Requesting Data...2243807753</v>
        <stp/>
        <stp>BDP|8367283627072476679</stp>
        <tr r="AC25" s="1"/>
      </tp>
      <tp t="s">
        <v>#N/A Requesting Data...2272987358</v>
        <stp/>
        <stp>BDP|6021078455249412694</stp>
        <tr r="AJ37" s="338"/>
      </tp>
      <tp t="s">
        <v>#N/A Requesting Data...1983491846</v>
        <stp/>
        <stp>BDP|2116301475429922329</stp>
        <tr r="E205" s="89"/>
      </tp>
      <tp t="s">
        <v>#N/A Requesting Data...3432046709</v>
        <stp/>
        <stp>BDP|1166102887343177783</stp>
        <tr r="C69" s="89"/>
      </tp>
      <tp t="s">
        <v>#N/A Requesting Data...2477507254</v>
        <stp/>
        <stp>BDP|4596394917382492801</stp>
        <tr r="AF10" s="1"/>
      </tp>
      <tp t="s">
        <v>#N/A Requesting Data...2463486056</v>
        <stp/>
        <stp>BDP|6404917817581645389</stp>
        <tr r="O14" s="252"/>
      </tp>
      <tp t="s">
        <v>#N/A Requesting Data...2388689067</v>
        <stp/>
        <stp>BDP|8267476373493896423</stp>
        <tr r="K2" s="1"/>
      </tp>
      <tp t="s">
        <v>#N/A Requesting Data...3737780751</v>
        <stp/>
        <stp>BDP|4738998939235389797</stp>
        <tr r="F8" s="446"/>
      </tp>
      <tp t="s">
        <v>#N/A N/A</v>
        <stp/>
        <stp>BDP|2282995976142786289</stp>
        <tr r="AV8" s="2"/>
        <tr r="R222" s="89"/>
        <tr r="R224" s="89"/>
        <tr r="R223" s="89"/>
        <tr r="R225" s="89"/>
      </tp>
      <tp t="s">
        <v>#N/A Requesting Data...3486617133</v>
        <stp/>
        <stp>BDP|8370148836023021531</stp>
        <tr r="AF29" s="1"/>
        <tr r="AF37" s="338"/>
      </tp>
      <tp t="s">
        <v>#N/A Requesting Data...3058417671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Data...2467478376</v>
        <stp/>
        <stp>BDP|3305717386224673419</stp>
        <tr r="AF21" s="1"/>
      </tp>
      <tp t="s">
        <v>#N/A Requesting Data...3294462508</v>
        <stp/>
        <stp>BDP|5270872678817673187</stp>
        <tr r="O13" s="252"/>
      </tp>
      <tp t="s">
        <v>#N/A Requesting Data...4186290663</v>
        <stp/>
        <stp>BDP|2434194791406980056</stp>
        <tr r="Q33" s="338"/>
      </tp>
      <tp t="s">
        <v>#N/A Requesting Data...3604570347</v>
        <stp/>
        <stp>BDP|2737330982055463026</stp>
        <tr r="AG29" s="1"/>
      </tp>
      <tp t="s">
        <v>#N/A Requesting Data...2814311505</v>
        <stp/>
        <stp>BDP|3098041072779459130</stp>
        <tr r="E170" s="89"/>
      </tp>
      <tp t="s">
        <v>#N/A Requesting Data...2530713754</v>
        <stp/>
        <stp>BDP|3331016988720805736</stp>
        <tr r="T34" s="89"/>
      </tp>
      <tp t="s">
        <v>#N/A Requesting Data...3487799590</v>
        <stp/>
        <stp>BDP|6202726206315217853</stp>
        <tr r="AH41" s="338"/>
        <tr r="AH42" s="338"/>
      </tp>
      <tp t="b">
        <v>0</v>
        <stp/>
        <stp>BDH|9004776845775608355</stp>
        <tr r="J13" s="252"/>
      </tp>
      <tp t="s">
        <v>#N/A Requesting Data...2260461008</v>
        <stp/>
        <stp>BDP|5489377534060375922</stp>
        <tr r="T145" s="89"/>
      </tp>
      <tp t="s">
        <v>#N/A Requesting Data...2061069904</v>
        <stp/>
        <stp>BDP|7547135630721272822</stp>
        <tr r="T29" s="338"/>
      </tp>
      <tp t="s">
        <v>#N/A Requesting Data...4211692493</v>
        <stp/>
        <stp>BDP|9515949913399601436</stp>
        <tr r="G25" s="446"/>
      </tp>
      <tp t="s">
        <v>#N/A Requesting Data...2784268367</v>
        <stp/>
        <stp>BDP|2250196021425433893</stp>
        <tr r="AA237" s="89"/>
        <tr r="Z237" s="89"/>
      </tp>
      <tp t="s">
        <v>#N/A Requesting Data...3158873140</v>
        <stp/>
        <stp>BDP|9712190854671951078</stp>
        <tr r="M16" s="252"/>
      </tp>
      <tp t="s">
        <v>#N/A Requesting Data...3503324895</v>
        <stp/>
        <stp>BDP|5511275398847971578</stp>
        <tr r="T45" s="338"/>
      </tp>
      <tp t="s">
        <v>#N/A Requesting Data...3127854361</v>
        <stp/>
        <stp>BDP|2209854278019805833</stp>
        <tr r="D39" s="89"/>
      </tp>
      <tp t="s">
        <v>#N/A N/A</v>
        <stp/>
        <stp>BDP|2458861742576609433</stp>
        <tr r="AC21" s="2"/>
      </tp>
      <tp>
        <v>85</v>
        <stp/>
        <stp>BDP|7394371982457470369|22</stp>
        <stp>KBWB Equity</stp>
        <stp>LAST PRICE</stp>
        <tr r="G52" s="338"/>
        <tr r="G53" s="338"/>
        <tr r="G54" s="338"/>
      </tp>
      <tp>
        <v>0.44303259253501892</v>
        <stp/>
        <stp>BDP|3618230694791584226|22</stp>
        <stp>COPX US 07/17/26 C95 Equity</stp>
        <stp>DELTA_MID_RT</stp>
        <tr r="W27" s="89"/>
      </tp>
      <tp>
        <v>500.75</v>
        <stp/>
        <stp>BDP|3981944549231547641|22</stp>
        <stp>SNDK Equity</stp>
        <stp>LAST_PRICE</stp>
        <tr r="I21" s="1"/>
      </tp>
      <tp t="s">
        <v>#N/A Requesting Data...2961890505</v>
        <stp/>
        <stp>BDP|5415224161148491497</stp>
        <tr r="O187" s="89"/>
      </tp>
      <tp t="s">
        <v>#N/A Requesting Data...2508369505</v>
        <stp/>
        <stp>BDP|9641015641826985650</stp>
        <tr r="U52" s="338"/>
      </tp>
      <tp t="b">
        <v>0</v>
        <stp/>
        <stp>BDH|9566986964872155924</stp>
        <tr r="AM33" s="338"/>
        <tr r="AM11" s="338"/>
        <tr r="AM10" s="338"/>
      </tp>
      <tp t="s">
        <v>#N/A Requesting Data...3497182752</v>
        <stp/>
        <stp>BDP|6731818678664058062</stp>
        <tr r="C116" s="89"/>
      </tp>
      <tp t="s">
        <v>#N/A Requesting Data...2139316687</v>
        <stp/>
        <stp>BDP|3337761684491833019</stp>
        <tr r="F44" s="446"/>
      </tp>
      <tp t="s">
        <v>#N/A Requesting Data...3080984584</v>
        <stp/>
        <stp>BDP|4245700180187394193</stp>
        <tr r="E144" s="89"/>
      </tp>
      <tp t="s">
        <v>#N/A Requesting Data...2097272237</v>
        <stp/>
        <stp>BDP|2599954552966387584</stp>
        <tr r="V15" s="338"/>
        <tr r="V39" s="338"/>
      </tp>
      <tp t="s">
        <v>#N/A Requesting Data...4023656730</v>
        <stp/>
        <stp>BDP|6927294984968537987</stp>
        <tr r="C224" s="89"/>
      </tp>
      <tp t="s">
        <v>#N/A Requesting Data...3542190698</v>
        <stp/>
        <stp>BDP|9699474378527567053</stp>
        <tr r="AC22" s="1"/>
      </tp>
      <tp t="s">
        <v>#N/A Requesting Data...2904560657</v>
        <stp/>
        <stp>BDP|4059296425981795825</stp>
        <tr r="T89" s="89"/>
      </tp>
      <tp t="s">
        <v>#N/A Requesting Data...3909134997</v>
        <stp/>
        <stp>BDP|9987750837224410406</stp>
        <tr r="F13" s="2"/>
      </tp>
      <tp t="s">
        <v>#N/A Requesting Data...2057835178</v>
        <stp/>
        <stp>BDP|8113789535866062735</stp>
        <tr r="T237" s="89"/>
      </tp>
      <tp t="s">
        <v>#N/A Requesting Data...3010305398</v>
        <stp/>
        <stp>BDP|6822986114586808509</stp>
        <tr r="AA15" s="2"/>
      </tp>
      <tp t="s">
        <v>#N/A Requesting Data...2508568927</v>
        <stp/>
        <stp>BDP|9592498748502103695</stp>
        <tr r="L7" s="252"/>
        <tr r="L7" s="252"/>
      </tp>
      <tp t="s">
        <v>#N/A Requesting Data...4042207682</v>
        <stp/>
        <stp>BDP|6754010884411976277</stp>
        <tr r="X44" s="338"/>
      </tp>
      <tp t="s">
        <v>#N/A Requesting Data...2250501984</v>
        <stp/>
        <stp>BDP|4958570254160242959</stp>
        <tr r="T33" s="338"/>
      </tp>
      <tp t="s">
        <v>#N/A Requesting Data...3919648275</v>
        <stp/>
        <stp>BDP|4678905769292619449</stp>
        <tr r="AK29" s="338"/>
      </tp>
      <tp t="s">
        <v>#N/A Requesting Data...3092199487</v>
        <stp/>
        <stp>BDP|7223883239641187000</stp>
        <tr r="G16" s="446"/>
      </tp>
      <tp t="s">
        <v>#N/A Requesting Data...3984496135</v>
        <stp/>
        <stp>BDP|5114854945934215018</stp>
        <tr r="V170" s="89"/>
        <tr r="AD12" s="2"/>
      </tp>
      <tp t="b">
        <v>0</v>
        <stp/>
        <stp>BDH|6510200972726120845</stp>
        <tr r="T14" s="252"/>
        <tr r="W14" s="252"/>
      </tp>
      <tp t="s">
        <v>#N/A Requesting Data...2391577196</v>
        <stp/>
        <stp>BDP|8227558946176666242</stp>
        <tr r="C204" s="89"/>
      </tp>
      <tp t="s">
        <v>#N/A Requesting Data...2166299804</v>
        <stp/>
        <stp>BDP|8023230975554206472</stp>
        <tr r="U33" s="338"/>
      </tp>
      <tp t="s">
        <v>#N/A Requesting Data...3659021501</v>
        <stp/>
        <stp>BDP|2832828567039648888</stp>
        <tr r="D7" s="2"/>
      </tp>
      <tp t="s">
        <v>#N/A Requesting Data...3705954544</v>
        <stp/>
        <stp>BDP|1449141764908407306</stp>
        <tr r="F11" s="446"/>
      </tp>
      <tp t="s">
        <v>#N/A Requesting Data...3540366935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Data...3401335089</v>
        <stp/>
        <stp>BDP|7951947862590616582</stp>
        <tr r="AF26" s="1"/>
        <tr r="AF13" s="338"/>
        <tr r="AF34" s="338"/>
      </tp>
      <tp t="s">
        <v>#N/A Requesting Data...3931567809</v>
        <stp/>
        <stp>BDP|9891481019803044282</stp>
        <tr r="G23" s="446"/>
      </tp>
      <tp t="s">
        <v>#N/A Requesting Data...3022508326</v>
        <stp/>
        <stp>BDP|8890689995642342808</stp>
        <tr r="V53" s="338"/>
      </tp>
      <tp t="s">
        <v>#N/A Requesting Data...4178153023</v>
        <stp/>
        <stp>BDP|4140538680732569611</stp>
        <tr r="AD13" s="2"/>
      </tp>
      <tp t="s">
        <v>#N/A Requesting Data...2959520175</v>
        <stp/>
        <stp>BDP|2455215735317653905</stp>
        <tr r="E223" s="89"/>
      </tp>
      <tp t="s">
        <v>#N/A Requesting Data...3821879062</v>
        <stp/>
        <stp>BDP|8233206945521469249</stp>
        <tr r="AB21" s="1"/>
      </tp>
      <tp t="s">
        <v>#N/A Requesting Data...2396636827</v>
        <stp/>
        <stp>BDP|2447569196515159629</stp>
        <tr r="T10" s="2"/>
      </tp>
      <tp t="s">
        <v>#N/A Requesting Data...2088976199</v>
        <stp/>
        <stp>BDP|6212629354018712071</stp>
        <tr r="Q44" s="338"/>
      </tp>
      <tp t="s">
        <v>#N/A Requesting Data...3708911627</v>
        <stp/>
        <stp>BDP|7612533417436704812</stp>
        <tr r="AJ13" s="338"/>
        <tr r="AJ34" s="338"/>
      </tp>
      <tp t="s">
        <v>#N/A Requesting Data...3852862679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Data...3373615683</v>
        <stp/>
        <stp>BDP|3007975292676340821</stp>
        <tr r="G24" s="446"/>
      </tp>
      <tp t="s">
        <v>#N/A Requesting Data...2012460463</v>
        <stp/>
        <stp>BDP|5665815221263095138</stp>
        <tr r="E95" s="89"/>
      </tp>
      <tp t="b">
        <v>0</v>
        <stp/>
        <stp>BDH|2114060395467773106</stp>
        <tr r="J16" s="252"/>
      </tp>
      <tp>
        <v>17.350000000000001</v>
        <stp/>
        <stp>BDP|18096733178424916458|22</stp>
        <stp>AVGO US 06/18/26 P270 Equity</stp>
        <stp>bid</stp>
        <tr r="K225" s="89"/>
      </tp>
      <tp>
        <v>33.200000000000003</v>
        <stp/>
        <stp>BDP|10089550128122679017|22</stp>
        <stp>TSM US 06/18/26 C340 Equity</stp>
        <stp>ask</stp>
        <tr r="L13" s="89"/>
        <tr r="Q22" s="2"/>
      </tp>
      <tp>
        <v>-0.21927750110626221</v>
        <stp/>
        <stp>BDP|3431413272118379814|22</stp>
        <stp>MRVL US 03/20/26 P70 Equity</stp>
        <stp>DELTA_MID_RT</stp>
        <tr r="W63" s="89"/>
        <tr r="AF17" s="2"/>
      </tp>
      <tp t="s">
        <v>#N/A Requesting Data...3606290472</v>
        <stp/>
        <stp>BDP|5266989866390412427</stp>
        <tr r="D38" s="446"/>
      </tp>
      <tp t="s">
        <v>#N/A Requesting Data...3024674335</v>
        <stp/>
        <stp>BDP|8338110186819693688</stp>
        <tr r="E212" s="89"/>
      </tp>
      <tp t="s">
        <v>#N/A N/A</v>
        <stp/>
        <stp>BDP|8927228557595141478</stp>
        <tr r="R115" s="89"/>
        <tr r="R116" s="89"/>
      </tp>
      <tp t="s">
        <v>#N/A Requesting Data...2511725844</v>
        <stp/>
        <stp>BDP|5527710723047808956</stp>
        <tr r="T50" s="89"/>
      </tp>
      <tp t="s">
        <v>#N/A Requesting Data...3659212003</v>
        <stp/>
        <stp>BDP|5586265622589882234</stp>
        <tr r="T187" s="89"/>
      </tp>
      <tp t="s">
        <v>#N/A Requesting Data...4073432264</v>
        <stp/>
        <stp>BDP|3507742477994476993</stp>
        <tr r="D40" s="89"/>
      </tp>
      <tp t="s">
        <v>#N/A Requesting Data...4020615384</v>
        <stp/>
        <stp>BDP|1529618684855229495</stp>
        <tr r="E197" s="89"/>
      </tp>
      <tp t="s">
        <v>#N/A Requesting Data...2781369640</v>
        <stp/>
        <stp>BDP|8518419899713251871</stp>
        <tr r="X8" s="338"/>
      </tp>
      <tp t="s">
        <v>#N/A Requesting Data...4189101774</v>
        <stp/>
        <stp>BDP|6375542897924166091</stp>
        <tr r="C109" s="89"/>
      </tp>
      <tp t="s">
        <v>#N/A Requesting Data...2521028359</v>
        <stp/>
        <stp>BDP|6865956502756622717</stp>
        <tr r="AH36" s="338"/>
        <tr r="AJ36" s="338"/>
      </tp>
      <tp t="s">
        <v>#N/A Requesting Data...3673452089</v>
        <stp/>
        <stp>BDP|2379295593121097618</stp>
        <tr r="D44" s="446"/>
      </tp>
      <tp t="b">
        <v>0</v>
        <stp/>
        <stp>BDH|1220763917200259994</stp>
        <tr r="AR54" s="338"/>
      </tp>
      <tp t="s">
        <v>#N/A Requesting Data...2398474642</v>
        <stp/>
        <stp>BDP|4680288495411508078</stp>
        <tr r="F18" s="2"/>
      </tp>
      <tp t="s">
        <v>#N/A Requesting Data...2839938461</v>
        <stp/>
        <stp>BDP|9349867885552045593</stp>
        <tr r="S48" s="338"/>
      </tp>
      <tp t="s">
        <v>#N/A Requesting Data...4001946472</v>
        <stp/>
        <stp>BDP|8800614714481507068</stp>
        <tr r="V197" s="89"/>
      </tp>
      <tp t="s">
        <v>#N/A Requesting Data...3113193894</v>
        <stp/>
        <stp>BDP|8943988508449477635</stp>
        <tr r="F6" s="2"/>
      </tp>
      <tp t="s">
        <v>#N/A Requesting Data...2386265596</v>
        <stp/>
        <stp>BDP|9727589470544887194</stp>
        <tr r="T154" s="89"/>
      </tp>
      <tp t="s">
        <v>#N/A Requesting Data...3004141619</v>
        <stp/>
        <stp>BDP|1210812459016425419</stp>
        <tr r="T169" s="89"/>
      </tp>
      <tp t="s">
        <v>#N/A Requesting Data...2434564620</v>
        <stp/>
        <stp>BDP|3116185742219750133</stp>
        <tr r="T109" s="89"/>
      </tp>
      <tp t="s">
        <v>#N/A Requesting Data...3364212177</v>
        <stp/>
        <stp>BDP|8974216276565695646</stp>
        <tr r="C10" s="2"/>
      </tp>
      <tp t="s">
        <v>#N/A Requesting Data...3599670049</v>
        <stp/>
        <stp>BDP|8883658922450224216</stp>
        <tr r="C76" s="89"/>
      </tp>
      <tp t="b">
        <v>0</v>
        <stp/>
        <stp>BDH|5810883428682003344</stp>
        <tr r="AR30" s="338"/>
      </tp>
      <tp t="b">
        <v>0</v>
        <stp/>
        <stp>BDH|9948664177635422304</stp>
        <tr r="AS12" s="338"/>
      </tp>
      <tp t="s">
        <v>#N/A N/A</v>
        <stp/>
        <stp>BDP|8927803377951233812</stp>
        <tr r="AB160" s="89"/>
      </tp>
      <tp t="s">
        <v>#N/A Requesting Data...4177327751</v>
        <stp/>
        <stp>BDP|9104922632105284817</stp>
        <tr r="D20" s="89"/>
      </tp>
      <tp t="s">
        <v>#N/A Requesting Data...3116986950</v>
        <stp/>
        <stp>BDP|5796504129065876948</stp>
        <tr r="U8" s="338"/>
      </tp>
      <tp t="s">
        <v>#N/A Requesting Data...2566225435</v>
        <stp/>
        <stp>BDP|5334711267318453225</stp>
        <tr r="N10" s="252"/>
        <tr r="N10" s="252"/>
      </tp>
      <tp t="s">
        <v>#N/A N/A</v>
        <stp/>
        <stp>BDP|8778194253835698784</stp>
        <tr r="AB49" s="89"/>
        <tr r="AB50" s="89"/>
      </tp>
      <tp t="s">
        <v>#N/A Requesting Data...2111761161</v>
        <stp/>
        <stp>BDP|9233199299816659948</stp>
        <tr r="P11" s="252"/>
      </tp>
      <tp t="s">
        <v>#N/A Requesting Data...2040461768</v>
        <stp/>
        <stp>BDP|2292616657717420814</stp>
        <tr r="AF31" s="338"/>
        <tr r="AF32" s="338"/>
      </tp>
      <tp t="s">
        <v>#N/A Requesting Data...3065423916</v>
        <stp/>
        <stp>BDP|1704402293557704529</stp>
        <tr r="K7" s="1"/>
      </tp>
      <tp t="s">
        <v>#N/A Requesting Data...3867753220</v>
        <stp/>
        <stp>BDP|4042472092244568314</stp>
        <tr r="V108" s="89"/>
      </tp>
      <tp t="s">
        <v>#N/A Requesting Data...2884220612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Data...2825027976</v>
        <stp/>
        <stp>BDP|5068380246295060987</stp>
        <tr r="P49" s="338"/>
      </tp>
      <tp t="b">
        <v>0</v>
        <stp/>
        <stp>BDH|5674194540649995708</stp>
        <tr r="W17" s="252"/>
        <tr r="T17" s="252"/>
      </tp>
      <tp t="s">
        <v>#N/A Requesting Data...3064234604</v>
        <stp/>
        <stp>BDP|6562923680930375939</stp>
        <tr r="T11" s="338"/>
      </tp>
      <tp t="s">
        <v>#N/A Requesting Data...3525918850</v>
        <stp/>
        <stp>BDP|4719256686637012732</stp>
        <tr r="M19" s="252"/>
      </tp>
      <tp t="s">
        <v>#N/A Requesting Data...2118991903</v>
        <stp/>
        <stp>BDP|2644203280360986688</stp>
        <tr r="F35" s="446"/>
        <tr r="AB26" s="1"/>
      </tp>
      <tp t="s">
        <v>#N/A Requesting Data...3747328658</v>
        <stp/>
        <stp>BDP|3687895063137929413</stp>
        <tr r="U51" s="338"/>
      </tp>
      <tp t="b">
        <v>0</v>
        <stp/>
        <stp>BDH|6647726935759625537</stp>
        <tr r="AN41" s="338"/>
        <tr r="AN42" s="338"/>
      </tp>
      <tp t="s">
        <v>#N/A Requesting Data...2418134339</v>
        <stp/>
        <stp>BDP|2866283045919885388</stp>
        <tr r="L18" s="338"/>
        <tr r="J18" s="338"/>
      </tp>
      <tp t="s">
        <v>#N/A Requesting Data...3707371906</v>
        <stp/>
        <stp>BDP|8754151420072627717</stp>
        <tr r="AR10" s="2"/>
      </tp>
      <tp t="s">
        <v>#N/A Requesting Data...2958067980</v>
        <stp/>
        <stp>BDP|8565804017506463936</stp>
        <tr r="L17" s="252"/>
        <tr r="L17" s="252"/>
      </tp>
      <tp>
        <v>18.5</v>
        <stp/>
        <stp>BDP|13753378013260123339|22</stp>
        <stp>AMZN US 07/17/26 C250 Equity</stp>
        <stp>bid</stp>
        <tr r="K234" s="89"/>
      </tp>
      <tp>
        <v>19.848600000000001</v>
        <stp/>
        <stp>BDP|1056906607050736285|22</stp>
        <stp>CPNG Equity</stp>
        <stp>LAST PRICE</stp>
        <tr r="L7" s="446"/>
      </tp>
      <tp>
        <v>36.435000000000002</v>
        <stp/>
        <stp>BDP|8479129259841183337|22</stp>
        <stp>BP Equity</stp>
        <stp>LAST PRICE</stp>
        <tr r="G29" s="338"/>
        <tr r="G30" s="338"/>
      </tp>
      <tp>
        <v>-0.18446564674377441</v>
        <stp/>
        <stp>BDP|5526706154841928378|22</stp>
        <stp>MSFT US 03/20/26 P465 Equity</stp>
        <stp>theta_mid_rt</stp>
        <tr r="AN19" s="2"/>
      </tp>
      <tp t="s">
        <v>USD</v>
        <stp/>
        <stp>BDP|14291221851174083025|22</stp>
        <stp>AMZN US 07/17/26 C245 Equity</stp>
        <stp>QUOTED_CURRENCY_REALTIME</stp>
        <tr r="G6" s="2"/>
      </tp>
      <tp>
        <v>335.92</v>
        <stp/>
        <stp>BDP|10734773146792366841|22</stp>
        <stp>TSM US Equity</stp>
        <stp>LAST_PRICE</stp>
        <tr r="S13" s="89"/>
        <tr r="S19" s="89"/>
        <tr r="S20" s="89"/>
        <tr r="S14" s="89"/>
        <tr r="Z22" s="2"/>
        <tr r="Z23" s="2"/>
      </tp>
      <tp t="s">
        <v>#N/A Requesting Data...3400916816</v>
        <stp/>
        <stp>BDP|3786323124408946521</stp>
        <tr r="D45" s="446"/>
      </tp>
      <tp t="s">
        <v>#N/A Requesting Data...4234037810</v>
        <stp/>
        <stp>BDP|7859159525229324216</stp>
        <tr r="C49" s="89"/>
      </tp>
      <tp t="s">
        <v>#N/A Requesting Data...3370600238</v>
        <stp/>
        <stp>BDP|8896143753810578305</stp>
        <tr r="F16" s="2"/>
      </tp>
      <tp t="s">
        <v>#N/A Requesting Data...2190313753</v>
        <stp/>
        <stp>BDP|9677592347374790342</stp>
        <tr r="F5" s="2"/>
      </tp>
      <tp t="s">
        <v>#N/A Requesting Data...3187455026</v>
        <stp/>
        <stp>BDP|2806504826139638334</stp>
        <tr r="AG26" s="1"/>
      </tp>
      <tp t="s">
        <v>#N/A Requesting Data...2126794375</v>
        <stp/>
        <stp>BDP|4784976331940308190</stp>
        <tr r="AA144" s="89"/>
        <tr r="Z144" s="89"/>
      </tp>
      <tp t="s">
        <v>#N/A Requesting Data...4266521386</v>
        <stp/>
        <stp>BDP|2131718523418809031</stp>
        <tr r="X9" s="338"/>
      </tp>
      <tp t="s">
        <v>#N/A Requesting Data...3197769093</v>
        <stp/>
        <stp>BDP|8119275495638947437</stp>
        <tr r="AI30" s="1"/>
      </tp>
      <tp t="s">
        <v>#N/A Requesting Data...4201134998</v>
        <stp/>
        <stp>BDP|5679867640046054095</stp>
        <tr r="Q30" s="338"/>
      </tp>
      <tp t="s">
        <v>#N/A Requesting Data...2255184403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Data...2226731608</v>
        <stp/>
        <stp>BDP|2842170687233636700</stp>
        <tr r="AH13" s="338"/>
        <tr r="AH34" s="338"/>
      </tp>
      <tp t="s">
        <v>#N/A Requesting Data...3690845589</v>
        <stp/>
        <stp>BDP|1457483532620769970</stp>
        <tr r="L18" s="252"/>
        <tr r="L18" s="252"/>
      </tp>
      <tp t="b">
        <v>0</v>
        <stp/>
        <stp>BDH|6037677099837068100</stp>
        <tr r="AP12" s="338"/>
      </tp>
      <tp t="s">
        <v>#N/A Requesting Data...3072212807</v>
        <stp/>
        <stp>BDP|7952717157178061208</stp>
        <tr r="AI15" s="1"/>
      </tp>
      <tp t="s">
        <v>#N/A Requesting Data...3136012205</v>
        <stp/>
        <stp>BDP|6268649388386345129</stp>
        <tr r="D144" s="89"/>
      </tp>
      <tp t="s">
        <v>#N/A Requesting Data...3216142058</v>
        <stp/>
        <stp>BDP|8154630115763023381</stp>
        <tr r="T52" s="338"/>
      </tp>
      <tp t="s">
        <v>#N/A Requesting Data...3601541422</v>
        <stp/>
        <stp>BDP|7576730522755872830</stp>
        <tr r="F38" s="446"/>
      </tp>
      <tp t="b">
        <v>0</v>
        <stp/>
        <stp>BDH|5677352750245985959</stp>
        <tr r="AP51" s="338"/>
        <tr r="AU34" s="338"/>
        <tr r="AU36" s="338"/>
        <tr r="AP50" s="338"/>
        <tr r="AU35" s="338"/>
        <tr r="AU37" s="338"/>
      </tp>
      <tp t="s">
        <v>#N/A Requesting Data...2474680273</v>
        <stp/>
        <stp>BDP|9507005719251486644</stp>
        <tr r="M10" s="252"/>
      </tp>
      <tp t="s">
        <v>#N/A Requesting Data...3861359483</v>
        <stp/>
        <stp>BDP|7273408672439991253</stp>
        <tr r="E34" s="89"/>
      </tp>
      <tp t="s">
        <v>#N/A Requesting Data...2119631976</v>
        <stp/>
        <stp>BDP|8864177178196306783</stp>
        <tr r="C213" s="89"/>
      </tp>
      <tp t="s">
        <v>#N/A Requesting Data...2618781032</v>
        <stp/>
        <stp>BDP|3243919885914808926</stp>
        <tr r="AB14" s="1"/>
      </tp>
      <tp t="s">
        <v>#N/A Requesting Data...2877894798</v>
        <stp/>
        <stp>BDP|9539667201337640785</stp>
        <tr r="U36" s="338"/>
      </tp>
      <tp t="b">
        <v>0</v>
        <stp/>
        <stp>BDH|4325182560439272558</stp>
        <tr r="AM12" s="338"/>
      </tp>
      <tp t="s">
        <v>#N/A Requesting Data...2708929287</v>
        <stp/>
        <stp>BDP|7446900777882759491</stp>
        <tr r="AF24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Data...3395577460</v>
        <stp/>
        <stp>BDP|3017449980125941505</stp>
        <tr r="V212" s="89"/>
      </tp>
      <tp t="s">
        <v>#N/A N/A</v>
        <stp/>
        <stp>BDP|6430708143608850224</stp>
        <tr r="R27" s="89"/>
        <tr r="R34" s="89"/>
        <tr r="R26" s="89"/>
      </tp>
      <tp t="s">
        <v>#N/A Requesting Data...4289430852</v>
        <stp/>
        <stp>BDP|8782158116286979106</stp>
        <tr r="AG33" s="1"/>
      </tp>
      <tp t="s">
        <v>#N/A Requesting Data...3774961673</v>
        <stp/>
        <stp>BDP|2751859474321958329</stp>
        <tr r="V187" s="89"/>
      </tp>
      <tp t="s">
        <v>#N/A N/A</v>
        <stp/>
        <stp>BDP|7737565625888423724</stp>
        <tr r="AB40" s="89"/>
      </tp>
      <tp t="s">
        <v>#N/A Requesting Data...2677998342</v>
        <stp/>
        <stp>BDP|4065099833740136891</stp>
        <tr r="P42" s="338"/>
      </tp>
      <tp t="s">
        <v>#N/A Requesting Data...4130213036</v>
        <stp/>
        <stp>BDP|8496510345395763350</stp>
        <tr r="D49" s="89"/>
      </tp>
      <tp t="b">
        <v>0</v>
        <stp/>
        <stp>BDH|1354039892803480445</stp>
        <tr r="AN12" s="338"/>
      </tp>
      <tp t="s">
        <v>#N/A Requesting Data...3489704567</v>
        <stp/>
        <stp>BDP|5267619434148669720</stp>
        <tr r="AJ52" s="338"/>
        <tr r="AJ53" s="338"/>
        <tr r="AJ54" s="338"/>
      </tp>
      <tp t="s">
        <v>#N/A Requesting Data...3469855331</v>
        <stp/>
        <stp>BDP|8622760163721094706</stp>
        <tr r="AA178" s="89"/>
        <tr r="AA179" s="89"/>
        <tr r="Z178" s="89"/>
        <tr r="Z179" s="89"/>
      </tp>
      <tp t="s">
        <v>#N/A Requesting Data...3864702121</v>
        <stp/>
        <stp>BDP|7148106705448380141</stp>
        <tr r="V41" s="338"/>
      </tp>
      <tp t="s">
        <v>#N/A Requesting Data...3801552080</v>
        <stp/>
        <stp>BDP|1566983548630295344</stp>
        <tr r="AA14" s="2"/>
      </tp>
      <tp t="s">
        <v>#N/A Requesting Data...2554277554</v>
        <stp/>
        <stp>BDP|7511636250779138240</stp>
        <tr r="V40" s="338"/>
      </tp>
      <tp t="s">
        <v>#N/A Requesting Data...3300678832</v>
        <stp/>
        <stp>BDP|5175197054628951661</stp>
        <tr r="F20" s="2"/>
      </tp>
      <tp t="s">
        <v>#N/A Requesting Data...2453086832</v>
        <stp/>
        <stp>BDP|5576438787561382724</stp>
        <tr r="AJ10" s="338"/>
        <tr r="AJ11" s="338"/>
        <tr r="AJ33" s="338"/>
      </tp>
      <tp t="s">
        <v>#N/A Requesting Data...2636995528</v>
        <stp/>
        <stp>BDP|1371944730256623208</stp>
        <tr r="T137" s="89"/>
      </tp>
      <tp t="s">
        <v>#N/A Requesting Data...2710238876</v>
        <stp/>
        <stp>BDP|2475069015355307957</stp>
        <tr r="V178" s="89"/>
        <tr r="V179" s="89"/>
      </tp>
      <tp t="s">
        <v>#N/A Requesting Data...2420602817</v>
        <stp/>
        <stp>BDP|8553085138774321079</stp>
        <tr r="T123" s="89"/>
      </tp>
      <tp t="s">
        <v>#N/A Requesting Data...3100983138</v>
        <stp/>
        <stp>BDP|9274343827420648768</stp>
        <tr r="G10" s="446"/>
      </tp>
      <tp t="s">
        <v>#N/A Requesting Data...3827950706</v>
        <stp/>
        <stp>BDP|8495299733930600699</stp>
        <tr r="AD20" s="2"/>
        <tr r="V33" s="89"/>
      </tp>
      <tp t="s">
        <v>#N/A Requesting Data...3107416325</v>
        <stp/>
        <stp>BDP|1937197186723171466</stp>
        <tr r="F22" s="2"/>
      </tp>
      <tp t="s">
        <v>#N/A Requesting Data...3138444288</v>
        <stp/>
        <stp>BDP|1136567666448935591</stp>
        <tr r="V37" s="338"/>
      </tp>
      <tp t="s">
        <v>#N/A Requesting Data...4240268883</v>
        <stp/>
        <stp>BDP|7385638697900780713</stp>
        <tr r="AB23" s="1"/>
      </tp>
      <tp t="s">
        <v>#N/A Requesting Data...2910230869</v>
        <stp/>
        <stp>BDP|8715752362304396251</stp>
        <tr r="C233" s="89"/>
      </tp>
      <tp t="s">
        <v>#N/A Requesting Data...4162461622</v>
        <stp/>
        <stp>BDP|9728149439951510598</stp>
        <tr r="F17" s="2"/>
      </tp>
      <tp t="s">
        <v>#N/A Requesting Data...4041220695</v>
        <stp/>
        <stp>BDP|2036830374436602479</stp>
        <tr r="U50" s="338"/>
      </tp>
      <tp t="s">
        <v>#N/A Requesting Data...2285601536</v>
        <stp/>
        <stp>BDP|6317578591636076338</stp>
        <tr r="D138" s="89"/>
      </tp>
      <tp t="s">
        <v>#N/A N/A</v>
        <stp/>
        <stp>BDP|3916828528720515608</stp>
        <tr r="AQ10" s="2"/>
        <tr r="AQ9" s="2"/>
      </tp>
      <tp t="s">
        <v>#N/A Requesting Data...3384388004</v>
        <stp/>
        <stp>BDP|1370952567270052174</stp>
        <tr r="AJ8" s="338"/>
        <tr r="AJ9" s="338"/>
        <tr r="AH8" s="338"/>
        <tr r="AH9" s="338"/>
      </tp>
      <tp t="s">
        <v>#N/A Requesting Data...2137125394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Data...2777836148</v>
        <stp/>
        <stp>BDP|9461243956507277607</stp>
        <tr r="K31" s="1"/>
      </tp>
      <tp t="s">
        <v>#N/A Requesting Data...3076609241</v>
        <stp/>
        <stp>BDP|6160662584120657700</stp>
        <tr r="G12" s="446"/>
      </tp>
      <tp t="s">
        <v>#N/A Requesting Data...4025002006</v>
        <stp/>
        <stp>BDP|2050769895694328758</stp>
        <tr r="S7" s="252"/>
      </tp>
      <tp t="s">
        <v>#N/A Requesting Data...3309850810</v>
        <stp/>
        <stp>BDP|7406613185485631331</stp>
        <tr r="V233" s="89"/>
      </tp>
      <tp t="s">
        <v>#N/A Requesting Data...2614964446</v>
        <stp/>
        <stp>BDP|8759533260432150600</stp>
        <tr r="E56" s="89"/>
      </tp>
      <tp>
        <v>42.5</v>
        <stp/>
        <stp>BDP|15024174385583937942|22</stp>
        <stp>SNDK US 02/20/26 C550 Equity</stp>
        <stp>ask</stp>
        <tr r="Q21" s="2"/>
      </tp>
      <tp>
        <v>5.91</v>
        <stp/>
        <stp>BDP|14467189058144963421|22</stp>
        <stp>QQQ US 02/06/26 C630 Equity</stp>
        <stp>ask</stp>
        <tr r="L33" s="89"/>
        <tr r="Q20" s="2"/>
      </tp>
      <tp>
        <v>317.54000000000002</v>
        <stp/>
        <stp>BDP|6093066913446547993|22</stp>
        <stp>AVGO Equity</stp>
        <stp>LAST_PRICE</stp>
        <tr r="I25" s="1"/>
      </tp>
      <tp>
        <v>32</v>
        <stp/>
        <stp>BDP|14476957307763141828|22</stp>
        <stp>TSM US 06/18/26 C340 Equity</stp>
        <stp>bid</stp>
        <tr r="K13" s="89"/>
        <tr r="P22" s="2"/>
      </tp>
      <tp>
        <v>689.65499999999997</v>
        <stp/>
        <stp>BDP|11764468863197025710|22</stp>
        <stp>SPY EQUITY</stp>
        <stp>LAST_PRICE</stp>
        <tr r="I4" s="1"/>
      </tp>
      <tp>
        <v>-2.8506875038146973E-2</v>
        <stp/>
        <stp>BDP|12480500075908314127|22</stp>
        <stp>GDX US 09/18/26 C105 Equity</stp>
        <stp>theta_mid_rt</stp>
        <tr r="AN9" s="2"/>
      </tp>
      <tp t="s">
        <v>#N/A Requesting Data...2350622938</v>
        <stp/>
        <stp>BDP|4983617041569093735</stp>
        <tr r="U10" s="338"/>
      </tp>
      <tp t="s">
        <v>#N/A Requesting Data...3170657848</v>
        <stp/>
        <stp>BDP|9340855016030830837</stp>
        <tr r="D9" s="2"/>
      </tp>
      <tp t="s">
        <v>#N/A Requesting Data...2960094952</v>
        <stp/>
        <stp>BDP|1158468690973405781</stp>
        <tr r="AK18" s="338"/>
      </tp>
      <tp t="s">
        <v>#N/A Requesting Data...2308699083</v>
        <stp/>
        <stp>BDP|2898694498747321222</stp>
        <tr r="E3" s="1"/>
        <tr r="K26" s="1"/>
      </tp>
      <tp t="s">
        <v>#N/A Requesting Data...2553387697</v>
        <stp/>
        <stp>BDP|7526986475906100712</stp>
        <tr r="E123" s="89"/>
      </tp>
      <tp t="s">
        <v>#N/A Requesting Data...2853293369</v>
        <stp/>
        <stp>BDP|9064191480710005817</stp>
        <tr r="V16" s="338"/>
        <tr r="V38" s="338"/>
      </tp>
      <tp t="s">
        <v>#N/A Requesting Data...3404036983</v>
        <stp/>
        <stp>BDP|9490986995892939382</stp>
        <tr r="E13" s="89"/>
      </tp>
      <tp t="s">
        <v>#N/A Requesting Data...4077681233</v>
        <stp/>
        <stp>BDP|9119371270756838373</stp>
        <tr r="N18" s="252"/>
        <tr r="N18" s="252"/>
      </tp>
      <tp t="s">
        <v>#N/A Requesting Data...2421086900</v>
        <stp/>
        <stp>BDP|6201270299844298101</stp>
        <tr r="O68" s="89"/>
      </tp>
      <tp t="b">
        <v>0</v>
        <stp/>
        <stp>BDH|4930407897341769078</stp>
        <tr r="AM32" s="338"/>
        <tr r="AM31" s="338"/>
      </tp>
      <tp t="s">
        <v>#N/A Requesting Data...3134333118</v>
        <stp/>
        <stp>BDP|8903788637142927602</stp>
        <tr r="AK30" s="338"/>
      </tp>
      <tp t="s">
        <v>#N/A Requesting Data...3969353168</v>
        <stp/>
        <stp>BDP|9657162411476734792</stp>
        <tr r="P47" s="338"/>
      </tp>
      <tp t="s">
        <v>#N/A Requesting Data...2268020136</v>
        <stp/>
        <stp>BDP|5133781604559034315</stp>
        <tr r="O76" s="89"/>
      </tp>
      <tp t="s">
        <v>#N/A Requesting Data...3150679645</v>
        <stp/>
        <stp>BDP|8893033206807423751</stp>
        <tr r="AA153" s="89"/>
        <tr r="Z153" s="89"/>
      </tp>
      <tp t="s">
        <v>#N/A Requesting Data...4155039147</v>
        <stp/>
        <stp>BDP|9541693808182769518</stp>
        <tr r="D29" s="446"/>
      </tp>
      <tp t="s">
        <v>#N/A Requesting Data...4048931602</v>
        <stp/>
        <stp>BDP|6024155984106720147</stp>
        <tr r="C14" s="89"/>
        <tr r="D23" s="2"/>
      </tp>
      <tp t="s">
        <v>#N/A Requesting Data...2747110741</v>
        <stp/>
        <stp>BDP|2361913501277478452</stp>
        <tr r="E203" s="89"/>
      </tp>
      <tp t="s">
        <v>#N/A Requesting Data...4195113823</v>
        <stp/>
        <stp>BDP|6772414405089956382</stp>
        <tr r="Z76" s="89"/>
        <tr r="AA76" s="89"/>
      </tp>
      <tp t="s">
        <v>#N/A Requesting Data...2303310388</v>
        <stp/>
        <stp>BDP|6839173327418343594</stp>
        <tr r="F7" s="446"/>
      </tp>
      <tp t="s">
        <v>#N/A Requesting Data...4266597204</v>
        <stp/>
        <stp>BDP|7248503210943138805</stp>
        <tr r="D68" s="89"/>
      </tp>
      <tp t="s">
        <v>#N/A Requesting Data...2523899162</v>
        <stp/>
        <stp>BDP|5668869742685379426</stp>
        <tr r="AA222" s="89"/>
        <tr r="Z222" s="89"/>
      </tp>
      <tp t="s">
        <v>#N/A Requesting Data...2338924403</v>
        <stp/>
        <stp>BDP|5036112677148006353</stp>
        <tr r="L14" s="338"/>
        <tr r="H55" s="338"/>
        <tr r="J14" s="338"/>
        <tr r="J55" s="338"/>
        <tr r="L55" s="338"/>
        <tr r="L55" s="338"/>
      </tp>
      <tp t="s">
        <v>#N/A Requesting Data...3546209689</v>
        <stp/>
        <stp>BDP|4481261054123222849</stp>
        <tr r="V213" s="89"/>
      </tp>
      <tp t="s">
        <v>#N/A Requesting Data...2340307066</v>
        <stp/>
        <stp>BDP|5237225300886746967</stp>
        <tr r="AA129" s="89"/>
        <tr r="Z129" s="89"/>
      </tp>
      <tp t="s">
        <v>#N/A Requesting Data...3685843967</v>
        <stp/>
        <stp>BDP|3746009638598604087</stp>
        <tr r="AA136" s="89"/>
        <tr r="Z136" s="89"/>
      </tp>
      <tp t="s">
        <v>#N/A Requesting Data...3736736592</v>
        <stp/>
        <stp>BDP|8506305911474169649</stp>
        <tr r="V27" s="89"/>
      </tp>
      <tp t="s">
        <v>#N/A Requesting Data...2403209075</v>
        <stp/>
        <stp>BDP|7027987678572062314</stp>
        <tr r="D36" s="446"/>
        <tr r="AC28" s="1"/>
      </tp>
      <tp t="b">
        <v>0</v>
        <stp/>
        <stp>BDH|8032399515070923249</stp>
        <tr r="AP52" s="338"/>
        <tr r="AP54" s="338"/>
        <tr r="AP53" s="338"/>
      </tp>
      <tp t="s">
        <v>#N/A Requesting Data...2750132113</v>
        <stp/>
        <stp>BDP|2739243071518004749</stp>
        <tr r="E138" s="89"/>
      </tp>
      <tp t="s">
        <v>#N/A N/A</v>
        <stp/>
        <stp>BDP|9400997768466424874</stp>
        <tr r="R195" s="89"/>
        <tr r="R196" s="89"/>
        <tr r="R197" s="89"/>
        <tr r="R39" s="89"/>
      </tp>
      <tp t="b">
        <v>0</v>
        <stp/>
        <stp>BDH|7010958550111077231</stp>
        <tr r="W16" s="252"/>
        <tr r="T16" s="252"/>
      </tp>
      <tp t="s">
        <v>#N/A Requesting Data...2511872672</v>
        <stp/>
        <stp>BDP|9450040674965070308</stp>
        <tr r="E23" s="2"/>
      </tp>
      <tp t="b">
        <v>0</v>
        <stp/>
        <stp>BDH|2375673906255636901</stp>
        <tr r="T11" s="252"/>
        <tr r="W11" s="252"/>
      </tp>
      <tp t="b">
        <v>0</v>
        <stp/>
        <stp>BDH|6723884362331882112</stp>
        <tr r="AM45" s="338"/>
        <tr r="AM46" s="338"/>
        <tr r="AR33" s="338"/>
        <tr r="AR51" s="338"/>
        <tr r="AR47" s="338"/>
        <tr r="AR41" s="338"/>
        <tr r="AM49" s="338"/>
        <tr r="AR31" s="338"/>
      </tp>
      <tp t="s">
        <v>#N/A Requesting Data...2596341977</v>
        <stp/>
        <stp>BDP|7322810857195514754</stp>
        <tr r="T235" s="89"/>
      </tp>
      <tp t="s">
        <v>#N/A Requesting Data...3061978350</v>
        <stp/>
        <stp>BDP|2056152586557168472</stp>
        <tr r="O39" s="89"/>
      </tp>
      <tp t="b">
        <v>0</v>
        <stp/>
        <stp>BDH|2802418928475200961</stp>
        <tr r="AP42" s="338"/>
        <tr r="AP41" s="338"/>
      </tp>
      <tp>
        <v>133.93</v>
        <stp/>
        <stp>BDP|1232203967796078876|22</stp>
        <stp>ABNB Equity</stp>
        <stp>LAST PRICE</stp>
        <tr r="I12" s="338"/>
      </tp>
      <tp>
        <v>35.869999999999997</v>
        <stp/>
        <stp>BDP|2650520762982825878|22</stp>
        <stp>KWEB Equity</stp>
        <stp>LAST_PRICE</stp>
        <tr r="H12" s="252"/>
        <tr r="H12" s="252"/>
      </tp>
      <tp>
        <v>4.25</v>
        <stp/>
        <stp>BDP|239012915816136366|22</stp>
        <stp>MRVL US 03/20/26 P75 Equity</stp>
        <stp>bid</stp>
        <tr r="P15" s="2"/>
      </tp>
      <tp>
        <v>1.01</v>
        <stp/>
        <stp>BDP|14861555431928893617|22</stp>
        <stp>QQQ US 01/26/26 C627 Equity</stp>
        <stp>ask</stp>
        <tr r="L212" s="89"/>
      </tp>
      <tp>
        <v>5.9</v>
        <stp/>
        <stp>BDP|15417118662998733131|22</stp>
        <stp>QQQ US 02/06/26 C630 Equity</stp>
        <stp>mid</stp>
        <tr r="L20" s="2"/>
      </tp>
      <tp t="s">
        <v>#N/A Requesting Data...3412718644</v>
        <stp/>
        <stp>BDP|2441593726955875997</stp>
        <tr r="L20" s="252"/>
        <tr r="L20" s="252"/>
      </tp>
      <tp t="s">
        <v>#N/A Requesting Data...2350707700</v>
        <stp/>
        <stp>BDP|8996292475495824173</stp>
        <tr r="O16" s="252"/>
      </tp>
      <tp t="s">
        <v>#N/A Requesting Data...3577739073</v>
        <stp/>
        <stp>BDP|1267200791591813216</stp>
        <tr r="C18" s="2"/>
      </tp>
      <tp t="b">
        <v>0</v>
        <stp/>
        <stp>BDH|9553889939693713899</stp>
        <tr r="AP40" s="338"/>
        <tr r="AP16" s="338"/>
        <tr r="AP38" s="338"/>
      </tp>
      <tp t="s">
        <v>#N/A Requesting Data...3762108325</v>
        <stp/>
        <stp>BDP|9788785317823069539</stp>
        <tr r="C145" s="89"/>
      </tp>
      <tp t="s">
        <v>#N/A Requesting Data...2988202795</v>
        <stp/>
        <stp>BDP|3993805876862168756</stp>
        <tr r="U45" s="338"/>
      </tp>
      <tp t="s">
        <v>#N/A Requesting Data...4222675562</v>
        <stp/>
        <stp>BDP|5562894851780567134</stp>
        <tr r="AA203" s="89"/>
        <tr r="Z203" s="89"/>
      </tp>
      <tp t="s">
        <v>#N/A Requesting Data...2285634817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Data...2372771700</v>
        <stp/>
        <stp>BDP|9754162438145550750</stp>
        <tr r="E16" s="2"/>
      </tp>
      <tp t="s">
        <v>#N/A Requesting Data...4022499953</v>
        <stp/>
        <stp>BDP|2257884823860585153</stp>
        <tr r="C144" s="89"/>
      </tp>
      <tp t="s">
        <v>#N/A Requesting Data...4092326311</v>
        <stp/>
        <stp>BDP|1849313424598658123</stp>
        <tr r="T82" s="89"/>
      </tp>
      <tp t="s">
        <v>#N/A Requesting Data...3560184871</v>
        <stp/>
        <stp>BDP|2463897743725982291</stp>
        <tr r="F20" s="446"/>
      </tp>
      <tp t="s">
        <v>#N/A Requesting Data...3362852114</v>
        <stp/>
        <stp>BDP|9344561247696579794</stp>
        <tr r="AH15" s="338"/>
        <tr r="AH39" s="338"/>
        <tr r="AI40" s="338"/>
      </tp>
      <tp t="s">
        <v>#N/A Requesting Data...3457318430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Data...3961716199</v>
        <stp/>
        <stp>BDP|1918834507510755077</stp>
        <tr r="S8" s="338"/>
      </tp>
      <tp t="s">
        <v>#N/A Requesting Data...4223732347</v>
        <stp/>
        <stp>BDP|1186915098941854922</stp>
        <tr r="P17" s="338"/>
      </tp>
      <tp t="s">
        <v>#N/A Requesting Data...3075080116</v>
        <stp/>
        <stp>BDP|3411193788855096676</stp>
        <tr r="T14" s="89"/>
        <tr r="AA23" s="2"/>
      </tp>
      <tp t="s">
        <v>#N/A N/A</v>
        <stp/>
        <stp>BDP|5430386408488532737</stp>
        <tr r="AB109" s="89"/>
      </tp>
      <tp t="s">
        <v>#N/A Requesting Data...4223272966</v>
        <stp/>
        <stp>BDP|9316566775525772740</stp>
        <tr r="O186" s="89"/>
      </tp>
      <tp t="s">
        <v>#N/A Requesting Data...2406794192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Data...2417129430</v>
        <stp/>
        <stp>BDP|2048477006706491956</stp>
        <tr r="X33" s="338"/>
      </tp>
      <tp t="s">
        <v>#N/A Requesting Data...2756940558</v>
        <stp/>
        <stp>BDP|4401866454658402822</stp>
        <tr r="D203" s="89"/>
      </tp>
      <tp t="b">
        <v>0</v>
        <stp/>
        <stp>BDH|9517072596600427907</stp>
        <tr r="AN35" s="338"/>
        <tr r="AN14" s="338"/>
      </tp>
      <tp t="s">
        <v>#N/A Requesting Data...2499186345</v>
        <stp/>
        <stp>BDP|8993500628312049404</stp>
        <tr r="E180" s="89"/>
      </tp>
      <tp t="s">
        <v>#N/A Requesting Data...4083409249</v>
        <stp/>
        <stp>BDP|7244558603729407262</stp>
        <tr r="Q9" s="338"/>
      </tp>
      <tp t="s">
        <v>#N/A Requesting Data...4151839364</v>
        <stp/>
        <stp>BDP|9762563002360150543</stp>
        <tr r="P9" s="338"/>
      </tp>
      <tp t="s">
        <v>#N/A Requesting Data...2182877421</v>
        <stp/>
        <stp>BDP|1617406885725244177</stp>
        <tr r="AA68" s="89"/>
        <tr r="Z68" s="89"/>
      </tp>
      <tp t="s">
        <v>#N/A Requesting Data...3827250322</v>
        <stp/>
        <stp>BDP|3266268590763139222</stp>
        <tr r="AA10" s="2"/>
      </tp>
      <tp t="s">
        <v>#N/A Requesting Data...3988648786</v>
        <stp/>
        <stp>BDP|8690033388548820123</stp>
        <tr r="AJ14" s="338"/>
        <tr r="AJ35" s="338"/>
      </tp>
      <tp t="s">
        <v>#N/A Requesting Data...3157589132</v>
        <stp/>
        <stp>BDP|8916289435834203428</stp>
        <tr r="O234" s="89"/>
      </tp>
      <tp t="s">
        <v>#N/A Requesting Data...3983693378</v>
        <stp/>
        <stp>BDP|5400835087744406808</stp>
        <tr r="AG29" s="338"/>
      </tp>
      <tp t="s">
        <v>#N/A Requesting Data...3194416719</v>
        <stp/>
        <stp>BDP|2272046972965931995</stp>
        <tr r="V188" s="89"/>
      </tp>
      <tp t="s">
        <v>#N/A Requesting Data...3478144004</v>
        <stp/>
        <stp>BDP|9280288157897826002</stp>
        <tr r="C138" s="89"/>
      </tp>
      <tp t="s">
        <v>#N/A Requesting Data...4289039191</v>
        <stp/>
        <stp>BDP|6141864573737095712</stp>
        <tr r="T178" s="89"/>
        <tr r="T179" s="89"/>
      </tp>
      <tp t="s">
        <v>#N/A Requesting Data...2212843454</v>
        <stp/>
        <stp>BDP|8423225683883707873</stp>
        <tr r="AR21" s="2"/>
      </tp>
      <tp t="s">
        <v>#N/A Requesting Data...3284753433</v>
        <stp/>
        <stp>BDP|8865039534922905038</stp>
        <tr r="L13" s="252"/>
        <tr r="L13" s="252"/>
      </tp>
      <tp t="s">
        <v>#N/A Requesting Data...4098532872</v>
        <stp/>
        <stp>BDP|5629592674339849762</stp>
        <tr r="E75" s="89"/>
      </tp>
      <tp t="s">
        <v>#N/A N/A</v>
        <stp/>
        <stp>BDP|8508395004434515685</stp>
        <tr r="AB186" s="89"/>
        <tr r="AB187" s="89"/>
        <tr r="AB188" s="89"/>
      </tp>
      <tp t="b">
        <v>0</v>
        <stp/>
        <stp>BDH|4136245468400161999</stp>
        <tr r="AN47" s="338"/>
        <tr r="AN44" s="338"/>
        <tr r="AS10" s="338"/>
        <tr r="AN48" s="338"/>
        <tr r="AS53" s="338"/>
      </tp>
      <tp>
        <v>16.25</v>
        <stp/>
        <stp>BDP|15170082727718363189|22</stp>
        <stp>META US 04/17/26 C750 Equity</stp>
        <stp>bid</stp>
        <tr r="K169" s="89"/>
      </tp>
      <tp>
        <v>33.5</v>
        <stp/>
        <stp>BDP|14111141271769378618|22</stp>
        <stp>META US 04/17/26 C690 Equity</stp>
        <stp>ask</stp>
        <tr r="Q12" s="2"/>
        <tr r="L170" s="89"/>
      </tp>
      <tp t="s">
        <v>#N/A N/A</v>
        <stp/>
        <stp>BDP|12169995077563309253|22</stp>
        <stp>QQQ US 01/16/26 C635 Equity</stp>
        <stp>bid</stp>
        <tr r="K203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Data...2476129919</v>
        <stp/>
        <stp>BDP|9888398554546738389</stp>
        <tr r="T76" s="89"/>
      </tp>
      <tp t="s">
        <v>#N/A Requesting Data...4264086761</v>
        <stp/>
        <stp>BDP|6672146138847194913</stp>
        <tr r="C154" s="89"/>
      </tp>
      <tp t="s">
        <v>#N/A Requesting Data...3686013102</v>
        <stp/>
        <stp>BDP|5587682882935341464</stp>
        <tr r="E90" s="89"/>
      </tp>
      <tp t="s">
        <v>#N/A Requesting Data...3423115677</v>
        <stp/>
        <stp>BDP|7230833674217968563</stp>
        <tr r="S36" s="338"/>
      </tp>
      <tp t="s">
        <v>#N/A Requesting Data...3094463674</v>
        <stp/>
        <stp>BDP|9917367812392094366</stp>
        <tr r="D27" s="89"/>
      </tp>
      <tp t="s">
        <v>#N/A Requesting Data...3058184781</v>
        <stp/>
        <stp>BDP|3603190722478324251</stp>
        <tr r="AI28" s="1"/>
      </tp>
      <tp t="s">
        <v>#N/A N/A</v>
        <stp/>
        <stp>BDP|1841797186795773188</stp>
        <tr r="R7" s="89"/>
        <tr r="R8" s="89"/>
        <tr r="AV11" s="2"/>
      </tp>
      <tp t="s">
        <v>#N/A Requesting Data...3441543960</v>
        <stp/>
        <stp>BDP|6392840872006556586</stp>
        <tr r="E8" s="1"/>
      </tp>
      <tp t="s">
        <v>#N/A Requesting Data...4028400396</v>
        <stp/>
        <stp>BDP|5263574927779802120</stp>
        <tr r="V45" s="338"/>
      </tp>
      <tp t="s">
        <v>#N/A Requesting Data...2524001981</v>
        <stp/>
        <stp>BDP|2344935394120970850</stp>
        <tr r="C108" s="89"/>
      </tp>
      <tp t="s">
        <v>#N/A Requesting Data...3566784708</v>
        <stp/>
        <stp>BDP|1305485589197843027</stp>
        <tr r="AJ17" s="338"/>
        <tr r="AJ18" s="338"/>
        <tr r="AH17" s="338"/>
        <tr r="AH18" s="338"/>
      </tp>
      <tp t="s">
        <v>#N/A Requesting Data...3907363678</v>
        <stp/>
        <stp>BDP|9065585755010767336</stp>
        <tr r="F17" s="252"/>
      </tp>
      <tp t="s">
        <v>#N/A Requesting Data...4238405700</v>
        <stp/>
        <stp>BDP|6687236387984495280</stp>
        <tr r="C21" s="2"/>
      </tp>
      <tp t="b">
        <v>0</v>
        <stp/>
        <stp>BDH|2734053018858031144</stp>
        <tr r="J6" s="252"/>
      </tp>
      <tp t="s">
        <v>#N/A Requesting Data...2805411683</v>
        <stp/>
        <stp>BDP|7601817619447885392</stp>
        <tr r="O27" s="89"/>
      </tp>
      <tp t="s">
        <v>#N/A Requesting Data...2825453042</v>
        <stp/>
        <stp>BDP|3271990383928035073</stp>
        <tr r="K10" s="1"/>
        <tr r="K15" s="1"/>
      </tp>
      <tp t="s">
        <v>#N/A Requesting Data...2382365257</v>
        <stp/>
        <stp>BDP|1198830173980921471</stp>
        <tr r="Q49" s="338"/>
      </tp>
      <tp t="s">
        <v>#N/A Requesting Data...2665456259</v>
        <stp/>
        <stp>BDP|7038982583049677518</stp>
        <tr r="T108" s="89"/>
      </tp>
      <tp t="s">
        <v>#N/A Requesting Data...3009609174</v>
        <stp/>
        <stp>BDP|1004337573258431787</stp>
        <tr r="L8" s="338"/>
        <tr r="H8" s="338"/>
        <tr r="L9" s="338"/>
        <tr r="H9" s="338"/>
      </tp>
      <tp t="s">
        <v>#N/A Requesting Data...3267266978</v>
        <stp/>
        <stp>BDP|2913836118172985362</stp>
        <tr r="X47" s="338"/>
      </tp>
      <tp t="s">
        <v>#N/A Requesting Data...3338497721</v>
        <stp/>
        <stp>BDP|1755852767343174696</stp>
        <tr r="Q35" s="338"/>
      </tp>
      <tp t="s">
        <v>#N/A N/A</v>
        <stp/>
        <stp>BDP|2658140518380678816</stp>
        <tr r="R101" s="89"/>
        <tr r="R102" s="89"/>
        <tr r="R95" s="89"/>
        <tr r="R96" s="89"/>
      </tp>
      <tp t="s">
        <v>#N/A Requesting Data...2548731989</v>
        <stp/>
        <stp>BDP|2322958882768230140</stp>
        <tr r="E178" s="89"/>
        <tr r="E179" s="89"/>
      </tp>
      <tp t="s">
        <v>#N/A Requesting Data...3631429039</v>
        <stp/>
        <stp>BDP|2786473499167807238</stp>
        <tr r="AI45" s="338"/>
      </tp>
      <tp t="s">
        <v>#N/A Requesting Data...3217524245</v>
        <stp/>
        <stp>BDP|9928781162902167014</stp>
        <tr r="AA171" s="89"/>
        <tr r="Z171" s="89"/>
      </tp>
      <tp t="s">
        <v>#N/A Requesting Data...3601565041</v>
        <stp/>
        <stp>BDP|6785747401219846296</stp>
        <tr r="S41" s="338"/>
      </tp>
      <tp t="s">
        <v>#N/A Requesting Data...3554123845</v>
        <stp/>
        <stp>BDP|9500211458423629792</stp>
        <tr r="V31" s="338"/>
      </tp>
      <tp t="s">
        <v>#N/A Requesting Data...3883766637</v>
        <stp/>
        <stp>BDP|1467057410172064819</stp>
        <tr r="C153" s="89"/>
      </tp>
      <tp t="s">
        <v>#N/A Requesting Data...3739351236</v>
        <stp/>
        <stp>BDP|3991525680666985223</stp>
        <tr r="C171" s="89"/>
      </tp>
      <tp t="s">
        <v>#N/A Requesting Data...3294674936</v>
        <stp/>
        <stp>BDP|4587517495856843492</stp>
        <tr r="T16" s="338"/>
        <tr r="T38" s="338"/>
      </tp>
      <tp t="s">
        <v>#N/A N/A</v>
        <stp/>
        <stp>BDP|8471485932241814460</stp>
        <tr r="AQ6" s="2"/>
        <tr r="AB234" s="89"/>
      </tp>
      <tp t="s">
        <v>#N/A Requesting Data...4251804683</v>
        <stp/>
        <stp>BDP|2397499487206466291</stp>
        <tr r="O237" s="89"/>
      </tp>
      <tp t="s">
        <v>#N/A Requesting Data...4135858040</v>
        <stp/>
        <stp>BDP|1589117635780627962</stp>
        <tr r="AR20" s="2"/>
      </tp>
      <tp t="s">
        <v>#N/A Requesting Data...2392521759</v>
        <stp/>
        <stp>BDP|8582278211013363216</stp>
        <tr r="AI24" s="1"/>
      </tp>
      <tp t="s">
        <v>#N/A Requesting Data...3950063412</v>
        <stp/>
        <stp>BDP|2830595975422333866</stp>
        <tr r="E235" s="89"/>
      </tp>
      <tp t="s">
        <v>#N/A Requesting Data...3160145087</v>
        <stp/>
        <stp>BDP|9965794027725386324</stp>
        <tr r="F26" s="446"/>
        <tr r="AB18" s="1"/>
      </tp>
      <tp t="s">
        <v>#N/A N/A</v>
        <stp/>
        <stp>BDP|1354781798976465315</stp>
        <tr r="R40" s="89"/>
      </tp>
      <tp t="s">
        <v>#N/A Requesting Data...3023770275</v>
        <stp/>
        <stp>BDP|1269563299172286598</stp>
        <tr r="V56" s="89"/>
        <tr r="AD5" s="2"/>
      </tp>
      <tp t="s">
        <v>#N/A Requesting Data...3635505661</v>
        <stp/>
        <stp>BDP|3885846074322660492</stp>
        <tr r="AG32" s="1"/>
      </tp>
      <tp t="s">
        <v>#N/A Requesting Data...2644698686</v>
        <stp/>
        <stp>BDP|6933090956031492852</stp>
        <tr r="E39" s="89"/>
      </tp>
      <tp t="s">
        <v>#N/A Requesting Data...4103654899</v>
        <stp/>
        <stp>BDP|1001769831296786978</stp>
        <tr r="AI45" s="338"/>
        <tr r="AK45" s="338"/>
      </tp>
      <tp t="s">
        <v>#N/A Requesting Data...2286501791</v>
        <stp/>
        <stp>BDP|2779597998256859293</stp>
        <tr r="E188" s="89"/>
      </tp>
      <tp t="s">
        <v>#N/A Requesting Data...3104762470</v>
        <stp/>
        <stp>BDP|3394479430858909693</stp>
        <tr r="C96" s="89"/>
      </tp>
      <tp t="s">
        <v>#N/A Requesting Data...2487304840</v>
        <stp/>
        <stp>BDP|4524000010539321624</stp>
        <tr r="V129" s="89"/>
      </tp>
      <tp t="s">
        <v>#N/A Requesting Data...3719729507</v>
        <stp/>
        <stp>BDP|2767736787573166466</stp>
        <tr r="F21" s="2"/>
      </tp>
      <tp t="s">
        <v>#N/A Requesting Data...4168370143</v>
        <stp/>
        <stp>BDP|8558300512371318103</stp>
        <tr r="C205" s="89"/>
      </tp>
      <tp t="s">
        <v>#N/A N/A</v>
        <stp/>
        <stp>BDP|2140911238616808459</stp>
        <tr r="AB169" s="89"/>
        <tr r="AB170" s="89"/>
        <tr r="AB171" s="89"/>
        <tr r="AB180" s="89"/>
        <tr r="AB233" s="89"/>
        <tr r="AQ12" s="2"/>
        <tr r="AQ13" s="2"/>
      </tp>
      <tp t="s">
        <v>#N/A Requesting Data...2526111953</v>
        <stp/>
        <stp>BDP|3332604227028093513</stp>
        <tr r="S13" s="338"/>
      </tp>
      <tp t="s">
        <v>#N/A Requesting Data...3830769386</v>
        <stp/>
        <stp>BDP|7403651280812138158</stp>
        <tr r="L15" s="338"/>
        <tr r="J15" s="338"/>
        <tr r="L16" s="338"/>
        <tr r="J16" s="338"/>
        <tr r="L17" s="338"/>
        <tr r="J17" s="338"/>
        <tr r="L38" s="338"/>
        <tr r="J38" s="338"/>
        <tr r="L39" s="338"/>
        <tr r="J39" s="338"/>
        <tr r="L44" s="338"/>
        <tr r="J44" s="338"/>
        <tr r="L52" s="338"/>
        <tr r="J52" s="338"/>
      </tp>
      <tp t="s">
        <v>#N/A Requesting Data...3023448047</v>
        <stp/>
        <stp>BDP|3948059027399786291</stp>
        <tr r="C102" s="89"/>
      </tp>
      <tp>
        <v>41.35</v>
        <stp/>
        <stp>BDP|11850573147437326801|22</stp>
        <stp>SNDK US 02/20/26 C550 Equity</stp>
        <stp>mid</stp>
        <tr r="L21" s="2"/>
      </tp>
      <tp t="s">
        <v>#N/A Real Time</v>
        <stp/>
        <stp>BDP|11422101846013417478|22</stp>
        <stp>SPXW US 12/31/25 C6950 Index</stp>
        <stp>bid</stp>
        <tr r="K160" s="89"/>
      </tp>
      <tp>
        <v>32.6</v>
        <stp/>
        <stp>BDP|12794319931511644694|22</stp>
        <stp>TSM US 06/18/26 C340 Equity</stp>
        <stp>mid</stp>
        <tr r="L22" s="2"/>
      </tp>
      <tp t="s">
        <v>#N/A Requesting Data...2370046369</v>
        <stp/>
        <stp>BDP|6535458296649412984</stp>
        <tr r="T188" s="89"/>
      </tp>
      <tp t="s">
        <v>#N/A Requesting Data...2740794226</v>
        <stp/>
        <stp>BDP|8888687617413548780</stp>
        <tr r="L54" s="338"/>
        <tr r="J54" s="338"/>
      </tp>
      <tp t="s">
        <v>#N/A Requesting Data...2475722854</v>
        <stp/>
        <stp>BDP|9388393805602203373</stp>
        <tr r="V39" s="89"/>
      </tp>
      <tp t="s">
        <v>#N/A Requesting Data...3913838100</v>
        <stp/>
        <stp>BDP|2329729297960563787</stp>
        <tr r="U42" s="338"/>
      </tp>
      <tp t="s">
        <v>#N/A Requesting Data...3185373367</v>
        <stp/>
        <stp>BDP|5055978459833341163</stp>
        <tr r="S40" s="338"/>
      </tp>
      <tp t="s">
        <v>#N/A Requesting Data...3845535413</v>
        <stp/>
        <stp>BDP|9916250733583306071</stp>
        <tr r="V95" s="89"/>
      </tp>
      <tp t="s">
        <v>#N/A Requesting Data...2292017441</v>
        <stp/>
        <stp>BDP|4721614875256887832</stp>
        <tr r="AR14" s="2"/>
      </tp>
      <tp t="s">
        <v>#N/A Requesting Data...</v>
        <stp/>
        <stp>BDP|11360967824681569751|22</stp>
        <stp>2,07229044422335 Index</stp>
        <stp>mid</stp>
        <tr r="L1" s="2"/>
      </tp>
      <tp t="s">
        <v>#N/A Requesting Data...2456778196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Data...3296949286</v>
        <stp/>
        <stp>BDP|4926041887351657654</stp>
        <tr r="D137" s="89"/>
      </tp>
      <tp t="b">
        <v>0</v>
        <stp/>
        <stp>BDH|5536598797687565572</stp>
        <tr r="AU45" s="338"/>
      </tp>
      <tp t="s">
        <v>#N/A Requesting Data...3730468051</v>
        <stp/>
        <stp>BDP|9866940913692641877</stp>
        <tr r="AF17" s="1"/>
      </tp>
      <tp t="s">
        <v>#N/A Requesting Data...2898277508</v>
        <stp/>
        <stp>BDP|8737954890503872047</stp>
        <tr r="D33" s="446"/>
      </tp>
      <tp t="s">
        <v>#N/A Requesting Data...3194904986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Data...2980505923</v>
        <stp/>
        <stp>BDP|4440081808298299792</stp>
        <tr r="AK42" s="338"/>
        <tr r="AI42" s="338"/>
      </tp>
      <tp t="s">
        <v>#N/A Requesting Data...3806847202</v>
        <stp/>
        <stp>BDP|6735248014207248991</stp>
        <tr r="T49" s="338"/>
      </tp>
      <tp t="s">
        <v>#N/A Requesting Data...4284127065</v>
        <stp/>
        <stp>BDP|2139028585213834226</stp>
        <tr r="AA123" s="89"/>
        <tr r="Z123" s="89"/>
      </tp>
      <tp t="s">
        <v>#N/A Requesting Data...2398737668</v>
        <stp/>
        <stp>BDP|8786342763721865752</stp>
        <tr r="P31" s="338"/>
      </tp>
      <tp t="s">
        <v>#N/A Requesting Data...2905176358</v>
        <stp/>
        <stp>BDP|7001248851652159998</stp>
        <tr r="T34" s="338"/>
      </tp>
      <tp t="s">
        <v>#N/A Requesting Data...3238616408</v>
        <stp/>
        <stp>BDP|1914533822549360466</stp>
        <tr r="K14" s="1"/>
      </tp>
      <tp t="s">
        <v>#N/A Requesting Data...3871975461</v>
        <stp/>
        <stp>BDP|9650633421404369258</stp>
        <tr r="T211" s="89"/>
      </tp>
      <tp t="s">
        <v>#N/A Requesting Data...3359159996</v>
        <stp/>
        <stp>BDP|9762687753917905669</stp>
        <tr r="T12" s="338"/>
      </tp>
      <tp t="s">
        <v>#N/A N/A</v>
        <stp/>
        <stp>BDP|2220703499371845606</stp>
        <tr r="R237" s="89"/>
      </tp>
      <tp t="s">
        <v>#N/A Requesting Data...2494729523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Data...2764394035</v>
        <stp/>
        <stp>BDP|6241611932378988086</stp>
        <tr r="G42" s="446"/>
      </tp>
      <tp t="s">
        <v>#N/A Requesting Data...2548866990</v>
        <stp/>
        <stp>BDP|7985659615982817917</stp>
        <tr r="V36" s="338"/>
      </tp>
      <tp t="s">
        <v>#N/A Requesting Data...4179365179</v>
        <stp/>
        <stp>BDP|3686904656286506250</stp>
        <tr r="O69" s="89"/>
      </tp>
      <tp t="s">
        <v>#N/A Requesting Data...2467719597</v>
        <stp/>
        <stp>BDP|2754061954929434510</stp>
        <tr r="D62" s="89"/>
      </tp>
      <tp t="s">
        <v>#N/A Requesting Data...3117753940</v>
        <stp/>
        <stp>BDP|8637443246353684034</stp>
        <tr r="T51" s="338"/>
      </tp>
      <tp t="s">
        <v>#N/A Requesting Data...2270459931</v>
        <stp/>
        <stp>BDP|7254106586446704322</stp>
        <tr r="AA55" s="89"/>
        <tr r="Z55" s="89"/>
      </tp>
      <tp t="s">
        <v>#N/A N/A</v>
        <stp/>
        <stp>BDP|8959047049495095258</stp>
        <tr r="AV19" s="2"/>
        <tr r="AV18" s="2"/>
        <tr r="R235" s="89"/>
      </tp>
      <tp t="s">
        <v>#N/A Requesting Data...2888572544</v>
        <stp/>
        <stp>BDP|5187006175490775958</stp>
        <tr r="N7" s="252"/>
        <tr r="N7" s="252"/>
      </tp>
      <tp t="s">
        <v>#N/A Requesting Data...3217475005</v>
        <stp/>
        <stp>BDP|2612160096671704068</stp>
        <tr r="D31" s="446"/>
      </tp>
      <tp t="s">
        <v>#N/A Requesting Data...3117176801</v>
        <stp/>
        <stp>BDP|4718173344583097938</stp>
        <tr r="F16" s="252"/>
      </tp>
      <tp t="s">
        <v>#N/A Requesting Data...4265197225</v>
        <stp/>
        <stp>BDP|2268545091931148418</stp>
        <tr r="O195" s="89"/>
      </tp>
      <tp t="s">
        <v>#N/A Requesting Data...2628934204</v>
        <stp/>
        <stp>BDP|9318183699928316256</stp>
        <tr r="D43" s="446"/>
      </tp>
      <tp t="s">
        <v>#N/A Requesting Data...3711603859</v>
        <stp/>
        <stp>BDP|2397389796744963701</stp>
        <tr r="AK42" s="338"/>
      </tp>
      <tp t="s">
        <v>#N/A Requesting Data...3117622203</v>
        <stp/>
        <stp>BDP|2130704157473529871</stp>
        <tr r="C17" s="2"/>
      </tp>
      <tp t="s">
        <v>#N/A Requesting Data...3379116419</v>
        <stp/>
        <stp>BDP|9352295318971282043</stp>
        <tr r="T102" s="89"/>
      </tp>
      <tp t="s">
        <v>#N/A Requesting Data...3501044354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Data...2992516465</v>
        <stp/>
        <stp>BDP|9109255824295024740</stp>
        <tr r="E6" s="2"/>
      </tp>
      <tp t="s">
        <v>#N/A Requesting Data...4116835135</v>
        <stp/>
        <stp>BDP|4946496227111068830</stp>
        <tr r="T101" s="89"/>
      </tp>
      <tp t="s">
        <v>#N/A Requesting Data...4040789088</v>
        <stp/>
        <stp>BDP|4411149358442996952</stp>
        <tr r="O11" s="252"/>
      </tp>
      <tp t="s">
        <v>#N/A Requesting Data...3477998533</v>
        <stp/>
        <stp>BDP|8633363721614159645</stp>
        <tr r="G8" s="446"/>
      </tp>
      <tp t="b">
        <v>0</v>
        <stp/>
        <stp>BDH|9383310592111068947</stp>
        <tr r="AU29" s="338"/>
      </tp>
      <tp>
        <v>29.15</v>
        <stp/>
        <stp>BDP|16895049281307982456|22</stp>
        <stp>AVGO US 06/18/26 P300 Equity</stp>
        <stp>ask</stp>
        <tr r="L224" s="89"/>
      </tp>
      <tp>
        <v>61.55</v>
        <stp/>
        <stp>BDP|18281957532617946909|22</stp>
        <stp>META US 07/17/26 C680 Equity</stp>
        <stp>ask</stp>
        <tr r="L233" s="89"/>
      </tp>
      <tp>
        <v>81.17</v>
        <stp/>
        <stp>BDP|2279876738225149449|22</stp>
        <stp>MRVL US Equity</stp>
        <stp>LAST_PRICE</stp>
        <tr r="Z14" s="2"/>
        <tr r="S62" s="89"/>
        <tr r="S63" s="89"/>
        <tr r="Z15" s="2"/>
        <tr r="Z17" s="2"/>
        <tr r="Z16" s="2"/>
      </tp>
      <tp>
        <v>4.3</v>
        <stp/>
        <stp>BDP|16321192409833246773|22</stp>
        <stp>ASML US 01/23/26 P1100 Equity</stp>
        <stp>ask</stp>
        <tr r="L50" s="89"/>
      </tp>
      <tp>
        <v>-0.42219364643096924</v>
        <stp/>
        <stp>BDP|1393123865485650562|22</stp>
        <stp>MRVL US 03/20/26 P80 Equity</stp>
        <stp>DELTA_MID_RT</stp>
        <tr r="W62" s="89"/>
        <tr r="AF16" s="2"/>
      </tp>
      <tp t="s">
        <v>#N/A Requesting Data...2368360790</v>
        <stp/>
        <stp>BDP|9669031297401111598</stp>
        <tr r="AG23" s="1"/>
      </tp>
      <tp t="s">
        <v>#N/A N/A</v>
        <stp/>
        <stp>BDP|4283940605309327082</stp>
        <tr r="AV7" s="2"/>
      </tp>
      <tp t="s">
        <v>#N/A Requesting Data...2417131965</v>
        <stp/>
        <stp>BDP|7846163779046776380</stp>
        <tr r="V8" s="338"/>
      </tp>
      <tp t="s">
        <v>#N/A Requesting Data...2703019602</v>
        <stp/>
        <stp>BDP|3958804124584137945</stp>
        <tr r="O196" s="89"/>
      </tp>
      <tp t="s">
        <v>#N/A Requesting Data...3542274513</v>
        <stp/>
        <stp>BDP|7798787343353582310</stp>
        <tr r="O233" s="89"/>
      </tp>
      <tp t="b">
        <v>0</v>
        <stp/>
        <stp>BDH|6550618814984838104</stp>
        <tr r="AU8" s="338"/>
        <tr r="AU32" s="338"/>
        <tr r="AU46" s="338"/>
        <tr r="AU50" s="338"/>
      </tp>
      <tp t="s">
        <v>#N/A Requesting Data...3995438772</v>
        <stp/>
        <stp>BDP|1272798819383873033</stp>
        <tr r="C8" s="89"/>
        <tr r="D11" s="2"/>
      </tp>
      <tp t="s">
        <v>#N/A Requesting Data...4255440382</v>
        <stp/>
        <stp>BDP|4966659791349467604</stp>
        <tr r="AG45" s="338"/>
      </tp>
      <tp t="s">
        <v>#N/A Requesting Data...3299480654</v>
        <stp/>
        <stp>BDP|2906346500884364176</stp>
        <tr r="AJ31" s="338"/>
        <tr r="AJ32" s="338"/>
      </tp>
      <tp t="s">
        <v>#N/A Requesting Data...3951563067</v>
        <stp/>
        <stp>BDP|3419727698730200952</stp>
        <tr r="AR7" s="2"/>
      </tp>
      <tp t="s">
        <v>#N/A Requesting Data...2998547654</v>
        <stp/>
        <stp>BDP|6472525957406128491</stp>
        <tr r="AA63" s="89"/>
        <tr r="Z63" s="89"/>
      </tp>
      <tp t="s">
        <v>#N/A Requesting Data...2413745001</v>
        <stp/>
        <stp>BDP|6899414930851030473</stp>
        <tr r="V50" s="89"/>
      </tp>
      <tp t="s">
        <v>#N/A Requesting Data...3183445142</v>
        <stp/>
        <stp>BDP|1105691956700330633</stp>
        <tr r="AG25" s="1"/>
      </tp>
      <tp t="s">
        <v>#N/A Requesting Data...3023801252</v>
        <stp/>
        <stp>BDP|7494523709231730773</stp>
        <tr r="F31" s="446"/>
      </tp>
      <tp t="s">
        <v>#N/A Requesting Data...2712724984</v>
        <stp/>
        <stp>BDP|2743037479982482367</stp>
        <tr r="AF30" s="1"/>
      </tp>
      <tp t="b">
        <v>0</v>
        <stp/>
        <stp>BDH|6490352115671377180</stp>
        <tr r="AR49" s="338"/>
        <tr r="AR48" s="338"/>
      </tp>
      <tp t="s">
        <v>#N/A Requesting Data...3298841633</v>
        <stp/>
        <stp>BDP|8549451961438864644</stp>
        <tr r="AJ55" s="338"/>
        <tr r="AK14" s="338"/>
        <tr r="AK55" s="338"/>
      </tp>
      <tp t="s">
        <v>#N/A Requesting Data...2958073774</v>
        <stp/>
        <stp>BDP|9945382899790540700</stp>
        <tr r="AA138" s="89"/>
        <tr r="Z138" s="89"/>
      </tp>
      <tp t="s">
        <v>#N/A Requesting Data...3815138138</v>
        <stp/>
        <stp>BDP|1051127841111916176</stp>
        <tr r="P16" s="252"/>
      </tp>
      <tp t="s">
        <v>#N/A Requesting Data...3855801281</v>
        <stp/>
        <stp>BDP|2199559048282875569</stp>
        <tr r="AI18" s="338"/>
      </tp>
      <tp t="s">
        <v>#N/A Requesting Data...4000249176</v>
        <stp/>
        <stp>BDP|4374742715501301730</stp>
        <tr r="N16" s="252"/>
        <tr r="N16" s="252"/>
      </tp>
      <tp t="s">
        <v>#N/A Requesting Data...3049455194</v>
        <stp/>
        <stp>BDP|9063402768959888626</stp>
        <tr r="T196" s="89"/>
      </tp>
      <tp t="s">
        <v>#N/A Requesting Data...2456934278</v>
        <stp/>
        <stp>BDP|3004206956470481008</stp>
        <tr r="AA20" s="89"/>
        <tr r="Z20" s="89"/>
      </tp>
      <tp t="s">
        <v>#N/A Requesting Data...3519187364</v>
        <stp/>
        <stp>BDP|8764335623844685936</stp>
        <tr r="T225" s="89"/>
      </tp>
      <tp t="s">
        <v>#N/A Requesting Data...2934790517</v>
        <stp/>
        <stp>BDP|1615244074723761330</stp>
        <tr r="T36" s="338"/>
      </tp>
      <tp t="s">
        <v>#N/A Requesting Data...3324438983</v>
        <stp/>
        <stp>BDP|8326860540126523632</stp>
        <tr r="E129" s="89"/>
      </tp>
      <tp t="s">
        <v>#N/A Requesting Data...2553450746</v>
        <stp/>
        <stp>BDP|1540324633492530722</stp>
        <tr r="V81" s="89"/>
      </tp>
      <tp t="b">
        <v>0</v>
        <stp/>
        <stp>BDH|7551704855160182127</stp>
        <tr r="AS11" s="338"/>
      </tp>
      <tp t="s">
        <v>#N/A Requesting Data...4278943171</v>
        <stp/>
        <stp>BDP|5790626169004593599</stp>
        <tr r="F40" s="446"/>
      </tp>
      <tp t="s">
        <v>#N/A Requesting Data...3423940799</v>
        <stp/>
        <stp>BDP|9726257024364768910</stp>
        <tr r="O19" s="252"/>
      </tp>
      <tp t="s">
        <v>#N/A Requesting Data...2941282224</v>
        <stp/>
        <stp>BDP|3121965407037939996</stp>
        <tr r="T10" s="338"/>
      </tp>
      <tp t="s">
        <v>#N/A Requesting Data...2882669385</v>
        <stp/>
        <stp>BDP|7599424229276827376</stp>
        <tr r="AF15" s="1"/>
      </tp>
      <tp t="s">
        <v>#N/A Requesting Data...3054448978</v>
        <stp/>
        <stp>BDP|7467390538945749637</stp>
        <tr r="AD10" s="2"/>
      </tp>
      <tp t="s">
        <v>#N/A Requesting Data...2985882738</v>
        <stp/>
        <stp>BDP|6940186872470420463</stp>
        <tr r="AI27" s="1"/>
      </tp>
      <tp t="s">
        <v>#N/A Requesting Data...3290812730</v>
        <stp/>
        <stp>BDP|2781273192095754848</stp>
        <tr r="P37" s="338"/>
      </tp>
      <tp t="s">
        <v>#N/A Requesting Data...2880280992</v>
        <stp/>
        <stp>BDP|5028796441871860363</stp>
        <tr r="C223" s="89"/>
        <tr r="D8" s="2"/>
      </tp>
      <tp t="s">
        <v>#N/A Requesting Data...2994860628</v>
        <stp/>
        <stp>BDP|5440482774885960773</stp>
        <tr r="AH36" s="338"/>
      </tp>
      <tp t="s">
        <v>#N/A Requesting Data...4186234525</v>
        <stp/>
        <stp>BDP|8903483087139985997</stp>
        <tr r="S8" s="252"/>
      </tp>
      <tp t="s">
        <v>#N/A Requesting Data...2729869693</v>
        <stp/>
        <stp>BDP|1490932935796586918</stp>
        <tr r="T19" s="89"/>
      </tp>
      <tp t="s">
        <v>#N/A Requesting Data...2836289468</v>
        <stp/>
        <stp>BDP|2357040805921494704</stp>
        <tr r="AJ10" s="338"/>
        <tr r="AJ11" s="338"/>
        <tr r="AJ33" s="338"/>
      </tp>
      <tp t="s">
        <v>#N/A Requesting Data...2583063155</v>
        <stp/>
        <stp>BDP|6846041857277848049</stp>
        <tr r="T236" s="89"/>
      </tp>
      <tp t="s">
        <v>#N/A Requesting Data...3225909905</v>
        <stp/>
        <stp>BDP|2785695221570324283</stp>
        <tr r="O188" s="89"/>
      </tp>
      <tp t="s">
        <v>#N/A Requesting Data...4118308881</v>
        <stp/>
        <stp>BDP|1913639431982971268</stp>
        <tr r="V122" s="89"/>
      </tp>
      <tp t="s">
        <v>#N/A Requesting Data...2555671624</v>
        <stp/>
        <stp>BDP|8103428543709687520</stp>
        <tr r="G5" s="446"/>
        <tr r="G6" s="446"/>
      </tp>
      <tp t="s">
        <v>#N/A Requesting Data...2362916559</v>
        <stp/>
        <stp>BDP|5430094244624859152</stp>
        <tr r="D34" s="446"/>
      </tp>
      <tp t="b">
        <v>0</v>
        <stp/>
        <stp>BDH|5893176569251603747</stp>
        <tr r="AP39" s="338"/>
        <tr r="AU40" s="338"/>
        <tr r="AP15" s="338"/>
      </tp>
      <tp t="s">
        <v>#N/A Requesting Data...3132047992</v>
        <stp/>
        <stp>BDP|5284294530751812164</stp>
        <tr r="AI12" s="338"/>
      </tp>
      <tp t="s">
        <v>#N/A Requesting Data...2957160618</v>
        <stp/>
        <stp>BDP|2593154816901666757</stp>
        <tr r="N13" s="252"/>
        <tr r="N13" s="252"/>
      </tp>
      <tp t="s">
        <v>#N/A Requesting Data...3942032775</v>
        <stp/>
        <stp>BDP|9638513960499697749</stp>
        <tr r="T46" s="338"/>
      </tp>
      <tp t="b">
        <v>0</v>
        <stp/>
        <stp>BDH|6340970163358218501</stp>
        <tr r="AP34" s="338"/>
        <tr r="AP13" s="338"/>
      </tp>
      <tp>
        <v>35.6</v>
        <stp/>
        <stp>BDP|16085343363608571045|22</stp>
        <stp>LITE US 03/20/26 C420 Equity</stp>
        <stp>ask</stp>
        <tr r="L8" s="89"/>
        <tr r="Q11" s="2"/>
      </tp>
      <tp>
        <v>657.13499999999999</v>
        <stp/>
        <stp>BDP|3807768373389777345|22</stp>
        <stp>META Equity</stp>
        <stp>LAST_PRICE</stp>
        <tr r="I18" s="1"/>
      </tp>
      <tp>
        <v>106.32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USD</v>
        <stp/>
        <stp>BDP|13238054977426083009|22</stp>
        <stp>META US 04/17/26 P590 Equity</stp>
        <stp>QUOTED_CURRENCY_REALTIME</stp>
        <tr r="F171" s="89"/>
      </tp>
      <tp t="s">
        <v>#N/A Requesting Data...3366179872</v>
        <stp/>
        <stp>BDP|9005897765572380053</stp>
        <tr r="E17" s="2"/>
      </tp>
      <tp t="s">
        <v>#N/A N/A</v>
        <stp/>
        <stp>BDP|1163242074811817033</stp>
        <tr r="R234" s="89"/>
        <tr r="AV6" s="2"/>
      </tp>
      <tp t="s">
        <v>#N/A Requesting Data...4088110456</v>
        <stp/>
        <stp>BDP|2926137671092226333</stp>
        <tr r="P14" s="252"/>
      </tp>
      <tp t="s">
        <v>#N/A Requesting Data...3692112390</v>
        <stp/>
        <stp>BDP|4780459414043985746</stp>
        <tr r="S33" s="338"/>
      </tp>
      <tp t="s">
        <v>#N/A Requesting Data...2355261259</v>
        <stp/>
        <stp>BDP|3715220583989463590</stp>
        <tr r="F30" s="446"/>
        <tr r="AB19" s="1"/>
      </tp>
      <tp t="b">
        <v>0</v>
        <stp/>
        <stp>BDH|5096526217467806360</stp>
        <tr r="AN13" s="338"/>
        <tr r="AN34" s="338"/>
      </tp>
      <tp t="s">
        <v>#N/A Requesting Data...4291150422</v>
        <stp/>
        <stp>BDP|3983744460122577503</stp>
        <tr r="AF25" s="1"/>
        <tr r="AF36" s="338"/>
      </tp>
      <tp t="s">
        <v>#N/A Requesting Data...3853849981</v>
        <stp/>
        <stp>BDP|5013605744345919757</stp>
        <tr r="D19" s="2"/>
      </tp>
      <tp t="s">
        <v>#N/A Requesting Data...2857927691</v>
        <stp/>
        <stp>BDP|5308081551174601141</stp>
        <tr r="U11" s="338"/>
      </tp>
      <tp t="s">
        <v>#N/A Requesting Data...2889359957</v>
        <stp/>
        <stp>BDP|1871933503555387825</stp>
        <tr r="AA34" s="89"/>
        <tr r="Z34" s="89"/>
      </tp>
      <tp t="s">
        <v>#N/A Requesting Data...2618901307</v>
        <stp/>
        <stp>BDP|3051431949301095732</stp>
        <tr r="AB30" s="1"/>
      </tp>
      <tp t="s">
        <v>#N/A Requesting Data...2765854079</v>
        <stp/>
        <stp>BDP|2636595951407112010</stp>
        <tr r="D41" s="446"/>
      </tp>
      <tp t="b">
        <v>0</v>
        <stp/>
        <stp>BDH|7779618312036278380</stp>
        <tr r="J19" s="252"/>
      </tp>
      <tp t="s">
        <v>#N/A Requesting Data...3472417004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Data...4047284448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Data...4020931665</v>
        <stp/>
        <stp>BDP|8626964800726479283</stp>
        <tr r="T17" s="338"/>
      </tp>
      <tp t="s">
        <v>#N/A Requesting Data...4076376441</v>
        <stp/>
        <stp>BDP|8161895482119328448</stp>
        <tr r="C195" s="89"/>
      </tp>
      <tp t="s">
        <v>#N/A Requesting Data...2857890391</v>
        <stp/>
        <stp>BDP|6689657087039171489</stp>
        <tr r="D50" s="89"/>
      </tp>
      <tp t="s">
        <v>#N/A Requesting Data...4051240287</v>
        <stp/>
        <stp>BDP|6453493511390892665</stp>
        <tr r="T31" s="338"/>
      </tp>
      <tp t="s">
        <v>#N/A Requesting Data...3651037520</v>
        <stp/>
        <stp>BDP|1933423945534840047</stp>
        <tr r="AK9" s="338"/>
      </tp>
      <tp t="s">
        <v>#N/A Requesting Data...3483179442</v>
        <stp/>
        <stp>BDP|4087771710803757431</stp>
        <tr r="X54" s="338"/>
      </tp>
      <tp t="s">
        <v>#N/A Requesting Data...4161434533</v>
        <stp/>
        <stp>BDP|7419327903193598239</stp>
        <tr r="AJ15" s="338"/>
        <tr r="AJ39" s="338"/>
        <tr r="AK40" s="338"/>
      </tp>
      <tp t="s">
        <v>#N/A Requesting Data...2542083017</v>
        <stp/>
        <stp>BDP|5133852355808281539</stp>
        <tr r="V63" s="89"/>
        <tr r="AD17" s="2"/>
      </tp>
      <tp t="s">
        <v>#N/A Requesting Data...2906759693</v>
        <stp/>
        <stp>BDP|4569291905061840219</stp>
        <tr r="C9" s="2"/>
      </tp>
      <tp t="s">
        <v>#N/A Requesting Data...4250574059</v>
        <stp/>
        <stp>BDP|9525835047501594141</stp>
        <tr r="AG16" s="1"/>
      </tp>
      <tp t="s">
        <v>#N/A N/A</v>
        <stp/>
        <stp>BDP|9212642566604321834</stp>
        <tr r="R89" s="89"/>
        <tr r="R90" s="89"/>
      </tp>
      <tp t="s">
        <v>#N/A Requesting Data...2898079612</v>
        <stp/>
        <stp>BDP|7337309723996972590</stp>
        <tr r="K33" s="1"/>
      </tp>
      <tp t="s">
        <v>#N/A Requesting Data...2837809361</v>
        <stp/>
        <stp>BDP|1252039566197775513</stp>
        <tr r="AK54" s="338"/>
      </tp>
      <tp t="s">
        <v>#N/A Requesting Data...3340068972</v>
        <stp/>
        <stp>BDP|6695752411146080338</stp>
        <tr r="AG22" s="1"/>
      </tp>
      <tp t="s">
        <v>#N/A Requesting Data...3174572543</v>
        <stp/>
        <stp>BDP|9107847052373360258</stp>
        <tr r="C12" s="2"/>
      </tp>
      <tp t="s">
        <v>#N/A Requesting Data...2862536288</v>
        <stp/>
        <stp>BDP|2086153919656543184</stp>
        <tr r="E18" s="2"/>
      </tp>
      <tp t="s">
        <v>#N/A Requesting Data...3210689283</v>
        <stp/>
        <stp>BDP|1340430251865159018</stp>
        <tr r="C122" s="89"/>
      </tp>
      <tp t="s">
        <v>#N/A Requesting Data...3860048433</v>
        <stp/>
        <stp>BDP|6973296607750514137</stp>
        <tr r="V76" s="89"/>
      </tp>
      <tp t="b">
        <v>0</v>
        <stp/>
        <stp>BDH|4613223102931720201</stp>
        <tr r="AU31" s="338"/>
        <tr r="AP49" s="338"/>
        <tr r="AU33" s="338"/>
        <tr r="AP46" s="338"/>
        <tr r="AU41" s="338"/>
        <tr r="AU47" s="338"/>
        <tr r="AP45" s="338"/>
        <tr r="AU51" s="338"/>
      </tp>
      <tp t="s">
        <v>#N/A Requesting Data...4052180927</v>
        <stp/>
        <stp>BDP|6397811860628218562</stp>
        <tr r="O40" s="89"/>
      </tp>
      <tp t="s">
        <v>#N/A Requesting Data...2673092415</v>
        <stp/>
        <stp>BDP|3777685039867817484</stp>
        <tr r="E20" s="89"/>
      </tp>
      <tp t="b">
        <v>0</v>
        <stp/>
        <stp>BDH|4996552423415091393</stp>
        <tr r="AM36" s="338"/>
      </tp>
      <tp t="s">
        <v>#N/A Requesting Data...3680305104</v>
        <stp/>
        <stp>BDP|6124212647123164610</stp>
        <tr r="AA109" s="89"/>
        <tr r="Z109" s="89"/>
      </tp>
      <tp t="s">
        <v>#N/A Requesting Data...3132808987</v>
        <stp/>
        <stp>BDP|6362820535118116020</stp>
        <tr r="D75" s="89"/>
      </tp>
      <tp t="s">
        <v>#N/A Requesting Data...2926398968</v>
        <stp/>
        <stp>BDP|2987580469143878743</stp>
        <tr r="AA115" s="89"/>
        <tr r="Z115" s="89"/>
      </tp>
      <tp t="s">
        <v>#N/A Requesting Data...2965725884</v>
        <stp/>
        <stp>BDP|7460910680203620073</stp>
        <tr r="E22" s="2"/>
      </tp>
      <tp t="s">
        <v>#N/A Requesting Data...3129994688</v>
        <stp/>
        <stp>BDP|1785534484179509007</stp>
        <tr r="U37" s="338"/>
      </tp>
      <tp>
        <v>61.05</v>
        <stp/>
        <stp>BDP|14201652617253647190|22</stp>
        <stp>META US 07/17/26 C680 Equity</stp>
        <stp>bid</stp>
        <tr r="K233" s="89"/>
      </tp>
      <tp>
        <v>20.65</v>
        <stp/>
        <stp>BDP|14623209133839534515|22</stp>
        <stp>AMZN US 07/17/26 C245 Equity</stp>
        <stp>bid</stp>
        <tr r="P6" s="2"/>
      </tp>
      <tp>
        <v>19.600000000000001</v>
        <stp/>
        <stp>BDP|16902259978573716312|22</stp>
        <stp>MSFT US 03/20/26 P465 Equity</stp>
        <stp>ask</stp>
        <tr r="Q19" s="2"/>
      </tp>
      <tp>
        <v>65.45</v>
        <stp/>
        <stp>BDP|10509480426370688750|22</stp>
        <stp>META US 07/17/26 C670 Equity</stp>
        <stp>bid</stp>
        <tr r="P13" s="2"/>
      </tp>
      <tp>
        <v>13.75</v>
        <stp/>
        <stp>BDP|479954285595231818|22</stp>
        <stp>GDX US 09/18/26 C115 Equity</stp>
        <stp>ask</stp>
        <tr r="Q10" s="2"/>
      </tp>
      <tp t="s">
        <v>USD</v>
        <stp/>
        <stp>BDP|397487976034915571|22</stp>
        <stp>TSM US 06/18/26 C380 Equity</stp>
        <stp>QUOTED_CURRENCY_REALTIME</stp>
        <tr r="F14" s="89"/>
        <tr r="G23" s="2"/>
      </tp>
      <tp>
        <v>248.16</v>
        <stp/>
        <stp>BDP|4350104393385922955|22</stp>
        <stp>AAPL Equity</stp>
        <stp>LAST PRICE</stp>
        <tr r="I11" s="338"/>
      </tp>
      <tp t="s">
        <v>#N/A Requesting Data...3301541144</v>
        <stp/>
        <stp>BDP|9823698439132005823</stp>
        <tr r="M12" s="252"/>
      </tp>
      <tp t="s">
        <v>#N/A Requesting Data...3091963032</v>
        <stp/>
        <stp>BDP|3019690065241065465</stp>
        <tr r="AI48" s="338"/>
        <tr r="AI49" s="338"/>
      </tp>
      <tp t="s">
        <v>#N/A Requesting Data...3346917371</v>
        <stp/>
        <stp>BDP|7188757863485888551</stp>
        <tr r="G39" s="446"/>
      </tp>
      <tp t="s">
        <v>#N/A Requesting Data...3556086782</v>
        <stp/>
        <stp>BDP|7422247533576110683</stp>
        <tr r="AI32" s="1"/>
      </tp>
      <tp t="s">
        <v>#N/A Requesting Data...2845651456</v>
        <stp/>
        <stp>BDP|6357706968437215632</stp>
        <tr r="S51" s="338"/>
      </tp>
      <tp t="b">
        <v>0</v>
        <stp/>
        <stp>BDH|5018451938141036572</stp>
        <tr r="AS9" s="338"/>
      </tp>
      <tp t="s">
        <v>#N/A Requesting Data...3086266544</v>
        <stp/>
        <stp>BDP|2912249135106636351</stp>
        <tr r="E171" s="89"/>
      </tp>
      <tp t="s">
        <v>#N/A Requesting Data...3663094809</v>
        <stp/>
        <stp>BDP|1443585917713323038</stp>
        <tr r="L30" s="338"/>
        <tr r="J30" s="338"/>
      </tp>
      <tp t="s">
        <v>#N/A Requesting Data...3017658134</v>
        <stp/>
        <stp>BDP|4646626558147768607</stp>
        <tr r="T144" s="89"/>
      </tp>
      <tp t="s">
        <v>#N/A Requesting Data...4261498679</v>
        <stp/>
        <stp>BDP|9958243614845156906</stp>
        <tr r="AK30" s="338"/>
        <tr r="AI30" s="338"/>
      </tp>
      <tp t="s">
        <v>#N/A Requesting Data...3948371056</v>
        <stp/>
        <stp>BDP|3175608666544602195</stp>
        <tr r="T171" s="89"/>
      </tp>
      <tp t="s">
        <v>#N/A Requesting Data...3778624079</v>
        <stp/>
        <stp>BDP|1754575979255457051</stp>
        <tr r="G14" s="446"/>
      </tp>
      <tp t="b">
        <v>0</v>
        <stp/>
        <stp>BDH|5934705425020402608</stp>
        <tr r="AP17" s="338"/>
        <tr r="AP18" s="338"/>
      </tp>
      <tp t="s">
        <v>#N/A Requesting Data...3458554053</v>
        <stp/>
        <stp>BDP|5130174576111125487</stp>
        <tr r="K29" s="1"/>
      </tp>
      <tp t="s">
        <v>#N/A Requesting Data...4076161456</v>
        <stp/>
        <stp>BDP|9212972615641945606</stp>
        <tr r="AH52" s="338"/>
        <tr r="AH53" s="338"/>
        <tr r="AH54" s="338"/>
        <tr r="AJ52" s="338"/>
        <tr r="AJ53" s="338"/>
        <tr r="AJ54" s="338"/>
      </tp>
      <tp t="s">
        <v>#N/A Requesting Data...2648270115</v>
        <stp/>
        <stp>BDP|6095484704072209604</stp>
        <tr r="AJ13" s="338"/>
        <tr r="AJ34" s="338"/>
      </tp>
      <tp t="s">
        <v>#N/A Requesting Data...2612283633</v>
        <stp/>
        <stp>BDP|6921540255739678909</stp>
        <tr r="AK32" s="338"/>
        <tr r="AK46" s="338"/>
        <tr r="AK50" s="338"/>
        <tr r="AK8" s="338"/>
      </tp>
      <tp t="s">
        <v>#N/A Requesting Data...3657297734</v>
        <stp/>
        <stp>BDP|5836174453674625345</stp>
        <tr r="V34" s="338"/>
      </tp>
      <tp t="s">
        <v>#N/A Requesting Data...2431787784</v>
        <stp/>
        <stp>BDP|6914181187250139988</stp>
        <tr r="T223" s="89"/>
        <tr r="AA8" s="2"/>
      </tp>
      <tp t="s">
        <v>#N/A Requesting Data...3969514659</v>
        <stp/>
        <stp>BDP|3930578222146831483</stp>
        <tr r="G43" s="446"/>
      </tp>
      <tp t="s">
        <v>#N/A Requesting Data...3095758000</v>
        <stp/>
        <stp>BDP|1796976268448721036</stp>
        <tr r="E14" s="89"/>
      </tp>
      <tp t="s">
        <v>#N/A Requesting Data...3952638680</v>
        <stp/>
        <stp>BDP|8403728728339567278</stp>
        <tr r="AC33" s="1"/>
      </tp>
      <tp t="s">
        <v>#N/A Requesting Data...3452063246</v>
        <stp/>
        <stp>BDP|9880395878588381367</stp>
        <tr r="AA188" s="89"/>
        <tr r="Z188" s="89"/>
      </tp>
      <tp t="s">
        <v>#N/A Requesting Data...3619954223</v>
        <stp/>
        <stp>BDP|3166087990788095446</stp>
        <tr r="G21" s="446"/>
      </tp>
      <tp t="s">
        <v>#N/A Requesting Data...2659068161</v>
        <stp/>
        <stp>BDP|4996607430791175657</stp>
        <tr r="T122" s="89"/>
      </tp>
      <tp t="s">
        <v>#N/A Requesting Data...3190327799</v>
        <stp/>
        <stp>BDP|3807948298497989200</stp>
        <tr r="P45" s="338"/>
      </tp>
      <tp t="s">
        <v>#N/A Requesting Data...2883199383</v>
        <stp/>
        <stp>BDP|4148348666006447154</stp>
        <tr r="AF16" s="1"/>
      </tp>
      <tp t="s">
        <v>#N/A Requesting Data...2650478989</v>
        <stp/>
        <stp>BDP|2876687939266845739</stp>
        <tr r="AA19" s="2"/>
      </tp>
      <tp t="s">
        <v>#N/A N/A</v>
        <stp/>
        <stp>BDP|9242806905375372266</stp>
        <tr r="R122" s="89"/>
        <tr r="R123" s="89"/>
      </tp>
      <tp t="s">
        <v>#N/A Requesting Data...4269417185</v>
        <stp/>
        <stp>BDP|3531676896459233342</stp>
        <tr r="G35" s="446"/>
      </tp>
      <tp t="s">
        <v>#N/A Requesting Data...3981619322</v>
        <stp/>
        <stp>BDP|9850960325197941300</stp>
        <tr r="AF16" s="338"/>
        <tr r="AF38" s="338"/>
        <tr r="AF40" s="338"/>
      </tp>
      <tp t="s">
        <v>#N/A Requesting Data...2690130286</v>
        <stp/>
        <stp>BDP|6363186864423553482</stp>
        <tr r="D205" s="89"/>
      </tp>
      <tp t="b">
        <v>0</v>
        <stp/>
        <stp>BDH|5792780562897621594</stp>
        <tr r="AN10" s="338"/>
        <tr r="AN33" s="338"/>
        <tr r="AN11" s="338"/>
      </tp>
      <tp t="s">
        <v>#N/A Requesting Data...3615597591</v>
        <stp/>
        <stp>BDP|1831578601782415092</stp>
        <tr r="V18" s="338"/>
      </tp>
      <tp t="s">
        <v>#N/A Requesting Data...4188961479</v>
        <stp/>
        <stp>BDP|6335980711469928105</stp>
        <tr r="Q53" s="338"/>
      </tp>
      <tp t="s">
        <v>#N/A Requesting Data...3241723304</v>
        <stp/>
        <stp>BDP|5023379335197141408</stp>
        <tr r="O197" s="89"/>
      </tp>
      <tp t="s">
        <v>#N/A Requesting Data...3317224653</v>
        <stp/>
        <stp>BDP|5315552559291956278</stp>
        <tr r="T56" s="89"/>
        <tr r="AA5" s="2"/>
      </tp>
      <tp t="s">
        <v>#N/A Requesting Data...3010297253</v>
        <stp/>
        <stp>BDP|9650470625011320866</stp>
        <tr r="AA225" s="89"/>
        <tr r="Z225" s="89"/>
      </tp>
      <tp t="s">
        <v>#N/A Requesting Data...2987757729</v>
        <stp/>
        <stp>BDP|9271742846914689876</stp>
        <tr r="S15" s="338"/>
        <tr r="S39" s="338"/>
      </tp>
      <tp t="b">
        <v>0</v>
        <stp/>
        <stp>BDH|5758863354166448801</stp>
        <tr r="AR9" s="338"/>
      </tp>
      <tp t="s">
        <v>#N/A Requesting Data...4210062400</v>
        <stp/>
        <stp>BDP|1183356610207551274</stp>
        <tr r="O14" s="89"/>
        <tr r="T23" s="2"/>
      </tp>
      <tp t="s">
        <v>#N/A Requesting Data...2904920751</v>
        <stp/>
        <stp>BDP|7100569815600173559</stp>
        <tr r="AR18" s="2"/>
      </tp>
      <tp t="s">
        <v>#N/A Requesting Data...4252712486</v>
        <stp/>
        <stp>BDP|3672362430114067167</stp>
        <tr r="T14" s="338"/>
      </tp>
      <tp t="s">
        <v>#N/A Requesting Data...3814620707</v>
        <stp/>
        <stp>BDP|3597495719060392002</stp>
        <tr r="C237" s="89"/>
      </tp>
      <tp t="s">
        <v>#N/A Requesting Data...2637523007</v>
        <stp/>
        <stp>BDP|2714917007269668409</stp>
        <tr r="M8" s="252"/>
      </tp>
      <tp t="s">
        <v>#N/A Requesting Data...2969848974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Data...3906636565</v>
        <stp/>
        <stp>BDP|8408000722589740564</stp>
        <tr r="T68" s="89"/>
      </tp>
      <tp t="s">
        <v>#N/A Requesting Data...3308216974</v>
        <stp/>
        <stp>BDP|8885961869603230210</stp>
        <tr r="AK32" s="338"/>
        <tr r="AK46" s="338"/>
        <tr r="AK50" s="338"/>
        <tr r="AK8" s="338"/>
      </tp>
      <tp t="s">
        <v>#N/A Requesting Data...3327741731</v>
        <stp/>
        <stp>BDP|5769981822101030995</stp>
        <tr r="T96" s="89"/>
      </tp>
      <tp t="s">
        <v>#N/A Requesting Data...3566861569</v>
        <stp/>
        <stp>BDP|8318036623599634512</stp>
        <tr r="D225" s="89"/>
      </tp>
      <tp t="s">
        <v>#N/A Requesting Data...3169829043</v>
        <stp/>
        <stp>BDP|2700137841574069501</stp>
        <tr r="AR9" s="2"/>
      </tp>
      <tp t="s">
        <v>#N/A Requesting Data...2990950348</v>
        <stp/>
        <stp>BDP|7214956164048318650</stp>
        <tr r="U34" s="338"/>
      </tp>
      <tp>
        <v>657.13499999999999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-0.13591484725475311</v>
        <stp/>
        <stp>BDP|8795046347241444117|22</stp>
        <stp>AVGO US 06/18/26 C350 Equity</stp>
        <stp>theta_mid_rt</stp>
        <tr r="AN8" s="2"/>
      </tp>
      <tp>
        <v>1</v>
        <stp/>
        <stp>BDP|10619735984996990676|22</stp>
        <stp>QQQ US 01/26/26 C627 Equity</stp>
        <stp>bid</stp>
        <tr r="K212" s="89"/>
      </tp>
      <tp t="s">
        <v>#N/A Requesting Data...2560409131</v>
        <stp/>
        <stp>BDP|4283425441594897730</stp>
        <tr r="AA170" s="89"/>
        <tr r="Z170" s="89"/>
      </tp>
      <tp t="s">
        <v>#N/A Requesting Data...4161606948</v>
        <stp/>
        <stp>BDP|4245799967772009077</stp>
        <tr r="D37" s="446"/>
      </tp>
      <tp t="s">
        <v>#N/A Requesting Data...3034986289</v>
        <stp/>
        <stp>BDP|4758516714777806016</stp>
        <tr r="AR17" s="2"/>
      </tp>
      <tp t="s">
        <v>#N/A Requesting Data...4048017369</v>
        <stp/>
        <stp>BDP|2863781781368349292</stp>
        <tr r="AJ16" s="338"/>
        <tr r="AJ38" s="338"/>
        <tr r="AJ40" s="338"/>
      </tp>
      <tp t="b">
        <v>0</v>
        <stp/>
        <stp>BDH|1192994191311679749</stp>
        <tr r="AU49" s="338"/>
        <tr r="AU48" s="338"/>
      </tp>
      <tp t="s">
        <v>#N/A Requesting Data...3639786221</v>
        <stp/>
        <stp>BDP|8120208431448184693</stp>
        <tr r="S46" s="338"/>
      </tp>
      <tp t="s">
        <v>#N/A Requesting Data...3094683842</v>
        <stp/>
        <stp>BDP|7156185906827354649</stp>
        <tr r="AI13" s="1"/>
      </tp>
      <tp t="s">
        <v>#N/A Requesting Data...3584771759</v>
        <stp/>
        <stp>BDP|4897361001360642018</stp>
        <tr r="T48" s="338"/>
      </tp>
      <tp t="s">
        <v>#N/A Requesting Data...2838501097</v>
        <stp/>
        <stp>BDP|6577894425722203925</stp>
        <tr r="AI29" s="1"/>
      </tp>
      <tp t="s">
        <v>#N/A Requesting Data...3860941491</v>
        <stp/>
        <stp>BDP|5289094940154690244</stp>
        <tr r="S14" s="338"/>
      </tp>
      <tp t="s">
        <v>#N/A Requesting Data...2709097620</v>
        <stp/>
        <stp>BDP|1707015801081904771</stp>
        <tr r="S11" s="338"/>
      </tp>
      <tp t="s">
        <v>#N/A Requesting Data...3426720924</v>
        <stp/>
        <stp>BDP|5947737455944304421</stp>
        <tr r="AB29" s="1"/>
      </tp>
      <tp t="s">
        <v>#N/A Requesting Data...4237333753</v>
        <stp/>
        <stp>BDP|1510584037002581204</stp>
        <tr r="T115" s="89"/>
      </tp>
      <tp t="s">
        <v>#N/A Requesting Data...2886881326</v>
        <stp/>
        <stp>BDP|6917157052941035414</stp>
        <tr r="AK54" s="338"/>
      </tp>
      <tp t="s">
        <v>#N/A Requesting Data...4277919620</v>
        <stp/>
        <stp>BDP|7903719114714371204</stp>
        <tr r="T203" s="89"/>
      </tp>
      <tp t="s">
        <v>#N/A Requesting Data...3109547994</v>
        <stp/>
        <stp>BDP|1092378379464484650</stp>
        <tr r="G9" s="446"/>
      </tp>
      <tp t="s">
        <v>#N/A Requesting Data...4133291409</v>
        <stp/>
        <stp>BDP|5346594685016575959</stp>
        <tr r="AI18" s="338"/>
        <tr r="AK18" s="338"/>
      </tp>
      <tp t="s">
        <v>#N/A Requesting Data...3046617200</v>
        <stp/>
        <stp>BDP|5675170649634239369</stp>
        <tr r="E109" s="89"/>
      </tp>
      <tp t="s">
        <v>#N/A Requesting Data...2680708664</v>
        <stp/>
        <stp>BDP|7675645627431897518</stp>
        <tr r="C22" s="2"/>
      </tp>
      <tp t="s">
        <v>#N/A Requesting Data...2644346607</v>
        <stp/>
        <stp>BDP|3706549500372914371</stp>
        <tr r="E136" s="89"/>
      </tp>
      <tp t="s">
        <v>#N/A Requesting Data...3872629229</v>
        <stp/>
        <stp>BDP|5312075309057886586</stp>
        <tr r="AI31" s="1"/>
      </tp>
      <tp t="s">
        <v>#N/A Requesting Data...3699858459</v>
        <stp/>
        <stp>BDP|7107626834487292286</stp>
        <tr r="L11" s="252"/>
        <tr r="L11" s="252"/>
      </tp>
      <tp t="s">
        <v>#N/A Requesting Data...3989219177</v>
        <stp/>
        <stp>BDP|8336092558638833275</stp>
        <tr r="M18" s="252"/>
      </tp>
      <tp t="s">
        <v>#N/A Requesting Data...3251668483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s">
        <v>#N/A Requesting Data...2832234879</v>
        <stp/>
        <stp>BDP|5467355147893338677</stp>
        <tr r="Q46" s="338"/>
      </tp>
      <tp t="s">
        <v>#N/A Requesting Data...2985628283</v>
        <stp/>
        <stp>BDP|1288906989993060491</stp>
        <tr r="X49" s="338"/>
      </tp>
      <tp t="s">
        <v>#N/A Requesting Data...3542672233</v>
        <stp/>
        <stp>BDP|5938177747656903132</stp>
        <tr r="S55" s="338"/>
      </tp>
      <tp t="s">
        <v>#N/A Requesting Data...2714373163</v>
        <stp/>
        <stp>BDP|1855721819082945297</stp>
        <tr r="P52" s="338"/>
      </tp>
      <tp t="s">
        <v>#N/A Requesting Data...2718590712</v>
        <stp/>
        <stp>BDP|8802674438589215358</stp>
        <tr r="Q51" s="338"/>
      </tp>
      <tp t="s">
        <v>#N/A Requesting Data...3079392833</v>
        <stp/>
        <stp>BDP|7226011316269547804</stp>
        <tr r="AA101" s="89"/>
        <tr r="Z101" s="89"/>
      </tp>
      <tp t="s">
        <v>#N/A Requesting Data...2688825116</v>
        <stp/>
        <stp>BDP|3900760639080469025</stp>
        <tr r="AA9" s="2"/>
      </tp>
      <tp t="s">
        <v>#N/A Requesting Data...2705134875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Data...2916192114</v>
        <stp/>
        <stp>BDP|6362624963838148922</stp>
        <tr r="AF19" s="1"/>
        <tr r="AF8" s="338"/>
        <tr r="AF9" s="338"/>
      </tp>
      <tp t="s">
        <v>#N/A Requesting Data...2935601520</v>
        <stp/>
        <stp>BDP|2907663611126652497</stp>
        <tr r="D136" s="89"/>
      </tp>
      <tp t="s">
        <v>#N/A Requesting Data...3833626978</v>
        <stp/>
        <stp>BDP|7909641621027922343</stp>
        <tr r="O50" s="89"/>
      </tp>
      <tp t="s">
        <v>#N/A Requesting Data...4213982611</v>
        <stp/>
        <stp>BDP|5447413907492272417</stp>
        <tr r="AG48" s="338"/>
        <tr r="AG49" s="338"/>
      </tp>
      <tp t="b">
        <v>0</v>
        <stp/>
        <stp>BDH|7689973550514787877</stp>
        <tr r="AN53" s="338"/>
        <tr r="AN52" s="338"/>
        <tr r="AN54" s="338"/>
      </tp>
      <tp t="s">
        <v>#N/A Requesting Data...2811373886</v>
        <stp/>
        <stp>BDP|2614909402095251903</stp>
        <tr r="L12" s="252"/>
        <tr r="L12" s="252"/>
      </tp>
      <tp t="s">
        <v>#N/A Requesting Data...3244714356</v>
        <stp/>
        <stp>BDP|1776687918603536244</stp>
        <tr r="V196" s="89"/>
      </tp>
      <tp t="s">
        <v>#N/A Requesting Data...3849355954</v>
        <stp/>
        <stp>BDP|1763661788150711882</stp>
        <tr r="E233" s="89"/>
      </tp>
      <tp t="s">
        <v>#N/A Requesting Data...2909750445</v>
        <stp/>
        <stp>BDP|5476793879341768354</stp>
        <tr r="AK30" s="338"/>
      </tp>
      <tp t="s">
        <v>#N/A Requesting Data...3763515229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b">
        <v>0</v>
        <stp/>
        <stp>BDH|6761642110584463217</stp>
        <tr r="AU12" s="338"/>
      </tp>
      <tp t="s">
        <v>#N/A Requesting Data...3722899152</v>
        <stp/>
        <stp>BDP|9356568301399407276</stp>
        <tr r="L29" s="338"/>
        <tr r="J29" s="338"/>
      </tp>
      <tp t="s">
        <v>#N/A Requesting Data...3483713459</v>
        <stp/>
        <stp>BDP|7057279456164256342</stp>
        <tr r="S32" s="338"/>
      </tp>
      <tp t="s">
        <v>#N/A Requesting Data...3776238372</v>
        <stp/>
        <stp>BDP|7250845338122873916</stp>
        <tr r="D15" s="2"/>
      </tp>
      <tp t="s">
        <v>#N/A Requesting Data...2863479092</v>
        <stp/>
        <stp>BDP|5679496740627876502</stp>
        <tr r="N20" s="252"/>
        <tr r="N20" s="252"/>
      </tp>
      <tp t="s">
        <v>#N/A Requesting Data...3874814256</v>
        <stp/>
        <stp>BDP|7775425857631476016</stp>
        <tr r="X53" s="338"/>
      </tp>
      <tp t="s">
        <v>#N/A Requesting Data...4049826790</v>
        <stp/>
        <stp>BDP|6730519311327945299</stp>
        <tr r="AK11" s="338"/>
      </tp>
      <tp t="s">
        <v>#N/A Requesting Data...2970967121</v>
        <stp/>
        <stp>BDP|7034052966182144450</stp>
        <tr r="G7" s="446"/>
      </tp>
      <tp t="b">
        <v>0</v>
        <stp/>
        <stp>BDH|3290837325916710843</stp>
        <tr r="AM37" s="338"/>
      </tp>
      <tp t="s">
        <v>#N/A Requesting Data...3971208465</v>
        <stp/>
        <stp>BDP|1643511825883151271</stp>
        <tr r="T212" s="89"/>
      </tp>
      <tp t="s">
        <v>#N/A Requesting Data...3351690714</v>
        <stp/>
        <stp>BDP|5264049846531072744</stp>
        <tr r="AA95" s="89"/>
        <tr r="Z95" s="89"/>
      </tp>
      <tp t="s">
        <v>#N/A Requesting Data...4293857226</v>
        <stp/>
        <stp>BDP|7817792651205133748</stp>
        <tr r="U30" s="338"/>
      </tp>
      <tp t="s">
        <v>#N/A Requesting Data...3727837847</v>
        <stp/>
        <stp>BDP|1636158366620394139</stp>
        <tr r="V160" s="89"/>
      </tp>
      <tp t="s">
        <v>#N/A Requesting Data...2853085953</v>
        <stp/>
        <stp>BDP|7130911573469165773</stp>
        <tr r="V223" s="89"/>
        <tr r="AD8" s="2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237.66499999999999</v>
        <stp/>
        <stp>BDP|4344863504285541564|22</stp>
        <stp>AMZN Equity</stp>
        <stp>LAST_PRICE</stp>
        <tr r="I17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Data...3595373357</v>
        <stp/>
        <stp>BDP|5392093770183418143</stp>
        <tr r="AR13" s="2"/>
      </tp>
      <tp t="s">
        <v>#N/A Requesting Data...2897506151</v>
        <stp/>
        <stp>BDP|9478381283761550308</stp>
        <tr r="V13" s="89"/>
        <tr r="AD22" s="2"/>
      </tp>
      <tp t="s">
        <v>#N/A Requesting Data...3758702012</v>
        <stp/>
        <stp>BDP|3454753217493992655</stp>
        <tr r="F36" s="446"/>
        <tr r="AB28" s="1"/>
      </tp>
      <tp t="s">
        <v>#N/A Requesting Data...3783580723</v>
        <stp/>
        <stp>BDP|8148908707662517398</stp>
        <tr r="AG18" s="1"/>
      </tp>
      <tp t="s">
        <v>#N/A Requesting Data...3411110742</v>
        <stp/>
        <stp>BDP|9603670840602247996</stp>
        <tr r="AD21" s="2"/>
      </tp>
      <tp t="s">
        <v>#N/A Requesting Data...3202435206</v>
        <stp/>
        <stp>BDP|1189172247476298290</stp>
        <tr r="O7" s="252"/>
      </tp>
      <tp t="s">
        <v>#N/A Requesting Data...3931901491</v>
        <stp/>
        <stp>BDP|6955622269271151797</stp>
        <tr r="T7" s="2"/>
      </tp>
      <tp t="b">
        <v>0</v>
        <stp/>
        <stp>BDH|6172657514408849926</stp>
        <tr r="AM48" s="338"/>
        <tr r="AM47" s="338"/>
        <tr r="AR10" s="338"/>
        <tr r="AR53" s="338"/>
        <tr r="AM44" s="338"/>
      </tp>
      <tp t="b">
        <v>0</v>
        <stp/>
        <stp>BDH|6300508665442857747</stp>
        <tr r="J20" s="252"/>
      </tp>
      <tp t="s">
        <v>#N/A N/A</v>
        <stp/>
        <stp>BDP|3685516077896874709</stp>
        <tr r="AC6" s="2"/>
      </tp>
      <tp t="s">
        <v>#N/A Requesting Data...3795863954</v>
        <stp/>
        <stp>BDP|2073373381748750195</stp>
        <tr r="F25" s="446"/>
      </tp>
      <tp t="s">
        <v>#N/A Requesting Data...4230823303</v>
        <stp/>
        <stp>BDP|1341032626152789198</stp>
        <tr r="E27" s="89"/>
      </tp>
      <tp t="b">
        <v>0</v>
        <stp/>
        <stp>BDH|4765620419731204266</stp>
        <tr r="AS49" s="338"/>
        <tr r="AS48" s="338"/>
      </tp>
      <tp t="s">
        <v>#N/A Requesting Data...2912759560</v>
        <stp/>
        <stp>BDP|5508729427063936303</stp>
        <tr r="AB27" s="1"/>
      </tp>
      <tp t="s">
        <v>#N/A Requesting Data...4257688392</v>
        <stp/>
        <stp>BDP|1626262929107928698</stp>
        <tr r="O224" s="89"/>
      </tp>
      <tp t="s">
        <v>#N/A Requesting Data...3322556759</v>
        <stp/>
        <stp>BDP|7426051978057192711</stp>
        <tr r="K12" s="1"/>
      </tp>
      <tp t="s">
        <v>#N/A Requesting Data...4020271238</v>
        <stp/>
        <stp>BDP|5045073666933003089</stp>
        <tr r="V9" s="338"/>
      </tp>
      <tp t="s">
        <v>#N/A Requesting Data...2788088464</v>
        <stp/>
        <stp>BDP|3688206206872156385</stp>
        <tr r="D81" s="89"/>
      </tp>
      <tp t="s">
        <v>#N/A Requesting Data...4127002419</v>
        <stp/>
        <stp>BDP|7131418634293998332</stp>
        <tr r="T15" s="2"/>
      </tp>
      <tp t="s">
        <v>#N/A Requesting Data...2664086043</v>
        <stp/>
        <stp>BDP|4874875695403262667</stp>
        <tr r="O169" s="89"/>
      </tp>
      <tp t="s">
        <v>#N/A Requesting Data...2919981408</v>
        <stp/>
        <stp>BDP|5247577618786009732</stp>
        <tr r="D197" s="89"/>
      </tp>
      <tp t="s">
        <v>#N/A N/A</v>
        <stp/>
        <stp>BDP|3833608477975887782</stp>
        <tr r="AC11" s="2"/>
      </tp>
      <tp t="s">
        <v>#N/A Requesting Data...3094602083</v>
        <stp/>
        <stp>BDP|3872713712930116557</stp>
        <tr r="V186" s="89"/>
      </tp>
      <tp t="s">
        <v>#N/A Requesting Data...3293963557</v>
        <stp/>
        <stp>BDP|5526635939431875188</stp>
        <tr r="AI29" s="338"/>
      </tp>
      <tp t="s">
        <v>#N/A Requesting Data...2982491724</v>
        <stp/>
        <stp>BDP|5959149956824211564</stp>
        <tr r="G38" s="446"/>
      </tp>
      <tp t="b">
        <v>0</v>
        <stp/>
        <stp>BDH|9527713800739891731</stp>
        <tr r="AN30" s="338"/>
        <tr r="AN29" s="338"/>
      </tp>
      <tp t="s">
        <v>#N/A Requesting Data...3617723762</v>
        <stp/>
        <stp>BDP|5227150449344083429</stp>
        <tr r="D8" s="89"/>
      </tp>
      <tp t="s">
        <v>#N/A Requesting Data...3362909524</v>
        <stp/>
        <stp>BDP|5381969730908949709</stp>
        <tr r="AD7" s="2"/>
      </tp>
      <tp t="s">
        <v>#N/A Requesting Data...3880983043</v>
        <stp/>
        <stp>BDP|1296983167408819684</stp>
        <tr r="AA33" s="89"/>
        <tr r="Z33" s="89"/>
      </tp>
      <tp t="s">
        <v>#N/A Requesting Data...3402520969</v>
        <stp/>
        <stp>BDP|8739029094357904654</stp>
        <tr r="O20" s="89"/>
      </tp>
      <tp t="s">
        <v>#N/A Requesting Data...4014556430</v>
        <stp/>
        <stp>BDP|3572723856414756549</stp>
        <tr r="C222" s="89"/>
      </tp>
      <tp t="s">
        <v>#N/A Requesting Data...2914795978</v>
        <stp/>
        <stp>BDP|1905590006853613726</stp>
        <tr r="E169" s="89"/>
      </tp>
      <tp t="s">
        <v>#N/A Requesting Data...3018333976</v>
        <stp/>
        <stp>BDP|8781859390611325836</stp>
        <tr r="X12" s="338"/>
      </tp>
      <tp t="s">
        <v>#N/A Requesting Data...3995396871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22" s="89"/>
        <tr r="AB223" s="89"/>
        <tr r="AB224" s="89"/>
        <tr r="AB225" s="89"/>
        <tr r="AQ8" s="2"/>
      </tp>
      <tp t="s">
        <v>#N/A Requesting Data...3838927479</v>
        <stp/>
        <stp>BDP|9421627465539513045</stp>
        <tr r="D154" s="89"/>
      </tp>
      <tp t="s">
        <v>#N/A Requesting Data...3772044894</v>
        <stp/>
        <stp>BDP|2925650370332906175</stp>
        <tr r="AI23" s="1"/>
      </tp>
      <tp t="s">
        <v>#N/A Requesting Data...3931761599</v>
        <stp/>
        <stp>BDP|3960122539301296028</stp>
        <tr r="T13" s="2"/>
      </tp>
      <tp t="s">
        <v>#N/A Requesting Data...3081319561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Data...3146781682</v>
        <stp/>
        <stp>BDP|4552037620785435316</stp>
        <tr r="P33" s="338"/>
      </tp>
      <tp t="s">
        <v>#N/A Requesting Data...4158026891</v>
        <stp/>
        <stp>BDP|7452750254675161071</stp>
        <tr r="T26" s="89"/>
      </tp>
      <tp t="s">
        <v>#N/A Requesting Data...3750459541</v>
        <stp/>
        <stp>BDP|1912350260220949454</stp>
        <tr r="AJ29" s="338"/>
        <tr r="AJ30" s="338"/>
      </tp>
      <tp t="s">
        <v>#N/A Requesting Data...3215694958</v>
        <stp/>
        <stp>BDP|5137251643354744701</stp>
        <tr r="L36" s="338"/>
        <tr r="H36" s="338"/>
      </tp>
      <tp t="s">
        <v>#N/A Requesting Data...4281716484</v>
        <stp/>
        <stp>BDP|7338031437882496634</stp>
        <tr r="Q50" s="338"/>
      </tp>
      <tp t="s">
        <v>#N/A Requesting Data...3657323595</v>
        <stp/>
        <stp>BDP|6283111272633911397</stp>
        <tr r="AJ14" s="338"/>
        <tr r="AJ35" s="338"/>
      </tp>
      <tp t="s">
        <v>#N/A Requesting Data...2871044628</v>
        <stp/>
        <stp>BDP|7112967104169217777</stp>
        <tr r="P30" s="338"/>
      </tp>
      <tp t="s">
        <v>#N/A Requesting Data...3797228587</v>
        <stp/>
        <stp>BDP|7207851431765010907</stp>
        <tr r="C235" s="89"/>
      </tp>
      <tp t="s">
        <v>#N/A Requesting Data...3130394832</v>
        <stp/>
        <stp>BDP|5682063267492381124</stp>
        <tr r="S12" s="338"/>
      </tp>
      <tp t="s">
        <v>#N/A Requesting Data...3480336439</v>
        <stp/>
        <stp>BDP|1018734111515407205</stp>
        <tr r="F18" s="252"/>
      </tp>
      <tp t="s">
        <v>#N/A Requesting Data...3371092124</v>
        <stp/>
        <stp>BDP|4028930726656593970</stp>
        <tr r="AJ16" s="338"/>
        <tr r="AJ38" s="338"/>
        <tr r="AJ40" s="338"/>
      </tp>
      <tp t="s">
        <v>#N/A Requesting Data...4176542857</v>
        <stp/>
        <stp>BDP|9163195119900175972</stp>
        <tr r="C188" s="89"/>
      </tp>
      <tp t="s">
        <v>#N/A Requesting Data...3906370334</v>
        <stp/>
        <stp>BDP|1494500509740882420</stp>
        <tr r="D96" s="89"/>
      </tp>
      <tp t="s">
        <v>#N/A Requesting Data...3338801324</v>
        <stp/>
        <stp>BDP|8313925844516597346</stp>
        <tr r="AA40" s="89"/>
        <tr r="Z40" s="89"/>
      </tp>
      <tp t="s">
        <v>#N/A Requesting Data...3566280960</v>
        <stp/>
        <stp>BDP|3485044105441809296</stp>
        <tr r="L12" s="338"/>
        <tr r="J12" s="338"/>
      </tp>
      <tp t="s">
        <v>#N/A Requesting Data...4079375829</v>
        <stp/>
        <stp>BDP|7774064174301905182</stp>
        <tr r="T49" s="89"/>
      </tp>
      <tp t="s">
        <v>#N/A Requesting Data...4054968507</v>
        <stp/>
        <stp>BDP|6637641837380428351</stp>
        <tr r="D89" s="89"/>
      </tp>
      <tp t="s">
        <v>#N/A Requesting Data...3493773374</v>
        <stp/>
        <stp>BDP|2723076874625349028</stp>
        <tr r="M7" s="252"/>
      </tp>
      <tp t="s">
        <v>#N/A Requesting Data...2929305525</v>
        <stp/>
        <stp>BDP|4386065153847319607</stp>
        <tr r="C11" s="2"/>
      </tp>
      <tp t="s">
        <v>#N/A Requesting Data...3236341531</v>
        <stp/>
        <stp>BDP|1377734860226121644</stp>
        <tr r="C234" s="89"/>
      </tp>
      <tp>
        <v>18.649999999999999</v>
        <stp/>
        <stp>BDP|18330625039410541292|22</stp>
        <stp>AMZN US 07/17/26 C250 Equity</stp>
        <stp>ask</stp>
        <tr r="L234" s="89"/>
      </tp>
      <tp>
        <v>37.299999999999997</v>
        <stp/>
        <stp>BDP|14709653448625040347|22</stp>
        <stp>TSM US 07/17/26 C340 Equity</stp>
        <stp>ask</stp>
        <tr r="L19" s="89"/>
      </tp>
      <tp>
        <v>0</v>
        <stp/>
        <stp>BDP|9340851764495106938|22</stp>
        <stp>AMAT US 01/23/26 P280 Equity</stp>
        <stp>theta_mid_rt</stp>
        <tr r="AN5" s="2"/>
      </tp>
      <tp>
        <v>18.100000000000001</v>
        <stp/>
        <stp>BDP|13708122924811862625|22</stp>
        <stp>TSM US 06/18/26 C380 Equity</stp>
        <stp>mid</stp>
        <tr r="L23" s="2"/>
      </tp>
      <tp>
        <v>6.6014332696795464E-3</v>
        <stp/>
        <stp>BDP|8036523313045880996|22</stp>
        <stp>INTC US 01/23/26 C60 Equity</stp>
        <stp>DELTA_MID_RT</stp>
        <tr r="W39" s="89"/>
      </tp>
      <tp>
        <v>198.81</v>
        <stp/>
        <stp>BDP|17027429052585223577|22</stp>
        <stp>RSP EQUITY</stp>
        <stp>LAST_PRICE</stp>
        <tr r="I5" s="1"/>
      </tp>
      <tp t="s">
        <v>USD</v>
        <stp/>
        <stp>BDP|18426495895033002022|22</stp>
        <stp>NFLX US 03/20/26 P80 Equity</stp>
        <stp>QUOTED_CURRENCY_REALTIME</stp>
        <tr r="F188" s="89"/>
      </tp>
      <tp>
        <v>-0.16291241347789764</v>
        <stp/>
        <stp>BDP|12332095747128456494|22</stp>
        <stp>1OG6P 24700 Index</stp>
        <stp>DELTA_MID_RT</stp>
        <tr r="W153" s="89"/>
      </tp>
      <tp t="s">
        <v>#N/A Requesting Data...3221346225</v>
        <stp/>
        <stp>BDP|5033376349836196559</stp>
        <tr r="X29" s="338"/>
      </tp>
      <tp t="s">
        <v>#N/A Requesting Data...2625227795</v>
        <stp/>
        <stp>BDP|5906347697766862884</stp>
        <tr r="C19" s="2"/>
      </tp>
      <tp t="s">
        <v>#N/A Requesting Data...3038498478</v>
        <stp/>
        <stp>BDP|3552512649496298558</stp>
        <tr r="M14" s="252"/>
      </tp>
      <tp t="s">
        <v>#N/A Requesting Data...4119292367</v>
        <stp/>
        <stp>BDP|6512582705651116331</stp>
        <tr r="C62" s="89"/>
        <tr r="D16" s="2"/>
      </tp>
      <tp t="b">
        <v>0</v>
        <stp/>
        <stp>BDH|4530233639914065055</stp>
        <tr r="AR13" s="338"/>
      </tp>
      <tp t="s">
        <v>#N/A Requesting Data...2800362802</v>
        <stp/>
        <stp>BDP|7969452338967871675</stp>
        <tr r="AA27" s="89"/>
        <tr r="Z27" s="89"/>
      </tp>
      <tp t="s">
        <v>#N/A Requesting Data...2674573251</v>
        <stp/>
        <stp>BDP|8548403483194970146</stp>
        <tr r="V55" s="89"/>
        <tr r="AD4" s="2"/>
      </tp>
      <tp t="s">
        <v>#N/A Requesting Data...3359361503</v>
        <stp/>
        <stp>BDP|3243861311373893853</stp>
        <tr r="E10" s="2"/>
      </tp>
      <tp t="s">
        <v>#N/A Requesting Data...3843220973</v>
        <stp/>
        <stp>BDP|9570666606426496899</stp>
        <tr r="T9" s="2"/>
      </tp>
      <tp t="s">
        <v>#N/A Requesting Data...2742933176</v>
        <stp/>
        <stp>BDP|5889104764011396273</stp>
        <tr r="AI26" s="1"/>
      </tp>
      <tp t="s">
        <v>#N/A Requesting Data...3095625876</v>
        <stp/>
        <stp>BDP|5256432133392845134</stp>
        <tr r="C101" s="89"/>
      </tp>
      <tp t="s">
        <v>#N/A Requesting Data...3516387190</v>
        <stp/>
        <stp>BDP|7551465529835272566</stp>
        <tr r="N9" s="252"/>
        <tr r="N9" s="252"/>
      </tp>
      <tp t="s">
        <v>#N/A Requesting Data...3975500218</v>
        <stp/>
        <stp>BDP|1897815793981176051</stp>
        <tr r="AR15" s="2"/>
      </tp>
      <tp t="s">
        <v>#N/A Requesting Data...3660727842</v>
        <stp/>
        <stp>BDP|9828973103046090731</stp>
        <tr r="C82" s="89"/>
      </tp>
      <tp t="s">
        <v>#N/A Requesting Data...3901908899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Data...3894902390</v>
        <stp/>
        <stp>BDP|7601159166158268985</stp>
        <tr r="S16" s="252"/>
      </tp>
      <tp t="s">
        <v>#N/A Requesting Data...3204332986</v>
        <stp/>
        <stp>BDP|3235511292777879969</stp>
        <tr r="X11" s="338"/>
      </tp>
      <tp t="s">
        <v>#N/A Requesting Data...3666168105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Data...2780787549</v>
        <stp/>
        <stp>BDP|1748256233439783899</stp>
        <tr r="T15" s="338"/>
        <tr r="T39" s="338"/>
      </tp>
      <tp t="s">
        <v>#N/A Requesting Data...3267423657</v>
        <stp/>
        <stp>BDP|7660636101386198693</stp>
        <tr r="P15" s="338"/>
        <tr r="P39" s="338"/>
      </tp>
      <tp t="s">
        <v>#N/A Requesting Data...3494287966</v>
        <stp/>
        <stp>BDP|8463094131499939398</stp>
        <tr r="X18" s="338"/>
      </tp>
      <tp t="s">
        <v>#N/A Requesting Data...2829017250</v>
        <stp/>
        <stp>BDP|7404929821424807933</stp>
        <tr r="L16" s="338"/>
        <tr r="H16" s="338"/>
        <tr r="L38" s="338"/>
        <tr r="H38" s="338"/>
        <tr r="L40" s="338"/>
        <tr r="H40" s="338"/>
      </tp>
      <tp t="s">
        <v>#N/A Requesting Data...3532640800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Data...2982816364</v>
        <stp/>
        <stp>BDP|6241899226908646569</stp>
        <tr r="D42" s="446"/>
      </tp>
      <tp t="s">
        <v>#N/A Requesting Data...3521176867</v>
        <stp/>
        <stp>BDP|2974198673022627786</stp>
        <tr r="AK48" s="338"/>
        <tr r="AK49" s="338"/>
      </tp>
      <tp t="s">
        <v>#N/A Requesting Data...3448553252</v>
        <stp/>
        <stp>BDP|5183368778820171035</stp>
        <tr r="F45" s="446"/>
      </tp>
      <tp t="s">
        <v>#N/A Requesting Data...3884644708</v>
        <stp/>
        <stp>BDP|5678783394829319341</stp>
        <tr r="F23" s="2"/>
      </tp>
      <tp t="s">
        <v>#N/A Requesting Data...2811194400</v>
        <stp/>
        <stp>BDP|1922937203849475008</stp>
        <tr r="Q42" s="338"/>
      </tp>
      <tp t="s">
        <v>#N/A Requesting Data...3036244915</v>
        <stp/>
        <stp>BDP|5223714776062803600</stp>
        <tr r="AC13" s="1"/>
      </tp>
      <tp t="s">
        <v>#N/A Requesting Data...2743880360</v>
        <stp/>
        <stp>BDP|3451935198061445399</stp>
        <tr r="E19" s="2"/>
      </tp>
      <tp t="s">
        <v>#N/A Requesting Data...3056150939</v>
        <stp/>
        <stp>BDP|7603021556517835487</stp>
        <tr r="AH52" s="338"/>
        <tr r="AH53" s="338"/>
        <tr r="AH54" s="338"/>
      </tp>
      <tp t="s">
        <v>#N/A Requesting Data...2758198725</v>
        <stp/>
        <stp>BDP|4388333855843269056</stp>
        <tr r="P10" s="252"/>
      </tp>
      <tp t="s">
        <v>#N/A Requesting Data...3903973890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Data...3598757467</v>
        <stp/>
        <stp>BDP|8089955034922775144</stp>
        <tr r="C26" s="89"/>
      </tp>
      <tp t="s">
        <v>#N/A Requesting Data...3055293554</v>
        <stp/>
        <stp>BDP|2790133807587110508</stp>
        <tr r="O10" s="252"/>
      </tp>
      <tp t="s">
        <v>#N/A Requesting Data...3088790374</v>
        <stp/>
        <stp>BDP|7513670475916134150</stp>
        <tr r="AG18" s="338"/>
      </tp>
      <tp t="s">
        <v>#N/A N/A</v>
        <stp/>
        <stp>BDP|5135037260523416154</stp>
        <tr r="AC4" s="2"/>
        <tr r="AC5" s="2"/>
      </tp>
      <tp t="s">
        <v>#N/A N/A</v>
        <stp/>
        <stp>BDP|9633924773914414208</stp>
        <tr r="AC7" s="2"/>
      </tp>
      <tp t="s">
        <v>#N/A Requesting Data...2898896178</v>
        <stp/>
        <stp>BDP|6571135877398464961</stp>
        <tr r="E8" s="89"/>
      </tp>
      <tp t="b">
        <v>0</v>
        <stp/>
        <stp>BDH|7573982876479063180</stp>
        <tr r="AU54" s="338"/>
      </tp>
      <tp t="s">
        <v>#N/A Requesting Data...3817115482</v>
        <stp/>
        <stp>BDP|9843491038236897916</stp>
        <tr r="C20" s="89"/>
      </tp>
      <tp t="s">
        <v>#N/A Requesting Data...2930289007</v>
        <stp/>
        <stp>BDP|9739406253298596110</stp>
        <tr r="AI16" s="1"/>
      </tp>
      <tp t="s">
        <v>#N/A N/A</v>
        <stp/>
        <stp>BDP|1821230040030393694</stp>
        <tr r="AB62" s="89"/>
        <tr r="AB63" s="89"/>
        <tr r="AQ14" s="2"/>
        <tr r="AQ15" s="2"/>
        <tr r="AQ16" s="2"/>
        <tr r="AQ17" s="2"/>
      </tp>
      <tp t="s">
        <v>#N/A Requesting Data...2786124751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B13" s="89"/>
        <tr r="AB14" s="89"/>
        <tr r="AB19" s="89"/>
        <tr r="AB20" s="89"/>
        <tr r="AQ22" s="2"/>
        <tr r="AQ23" s="2"/>
      </tp>
      <tp t="s">
        <v>#N/A Requesting Data...3479619177</v>
        <stp/>
        <stp>BDP|8707806237397902583</stp>
        <tr r="S11" s="252"/>
      </tp>
      <tp t="s">
        <v>#N/A Requesting Data...4253775823</v>
        <stp/>
        <stp>BDP|9939228331380883944</stp>
        <tr r="G11" s="446"/>
      </tp>
      <tp t="s">
        <v>#N/A Requesting Data...2817052020</v>
        <stp/>
        <stp>BDP|7072033161838356860</stp>
        <tr r="O75" s="89"/>
      </tp>
      <tp t="s">
        <v>#N/A Requesting Data...3100744378</v>
        <stp/>
        <stp>BDP|2267087599569280367</stp>
        <tr r="P34" s="338"/>
      </tp>
      <tp t="s">
        <v>#N/A Requesting Data...4140442726</v>
        <stp/>
        <stp>BDP|2620429521461757456</stp>
        <tr r="AK42" s="338"/>
      </tp>
      <tp t="s">
        <v>#N/A Requesting Data...3799332165</v>
        <stp/>
        <stp>BDP|7066346967523510010</stp>
        <tr r="U9" s="338"/>
      </tp>
      <tp t="s">
        <v>#N/A Requesting Data...3720387806</v>
        <stp/>
        <stp>BDP|6497440232258298876</stp>
        <tr r="AF13" s="1"/>
      </tp>
      <tp t="b">
        <v>0</v>
        <stp/>
        <stp>BDH|4795034232143790553</stp>
        <tr r="AN36" s="338"/>
      </tp>
      <tp t="s">
        <v>#N/A N/A</v>
        <stp/>
        <stp>BDP|9167736870381302945</stp>
        <tr r="AV21" s="2"/>
      </tp>
      <tp>
        <v>33.35</v>
        <stp/>
        <stp>BDP|11372581848729563069|22</stp>
        <stp>META US 04/17/26 C690 Equity</stp>
        <stp>mid</stp>
        <tr r="L12" s="2"/>
      </tp>
      <tp>
        <v>19.5</v>
        <stp/>
        <stp>BDP|16757164580454265033|22</stp>
        <stp>MSFT US 03/20/26 P465 Equity</stp>
        <stp>mid</stp>
        <tr r="L19" s="2"/>
      </tp>
      <tp t="s">
        <v>#N/A N/A</v>
        <stp/>
        <stp>BDP|10072792451967782103|22</stp>
        <stp>ASML US 01/23/26 P1200 Equity</stp>
        <stp>bid</stp>
        <tr r="K49" s="89"/>
      </tp>
      <tp>
        <v>0.34</v>
        <stp/>
        <stp>BDP|11369737407115501686|22</stp>
        <stp>QQQ US 01/26/26 C630 Equity</stp>
        <stp>ask</stp>
        <tr r="L211" s="89"/>
      </tp>
      <tp>
        <v>0.36274898052215576</v>
        <stp/>
        <stp>BDP|2745074962748644982|22</stp>
        <stp>COPX US 04/17/26 C95 Equity</stp>
        <stp>DELTA_MID_RT</stp>
        <tr r="W34" s="89"/>
      </tp>
      <tp>
        <v>3.65</v>
        <stp/>
        <stp>BDP|118569511771704697|22</stp>
        <stp>INTC US 07/17/26 C60 Equity</stp>
        <stp>ask</stp>
        <tr r="L195" s="89"/>
      </tp>
      <tp t="s">
        <v>#N/A Requesting Data...3784487779</v>
        <stp/>
        <stp>BDP|3688604139137001352</stp>
        <tr r="O204" s="89"/>
      </tp>
      <tp t="s">
        <v>#N/A Requesting Data...2845623944</v>
        <stp/>
        <stp>BDP|6219652639352291374</stp>
        <tr r="D55" s="89"/>
      </tp>
      <tp t="s">
        <v>#N/A Requesting Data...3648985178</v>
        <stp/>
        <stp>BDP|7964758820092579227</stp>
        <tr r="AJ52" s="338"/>
        <tr r="AJ53" s="338"/>
        <tr r="AJ54" s="338"/>
      </tp>
      <tp t="s">
        <v>#N/A Requesting Data...3920340072</v>
        <stp/>
        <stp>BDP|7860310106547363177</stp>
        <tr r="AA180" s="89"/>
        <tr r="Z180" s="89"/>
      </tp>
      <tp t="s">
        <v>#N/A Requesting Data...3607220235</v>
        <stp/>
        <stp>BDP|6976223375119574839</stp>
        <tr r="K30" s="1"/>
      </tp>
      <tp t="s">
        <v>#N/A Requesting Data...2858590244</v>
        <stp/>
        <stp>BDP|9060205111721083990</stp>
        <tr r="AI48" s="338"/>
        <tr r="AI49" s="338"/>
        <tr r="AK48" s="338"/>
        <tr r="AK49" s="338"/>
      </tp>
      <tp t="s">
        <v>#N/A Requesting Data...3432158924</v>
        <stp/>
        <stp>BDP|8644058243408809607</stp>
        <tr r="V49" s="338"/>
      </tp>
      <tp t="s">
        <v>#N/A Requesting Data...3292088891</v>
        <stp/>
        <stp>BDP|2721287269476965276</stp>
        <tr r="V35" s="338"/>
      </tp>
      <tp t="s">
        <v>#N/A Requesting Data...3306341486</v>
        <stp/>
        <stp>BDP|1927755561564288678</stp>
        <tr r="G45" s="446"/>
      </tp>
      <tp t="s">
        <v>#N/A Requesting Data...4290860700</v>
        <stp/>
        <stp>BDP|3284843281913962260</stp>
        <tr r="C8" s="2"/>
      </tp>
      <tp t="s">
        <v>#N/A Requesting Data...3973658396</v>
        <stp/>
        <stp>BDP|5871188314703840456</stp>
        <tr r="L11" s="338"/>
        <tr r="J11" s="338"/>
      </tp>
      <tp t="s">
        <v>#N/A Requesting Data...4188036307</v>
        <stp/>
        <stp>BDP|5728718823292467081</stp>
        <tr r="S20" s="2"/>
        <tr r="S6" s="2"/>
        <tr r="S18" s="2"/>
        <tr r="L12" s="1"/>
        <tr r="L13" s="1"/>
        <tr r="L14" s="1"/>
        <tr r="L15" s="1"/>
        <tr r="L16" s="1"/>
        <tr r="L17" s="1"/>
        <tr r="L18" s="1"/>
        <tr r="L19" s="1"/>
        <tr r="L21" s="1"/>
        <tr r="L22" s="1"/>
        <tr r="L23" s="1"/>
        <tr r="L24" s="1"/>
        <tr r="L25" s="1"/>
        <tr r="L26" s="1"/>
        <tr r="L27" s="1"/>
        <tr r="L28" s="1"/>
        <tr r="L29" s="1"/>
        <tr r="L30" s="1"/>
        <tr r="L31" s="1"/>
        <tr r="L32" s="1"/>
        <tr r="L33" s="1"/>
        <tr r="N101" s="89"/>
        <tr r="N102" s="89"/>
        <tr r="N160" s="89"/>
        <tr r="N76" s="89"/>
        <tr r="N82" s="89"/>
        <tr r="N95" s="89"/>
        <tr r="S7" s="2"/>
        <tr r="S8" s="2"/>
        <tr r="S12" s="2"/>
        <tr r="S14" s="2"/>
        <tr r="S15" s="2"/>
        <tr r="S19" s="2"/>
        <tr r="S4" s="2"/>
        <tr r="S5" s="2"/>
        <tr r="N7" s="89"/>
        <tr r="N8" s="89"/>
        <tr r="N13" s="89"/>
        <tr r="N14" s="89"/>
        <tr r="N19" s="89"/>
        <tr r="N20" s="89"/>
        <tr r="N26" s="89"/>
        <tr r="N27" s="89"/>
        <tr r="N33" s="89"/>
        <tr r="N39" s="89"/>
        <tr r="N40" s="89"/>
        <tr r="N49" s="89"/>
        <tr r="N50" s="89"/>
        <tr r="N55" s="89"/>
        <tr r="N56" s="89"/>
        <tr r="N62" s="89"/>
        <tr r="N63" s="89"/>
        <tr r="N68" s="89"/>
        <tr r="N69" s="89"/>
        <tr r="N75" s="89"/>
        <tr r="N81" s="89"/>
        <tr r="N153" s="89"/>
        <tr r="N154" s="89"/>
        <tr r="N169" s="89"/>
        <tr r="N170" s="89"/>
        <tr r="N171" s="89"/>
        <tr r="N180" s="89"/>
        <tr r="N186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S10" s="2"/>
        <tr r="S9" s="2"/>
        <tr r="S17" s="2"/>
        <tr r="S16" s="2"/>
        <tr r="S21" s="2"/>
        <tr r="N236" s="89"/>
        <tr r="S13" s="2"/>
        <tr r="N237" s="89"/>
        <tr r="N34" s="89"/>
        <tr r="S11" s="2"/>
        <tr r="S22" s="2"/>
        <tr r="S23" s="2"/>
      </tp>
      <tp t="s">
        <v>#N/A Requesting Data...3131040361</v>
        <stp/>
        <stp>BDP|5145625159843494775</stp>
        <tr r="P10" s="338"/>
      </tp>
      <tp t="s">
        <v>#N/A Requesting Data...4055926915</v>
        <stp/>
        <stp>BDP|5676239072204174683</stp>
        <tr r="AA233" s="89"/>
        <tr r="Z233" s="89"/>
      </tp>
      <tp t="s">
        <v>#N/A Requesting Data...4083058615</v>
        <stp/>
        <stp>BDP|9919677548080032985</stp>
        <tr r="G44" s="446"/>
      </tp>
      <tp t="s">
        <v>#N/A Requesting Data...4148473518</v>
        <stp/>
        <stp>BDP|3371693940045698635</stp>
        <tr r="V123" s="89"/>
      </tp>
      <tp t="s">
        <v>#N/A Requesting Data...3786592750</v>
        <stp/>
        <stp>BDP|8428913731466273690</stp>
        <tr r="L8" s="252"/>
        <tr r="L8" s="252"/>
      </tp>
      <tp t="s">
        <v>#N/A Requesting Data...3171125426</v>
        <stp/>
        <stp>BDP|4011592665884942197</stp>
        <tr r="Q40" s="338"/>
      </tp>
      <tp t="s">
        <v>#N/A Requesting Data...3593681741</v>
        <stp/>
        <stp>BDP|6223131064210098392</stp>
        <tr r="V14" s="338"/>
      </tp>
      <tp t="s">
        <v>#N/A Requesting Data...3253886785</v>
        <stp/>
        <stp>BDP|2055183718788470887</stp>
        <tr r="Q17" s="338"/>
      </tp>
      <tp t="s">
        <v>#N/A Requesting Data...4195334474</v>
        <stp/>
        <stp>BDP|1858131163537242367</stp>
        <tr r="E7" s="89"/>
      </tp>
      <tp t="s">
        <v>#N/A Requesting Data...3659196429</v>
        <stp/>
        <stp>BDP|3910223521378009966</stp>
        <tr r="N11" s="252"/>
        <tr r="N11" s="252"/>
      </tp>
      <tp t="s">
        <v>#N/A Requesting Data...3505063126</v>
        <stp/>
        <stp>BDP|5024341343609931931</stp>
        <tr r="AJ41" s="338"/>
        <tr r="AJ42" s="338"/>
      </tp>
      <tp t="s">
        <v>#N/A Requesting Data...3708298615</v>
        <stp/>
        <stp>BDP|2109542547769740886</stp>
        <tr r="AI29" s="338"/>
        <tr r="AK29" s="338"/>
      </tp>
      <tp t="s">
        <v>#N/A Requesting Data...3186870716</v>
        <stp/>
        <stp>BDP|3213171497998766175</stp>
        <tr r="E69" s="89"/>
      </tp>
      <tp t="s">
        <v>#N/A Requesting Data...3366643343</v>
        <stp/>
        <stp>BDP|6172070853435387447</stp>
        <tr r="AB25" s="1"/>
      </tp>
      <tp t="s">
        <v>#N/A Requesting Data...3709258783</v>
        <stp/>
        <stp>BDP|4570633414290062103</stp>
        <tr r="E9" s="2"/>
      </tp>
      <tp t="s">
        <v>#N/A Requesting Data...3523405212</v>
        <stp/>
        <stp>BDP|1804270548235247073</stp>
        <tr r="AD6" s="2"/>
      </tp>
      <tp t="s">
        <v>#N/A Requesting Data...3552974225</v>
        <stp/>
        <stp>BDP|4636653477250550732</stp>
        <tr r="G31" s="446"/>
      </tp>
      <tp t="s">
        <v>#N/A Requesting Data...3509325566</v>
        <stp/>
        <stp>BDP|8253339590249692953</stp>
        <tr r="T18" s="2"/>
      </tp>
      <tp t="s">
        <v>#N/A Requesting Data...4000619925</v>
        <stp/>
        <stp>BDP|5714451203842663158</stp>
        <tr r="K8" s="1"/>
      </tp>
      <tp t="s">
        <v>#N/A Requesting Data...2773868945</v>
        <stp/>
        <stp>BDP|5220275554081381113</stp>
        <tr r="AA26" s="89"/>
        <tr r="Z26" s="89"/>
      </tp>
      <tp t="s">
        <v>#N/A Requesting Data...4037725564</v>
        <stp/>
        <stp>BDP|8497933515926378424</stp>
        <tr r="C4" s="2"/>
      </tp>
      <tp t="s">
        <v>#N/A Requesting Data...3815625885</v>
        <stp/>
        <stp>BDP|9949348843808982448</stp>
        <tr r="E153" s="89"/>
      </tp>
      <tp t="s">
        <v>#N/A Requesting Data...3396608210</v>
        <stp/>
        <stp>BDP|4880433377190901556</stp>
        <tr r="E115" s="89"/>
      </tp>
      <tp t="b">
        <v>0</v>
        <stp/>
        <stp>BDH|8987132282560941308</stp>
        <tr r="AS18" s="338"/>
      </tp>
      <tp t="s">
        <v>#N/A Requesting Data...2914741573</v>
        <stp/>
        <stp>BDP|3519061147724655148</stp>
        <tr r="AJ31" s="338"/>
        <tr r="AJ32" s="338"/>
      </tp>
      <tp t="s">
        <v>#N/A Requesting Data...3044322416</v>
        <stp/>
        <stp>BDP|9125333988758543887</stp>
        <tr r="AJ17" s="338"/>
        <tr r="AJ18" s="338"/>
      </tp>
      <tp t="s">
        <v>#N/A Requesting Data...4200541458</v>
        <stp/>
        <stp>BDP|6725335069146326790</stp>
        <tr r="AR19" s="2"/>
      </tp>
      <tp t="s">
        <v>#N/A Requesting Data...2998811381</v>
        <stp/>
        <stp>BDP|7134890756011396990</stp>
        <tr r="L45" s="338"/>
        <tr r="J45" s="338"/>
      </tp>
      <tp t="s">
        <v>#N/A Requesting Data...3830831758</v>
        <stp/>
        <stp>BDP|2307633905712170406</stp>
        <tr r="P46" s="338"/>
      </tp>
      <tp t="s">
        <v>#N/A Requesting Data...2895510551</v>
        <stp/>
        <stp>BDP|4680133340446351531</stp>
        <tr r="Q15" s="338"/>
        <tr r="Q39" s="338"/>
      </tp>
      <tp>
        <v>40.200000000000003</v>
        <stp/>
        <stp>BDP|15948956118125667032|22</stp>
        <stp>SNDK US 02/20/26 C550 Equity</stp>
        <stp>bid</stp>
        <tr r="P21" s="2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Data...4209090466</v>
        <stp/>
        <stp>BDP|2288489672854050620</stp>
        <tr r="E12" s="2"/>
      </tp>
      <tp t="s">
        <v>#N/A Requesting Data...2977271798</v>
        <stp/>
        <stp>BDP|4669365388388290407</stp>
        <tr r="K5" s="1"/>
      </tp>
      <tp t="s">
        <v>#N/A Requesting Data...3864792682</v>
        <stp/>
        <stp>BDP|3647321690603701995</stp>
        <tr r="Q37" s="338"/>
      </tp>
      <tp t="s">
        <v>#N/A Requesting Data...3883864342</v>
        <stp/>
        <stp>BDP|1294995983457020437</stp>
        <tr r="E222" s="89"/>
      </tp>
      <tp t="s">
        <v>#N/A Requesting Data...2710326978</v>
        <stp/>
        <stp>BDP|2591422732557732191</stp>
        <tr r="L34" s="338"/>
        <tr r="L13" s="338"/>
        <tr r="H13" s="338"/>
        <tr r="H34" s="338"/>
      </tp>
      <tp t="s">
        <v>#N/A Requesting Data...3263603849</v>
        <stp/>
        <stp>BDP|3208325823773954213</stp>
        <tr r="K13" s="1"/>
      </tp>
      <tp t="s">
        <v>#N/A Requesting Data...3004163430</v>
        <stp/>
        <stp>BDP|7919916036548158668</stp>
        <tr r="AI9" s="338"/>
        <tr r="AK9" s="338"/>
      </tp>
      <tp t="s">
        <v>#N/A Requesting Data...3241759992</v>
        <stp/>
        <stp>BDP|5970596063913968630</stp>
        <tr r="AG30" s="338"/>
      </tp>
      <tp t="s">
        <v>#N/A Requesting Data...2893257393</v>
        <stp/>
        <stp>BDP|7170630364126625297</stp>
        <tr r="S52" s="338"/>
      </tp>
      <tp t="s">
        <v>#N/A Requesting Data...2967273307</v>
        <stp/>
        <stp>BDP|7115677759757668004</stp>
        <tr r="AC29" s="1"/>
      </tp>
      <tp t="s">
        <v>#N/A Requesting Data...2739875842</v>
        <stp/>
        <stp>BDP|3754293213215371607</stp>
        <tr r="F5" s="446"/>
        <tr r="F6" s="446"/>
        <tr r="AB15" s="1"/>
      </tp>
      <tp t="s">
        <v>#N/A Requesting Data...3445296644</v>
        <stp/>
        <stp>BDP|2213180314153111209</stp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Data...2888305466</v>
        <stp/>
        <stp>BDP|6716369783157547983</stp>
        <tr r="V234" s="89"/>
      </tp>
      <tp t="s">
        <v>#N/A Requesting Data...3506630020</v>
        <stp/>
        <stp>BDP|9588206623063881918</stp>
        <tr r="AF27" s="1"/>
      </tp>
      <tp t="b">
        <v>0</v>
        <stp/>
        <stp>BDH|1566144051902842470</stp>
        <tr r="AM50" s="338"/>
        <tr r="AR34" s="338"/>
        <tr r="AR35" s="338"/>
        <tr r="AM51" s="338"/>
        <tr r="AR37" s="338"/>
        <tr r="AR36" s="338"/>
      </tp>
      <tp t="s">
        <v>#N/A Requesting Data...3574467865</v>
        <stp/>
        <stp>BDP|9390709548618762108</stp>
        <tr r="N6" s="252"/>
        <tr r="N6" s="252"/>
      </tp>
      <tp t="s">
        <v>#N/A Requesting Data...2942118520</v>
        <stp/>
        <stp>BDP|7796453577674837314</stp>
        <tr r="U44" s="338"/>
      </tp>
      <tp t="s">
        <v>#N/A Requesting Data...2755455944</v>
        <stp/>
        <stp>BDP|7961266924697349349</stp>
        <tr r="X36" s="338"/>
      </tp>
      <tp t="s">
        <v>#N/A Requesting Data...3010794201</v>
        <stp/>
        <stp>BDP|7659781264157478228</stp>
        <tr r="D95" s="89"/>
      </tp>
      <tp t="s">
        <v>#N/A Requesting Data...4062975625</v>
        <stp/>
        <stp>BDP|7777047645317887721</stp>
        <tr r="V145" s="89"/>
      </tp>
      <tp t="s">
        <v>#N/A Requesting Data...4280692610</v>
        <stp/>
        <stp>BDP|2793585885519216544</stp>
        <tr r="L19" s="252"/>
        <tr r="L19" s="252"/>
      </tp>
      <tp t="s">
        <v>#N/A Requesting Data...2949886009</v>
        <stp/>
        <stp>BDP|8230930209200509213</stp>
        <tr r="X30" s="338"/>
      </tp>
      <tp t="s">
        <v>#N/A Requesting Data...2746658495</v>
        <stp/>
        <stp>BDP|1490948379404500803</stp>
        <tr r="D153" s="89"/>
      </tp>
      <tp t="s">
        <v>#N/A Requesting Data...3150510155</v>
        <stp/>
        <stp>BDP|2987243114927275566</stp>
        <tr r="E63" s="89"/>
      </tp>
      <tp t="s">
        <v>#N/A Requesting Data...4249988190</v>
        <stp/>
        <stp>BDP|9739316558495716945</stp>
        <tr r="O8" s="89"/>
        <tr r="T11" s="2"/>
      </tp>
      <tp t="s">
        <v>#N/A Requesting Data...3617299340</v>
        <stp/>
        <stp>BDP|6169555274102368514</stp>
        <tr r="S10" s="338"/>
      </tp>
      <tp t="s">
        <v>#N/A Requesting Data...3320260224</v>
        <stp/>
        <stp>BDP|2465258476870377467</stp>
        <tr r="AA122" s="89"/>
        <tr r="Z122" s="89"/>
      </tp>
      <tp t="s">
        <v>#N/A Requesting Data...4036809467</v>
        <stp/>
        <stp>BDP|8020332285295353568</stp>
        <tr r="P32" s="338"/>
      </tp>
      <tp t="b">
        <v>0</v>
        <stp/>
        <stp>BDH|7835612962334117090</stp>
        <tr r="AR11" s="338"/>
      </tp>
      <tp t="b">
        <v>0</v>
        <stp/>
        <stp>BDH|8382512594980061753</stp>
        <tr r="AM42" s="338"/>
        <tr r="AM41" s="338"/>
      </tp>
      <tp t="s">
        <v>#N/A Requesting Data...4042512691</v>
        <stp/>
        <stp>BDP|4723650949187822230</stp>
        <tr r="E20" s="2"/>
      </tp>
      <tp t="s">
        <v>#N/A Requesting Data...4107094369</v>
        <stp/>
        <stp>BDP|3712593953265415595</stp>
        <tr r="K16" s="1"/>
      </tp>
      <tp t="s">
        <v>#N/A Requesting Data...3757425588</v>
        <stp/>
        <stp>BDP|1486674387064710827</stp>
        <tr r="AH55" s="338"/>
        <tr r="AI14" s="338"/>
        <tr r="AI55" s="338"/>
        <tr r="AJ55" s="338"/>
        <tr r="AK14" s="338"/>
        <tr r="AK55" s="338"/>
      </tp>
      <tp t="s">
        <v>#N/A Requesting Data...3181285808</v>
        <stp/>
        <stp>BDP|5888175656914033689</stp>
        <tr r="T13" s="89"/>
        <tr r="AA22" s="2"/>
      </tp>
      <tp t="s">
        <v>#N/A Requesting Data...3469061967</v>
        <stp/>
        <stp>BDP|1111234221652305017</stp>
        <tr r="V8" s="89"/>
        <tr r="AD11" s="2"/>
      </tp>
      <tp t="s">
        <v>#N/A Requesting Data...4049866325</v>
        <stp/>
        <stp>BDP|6109913190467097261</stp>
        <tr r="AG32" s="338"/>
        <tr r="AG46" s="338"/>
        <tr r="AG50" s="338"/>
        <tr r="AG8" s="338"/>
      </tp>
      <tp t="s">
        <v>#N/A Requesting Data...3122763645</v>
        <stp/>
        <stp>BDP|5764387578793708167</stp>
        <tr r="M20" s="252"/>
      </tp>
      <tp t="s">
        <v>#N/A Requesting Data...3115931343</v>
        <stp/>
        <stp>BDP|6515604110606525460</stp>
        <tr r="AC32" s="1"/>
      </tp>
      <tp t="s">
        <v>#N/A Requesting Data...4176287434</v>
        <stp/>
        <stp>BDP|2834421045940985100</stp>
        <tr r="E186" s="89"/>
      </tp>
      <tp t="s">
        <v>#N/A Requesting Data...3457012837</v>
        <stp/>
        <stp>BDP|6555173421444373279</stp>
        <tr r="AI13" s="338"/>
      </tp>
      <tp t="s">
        <v>#N/A Requesting Data...3279443836</v>
        <stp/>
        <stp>BDP|9226344490726854691</stp>
        <tr r="E101" s="89"/>
      </tp>
      <tp t="s">
        <v>#N/A Requesting Data...4061172797</v>
        <stp/>
        <stp>BDP|6281575064076017068</stp>
        <tr r="AC14" s="1"/>
      </tp>
      <tp t="s">
        <v>#N/A Requesting Data...4222106898</v>
        <stp/>
        <stp>BDP|6247087616267870331</stp>
        <tr r="AH29" s="338"/>
        <tr r="AH30" s="338"/>
      </tp>
      <tp t="b">
        <v>0</v>
        <stp/>
        <stp>BDH|4288342671022802181</stp>
        <tr r="AM16" s="338"/>
        <tr r="AM40" s="338"/>
        <tr r="AM38" s="338"/>
      </tp>
      <tp t="s">
        <v>#N/A Requesting Data...4186750481</v>
        <stp/>
        <stp>BDP|4307029492407618910</stp>
        <tr r="AK45" s="338"/>
      </tp>
      <tp t="s">
        <v>#N/A Requesting Data...3888258954</v>
        <stp/>
        <stp>BDP|8245865345547421013</stp>
        <tr r="D30" s="446"/>
        <tr r="AC19" s="1"/>
      </tp>
      <tp t="b">
        <v>0</v>
        <stp/>
        <stp>BDH|5650443741116717010</stp>
        <tr r="AS37" s="338"/>
        <tr r="AS34" s="338"/>
        <tr r="AN50" s="338"/>
        <tr r="AS36" s="338"/>
        <tr r="AN51" s="338"/>
        <tr r="AS35" s="338"/>
      </tp>
      <tp>
        <v>20.75</v>
        <stp/>
        <stp>BDP|15445659143445538222|22</stp>
        <stp>AMZN US 07/17/26 C245 Equity</stp>
        <stp>mid</stp>
        <tr r="L6" s="2"/>
      </tp>
      <tp>
        <v>73.831900000000005</v>
        <stp/>
        <stp>BDP|8491242153513196784|22</stp>
        <stp>SHEL Equity</stp>
        <stp>LAST PRICE</stp>
        <tr r="I30" s="338"/>
      </tp>
      <tp>
        <v>66</v>
        <stp/>
        <stp>BDP|18176311034118889492|22</stp>
        <stp>META US 07/17/26 C670 Equity</stp>
        <stp>ask</stp>
        <tr r="Q13" s="2"/>
      </tp>
      <tp t="s">
        <v>#N/A Real Time</v>
        <stp/>
        <stp>BDP|176778424576207183|22</stp>
        <stp>4OK5C 21650 Index</stp>
        <stp>QUOTED_CURRENCY_REALTIME</stp>
        <tr r="F116" s="89"/>
      </tp>
      <tp>
        <v>0.5806538462638855</v>
        <stp/>
        <stp>BDP|7395650229456682116|22</stp>
        <stp>COPX US 07/17/26 C85 Equity</stp>
        <stp>DELTA_MID_RT</stp>
        <tr r="W26" s="89"/>
      </tp>
      <tp>
        <v>465.39499999999998</v>
        <stp/>
        <stp>BDP|9988051122657863096|22</stp>
        <stp>MSFT US Equity</stp>
        <stp>LAST_PRICE</stp>
        <tr r="Z19" s="2"/>
        <tr r="Z18" s="2"/>
        <tr r="S235" s="89"/>
      </tp>
      <tp>
        <v>20.85</v>
        <stp/>
        <stp>BDP|13077608409888620624|22</stp>
        <stp>NVDA US 07/17/26 C195 Equity</stp>
        <stp>bid</stp>
        <tr r="K237" s="89"/>
      </tp>
      <tp>
        <v>-0.1077471449971199</v>
        <stp/>
        <stp>BDP|12098786877158670568|22</stp>
        <stp>TSM US 06/18/26 C340 Equity</stp>
        <stp>theta_mid_rt</stp>
        <tr r="AN22" s="2"/>
      </tp>
      <tp>
        <v>6.25</v>
        <stp/>
        <stp>BDP|15563065055018194263|22</stp>
        <stp>INTC US 07/17/26 C50 Equity</stp>
        <stp>ask</stp>
        <tr r="L196" s="89"/>
      </tp>
      <tp>
        <v>465.39499999999998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USD</v>
        <stp/>
        <stp>BDP|15807974610555755775|22</stp>
        <stp>MRVL US 03/20/26 P85 Equity</stp>
        <stp>QUOTED_CURRENCY_REALTIME</stp>
        <tr r="G14" s="2"/>
      </tp>
      <tp>
        <v>9160.81</v>
        <stp/>
        <stp>BDP|8345363860153837789|22</stp>
        <stp>HSCEI Index</stp>
        <stp>LAST_PRICE</stp>
        <tr r="H19" s="252"/>
        <tr r="H19" s="252"/>
      </tp>
      <tp>
        <v>2.7</v>
        <stp/>
        <stp>BDP|16635244585526588457|22</stp>
        <stp>MRVL US 03/20/26 P70 Equity</stp>
        <stp>mid</stp>
        <tr r="L17" s="2"/>
      </tp>
      <tp>
        <v>13.75</v>
        <stp/>
        <stp>BDP|11549499930516457816|22</stp>
        <stp>AVGO US 06/18/26 C410 Equity</stp>
        <stp>bid</stp>
        <tr r="K222" s="89"/>
      </tp>
      <tp>
        <v>9.32</v>
        <stp/>
        <stp>BDP|16199323523634865039|22</stp>
        <stp>MRVL US 03/20/26 P85 Equity</stp>
        <stp>mid</stp>
        <tr r="L14" s="2"/>
      </tp>
      <tp>
        <v>28.75</v>
        <stp/>
        <stp>BDP|17652529992752880187|22</stp>
        <stp>AVGO US 06/18/26 C350 Equity</stp>
        <stp>bid</stp>
        <tr r="P8" s="2"/>
        <tr r="K223" s="89"/>
      </tp>
      <tp t="s">
        <v>#N/A N/A</v>
        <stp/>
        <stp>BDP|12982360288409292275|22</stp>
        <stp>QQQ US 01/21/26 P614 Equity</stp>
        <stp>bid</stp>
        <tr r="K82" s="89"/>
      </tp>
      <tp t="s">
        <v>USD</v>
        <stp/>
        <stp>BDP|11891209975622672099|22</stp>
        <stp>COPX US 07/17/26 C85 Equity</stp>
        <stp>QUOTED_CURRENCY_REALTIME</stp>
        <tr r="F26" s="89"/>
      </tp>
      <tp>
        <v>-0.27643418312072754</v>
        <stp/>
        <stp>BDP|10737379893704481400|22</stp>
        <stp>QQQ US 02/06/26 C630 Equity</stp>
        <stp>theta_mid_rt</stp>
        <tr r="AN20" s="2"/>
      </tp>
      <tp t="s">
        <v>USD</v>
        <stp/>
        <stp>BDP|15044284398524356946|22</stp>
        <stp>GOOG US 07/17/26 C350 Equity</stp>
        <stp>QUOTED_CURRENCY_REALTIME</stp>
        <tr r="F236" s="89"/>
      </tp>
      <tp>
        <v>0.2</v>
        <stp/>
        <stp>BDP|15901604230708554053|22</stp>
        <stp>ASHR US 02/20/26 C35 Equity</stp>
        <stp>mid</stp>
        <tr r="L7" s="2"/>
      </tp>
      <tp t="s">
        <v>USD</v>
        <stp/>
        <stp>BDP|14649358559893085324|22</stp>
        <stp>AVGO US 06/18/26 C350 Equity</stp>
        <stp>QUOTED_CURRENCY_REALTIME</stp>
        <tr r="G8" s="2"/>
        <tr r="F223" s="89"/>
      </tp>
      <tp>
        <v>2.77</v>
        <stp/>
        <stp>BDP|15925931344332195569|22</stp>
        <stp>MRVL US 03/20/26 P70 Equity</stp>
        <stp>ask</stp>
        <tr r="L63" s="89"/>
        <tr r="Q17" s="2"/>
      </tp>
      <tp t="s">
        <v>#N/A N/A</v>
        <stp/>
        <stp>BDP|12264126630304816436|22</stp>
        <stp>INTC US 01/23/26 C60 Equity</stp>
        <stp>bid</stp>
        <tr r="K39" s="89"/>
      </tp>
      <tp>
        <v>6.9</v>
        <stp/>
        <stp>BDP|17404936714910098540|22</stp>
        <stp>COPX US 07/17/26 C95 Equity</stp>
        <stp>bid</stp>
        <tr r="K27" s="89"/>
      </tp>
      <tp>
        <v>9.25</v>
        <stp/>
        <stp>BDP|10246542437065037496|22</stp>
        <stp>MRVL US 03/20/26 P85 Equity</stp>
        <stp>bid</stp>
        <tr r="P14" s="2"/>
      </tp>
      <tp>
        <v>38.979999999999997</v>
        <stp/>
        <stp>BDP|14923566581869928569|22</stp>
        <stp>MSFT US 07/17/26 C465 Equity</stp>
        <stp>mid</stp>
        <tr r="L18" s="2"/>
      </tp>
      <tp>
        <v>0.01</v>
        <stp/>
        <stp>BDP|12180772487662365704|22</stp>
        <stp>QQQ US 01/21/26 P614 Equity</stp>
        <stp>ask</stp>
        <tr r="L82" s="89"/>
      </tp>
      <tp>
        <v>1.66</v>
        <stp/>
        <stp>BDP|10445519633806217931|22</stp>
        <stp>QQQ US 01/15/26 P623 Equity</stp>
        <stp>bid</stp>
        <tr r="K68" s="89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BDP|12824514964480891397|22</stp>
        <stp>SNDK US 02/20/26 C550 Equity</stp>
        <stp>QUOTED_CURRENCY_REALTIME</stp>
        <tr r="G21" s="2"/>
      </tp>
      <tp>
        <v>17.600000000000001</v>
        <stp/>
        <stp>BDP|982929759879592273|22</stp>
        <stp>TSM US 06/18/26 C380 Equity</stp>
        <stp>bid</stp>
        <tr r="K14" s="89"/>
        <tr r="P23" s="2"/>
      </tp>
      <tp>
        <v>6.45</v>
        <stp/>
        <stp>BDP|12289700020985263311|22</stp>
        <stp>MRVL US 03/20/26 P80 Equity</stp>
        <stp>bid</stp>
        <tr r="K62" s="89"/>
        <tr r="P16" s="2"/>
      </tp>
      <tp>
        <v>688.43150000000003</v>
        <stp/>
        <stp>BDP|12318182968788510555|22</stp>
        <stp>NDEUCHF Index</stp>
        <stp>LAST_PRICE</stp>
        <tr r="H16" s="252"/>
        <tr r="H16" s="252"/>
      </tp>
      <tp>
        <v>0.06</v>
        <stp/>
        <stp>BDP|17948842076370571403|22</stp>
        <stp>AMAT US 01/23/26 P280 Equity</stp>
        <stp>mid</stp>
        <tr r="L5" s="2"/>
      </tp>
      <tp>
        <v>331.75</v>
        <stp/>
        <stp>BDP|2010687940946133293|22</stp>
        <stp>GOOG US Equity</stp>
        <stp>LAST_PRICE</stp>
        <tr r="S236" s="89"/>
      </tp>
      <tp>
        <v>465.39499999999998</v>
        <stp/>
        <stp>BDP|1912830234697829517|22</stp>
        <stp>MSFT Equity</stp>
        <stp>LAST_PRICE</stp>
        <tr r="I19" s="1"/>
      </tp>
      <tp>
        <v>0.11</v>
        <stp/>
        <stp>BDP|13025211079997579337|22</stp>
        <stp>QQQ US 01/23/26 P615 Equity</stp>
        <stp>ask</stp>
        <tr r="L75" s="89"/>
      </tp>
      <tp>
        <v>16.3</v>
        <stp/>
        <stp>BDP|10919516749140731717|22</stp>
        <stp>GDX US 09/18/26 C105 Equity</stp>
        <stp>bid</stp>
        <tr r="P9" s="2"/>
      </tp>
      <tp>
        <v>-0.18311296403408051</v>
        <stp/>
        <stp>BDP|9297989812730662657|22</stp>
        <stp>META US 07/17/26 C670 Equity</stp>
        <stp>theta_mid_rt</stp>
        <tr r="AN13" s="2"/>
      </tp>
      <tp>
        <v>5.85</v>
        <stp/>
        <stp>BDP|13311646445697039992|22</stp>
        <stp>QQQ US 02/06/26 P616 Equity</stp>
        <stp>bid</stp>
        <tr r="K81" s="89"/>
      </tp>
      <tp>
        <v>105.09</v>
        <stp/>
        <stp>BDP|11511261369815685982|22</stp>
        <stp>QQQE EQUITY</stp>
        <stp>LAST_PRICE</stp>
        <tr r="I7" s="1"/>
      </tp>
      <tp>
        <v>0.01</v>
        <stp/>
        <stp>BDP|11359973885359690374|22</stp>
        <stp>INTC US 01/23/26 C60 Equity</stp>
        <stp>ask</stp>
        <tr r="L39" s="89"/>
      </tp>
      <tp>
        <v>85.504999999999995</v>
        <stp/>
        <stp>BDP|8263106965958046051|22</stp>
        <stp>NFLX US Equity</stp>
        <stp>LAST_PRICE</stp>
        <tr r="S187" s="89"/>
        <tr r="S188" s="89"/>
        <tr r="S186" s="89"/>
      </tp>
      <tp>
        <v>6.7</v>
        <stp/>
        <stp>BDP|12374218908081165086|22</stp>
        <stp>NFLX US 03/20/26 P90 Equity</stp>
        <stp>ask</stp>
        <tr r="L187" s="89"/>
      </tp>
      <tp>
        <v>-0.26145914196968079</v>
        <stp/>
        <stp>BDP|6852050318923921669|22</stp>
        <stp>NFLX US 03/20/26 P80 Equity</stp>
        <stp>DELTA_MID_RT</stp>
        <tr r="W188" s="89"/>
      </tp>
      <tp>
        <v>0.56999999999999995</v>
        <stp/>
        <stp>BDP|12587604460477320021|22</stp>
        <stp>QQQ US 01/26/26 P615 Equity</stp>
        <stp>ask</stp>
        <tr r="L213" s="89"/>
      </tp>
      <tp>
        <v>-6.1556082218885422E-2</v>
        <stp/>
        <stp>BDP|7470906167311467275|22</stp>
        <stp>AMZN US 07/17/26 C245 Equity</stp>
        <stp>theta_mid_rt</stp>
        <tr r="AN6" s="2"/>
      </tp>
      <tp t="s">
        <v>#N/A N/A</v>
        <stp/>
        <stp>BDP|47883857911709246</stp>
        <tr r="AV9" s="2"/>
        <tr r="AV10" s="2"/>
      </tp>
      <tp t="s">
        <v>#N/A Requesting Data...2861626768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-4.7864165157079697E-2</v>
        <stp/>
        <stp>BDP|7284956293389292495|22</stp>
        <stp>ASML US 01/23/26 P1100 Equity</stp>
        <stp>DELTA_MID_RT</stp>
        <tr r="W50" s="89"/>
      </tp>
      <tp>
        <v>4.33</v>
        <stp/>
        <stp>BDP|14841963169371507253|22</stp>
        <stp>MRVL US 03/20/26 P75 Equity</stp>
        <stp>mid</stp>
        <tr r="L15" s="2"/>
      </tp>
      <tp>
        <v>248.16</v>
        <stp/>
        <stp>BDP|13852632459561529635|22</stp>
        <stp>AAPL EQUITY</stp>
        <stp>LAST_PRICE</stp>
        <tr r="C6" s="1"/>
      </tp>
      <tp>
        <v>36760.959999999999</v>
        <stp/>
        <stp>BDP|4029547894834693880|22</stp>
        <stp>TXIN0UNU Index</stp>
        <stp>LAST_PRICE</stp>
        <tr r="H10" s="252"/>
        <tr r="H10" s="252"/>
      </tp>
      <tp t="s">
        <v>#N/A Requesting Data...3663582260</v>
        <stp/>
        <stp>BDP|73932557134530954</stp>
        <tr r="T21" s="2"/>
      </tp>
      <tp>
        <v>525.63</v>
        <stp/>
        <stp>BDP|9828940858298145952|22</stp>
        <stp>MA Equity</stp>
        <stp>LAST PRICE</stp>
        <tr r="G16" s="338"/>
        <tr r="G38" s="338"/>
        <tr r="G40" s="338"/>
      </tp>
      <tp>
        <v>162.43</v>
        <stp/>
        <stp>BDP|7581686725725045071|22</stp>
        <stp>BIDU Equity</stp>
        <stp>LAST_PRICE</stp>
        <tr r="I13" s="1"/>
      </tp>
      <tp t="s">
        <v>#N/A Real Time</v>
        <stp/>
        <stp>BDP|790178945972254236|22</stp>
        <stp>IMBWK5C4 5840 Index</stp>
        <stp>QUOTED_CURRENCY_REALTIME</stp>
        <tr r="F89" s="89"/>
      </tp>
      <tp t="s">
        <v>USD</v>
        <stp/>
        <stp>BDP|13270901624241508025|22</stp>
        <stp>AMAT US 01/23/26 P280 Equity</stp>
        <stp>QUOTED_CURRENCY_REALTIME</stp>
        <tr r="G5" s="2"/>
        <tr r="F56" s="89"/>
      </tp>
      <tp>
        <v>4.4000000000000004</v>
        <stp/>
        <stp>BDP|17311283871303777118|22</stp>
        <stp>MRVL US 03/20/26 P75 Equity</stp>
        <stp>ask</stp>
        <tr r="Q15" s="2"/>
      </tp>
      <tp>
        <v>0.08</v>
        <stp/>
        <stp>BDP|11546932509834899026|22</stp>
        <stp>AMAT US 01/23/26 P290 Equity</stp>
        <stp>ask</stp>
        <tr r="Q4" s="2"/>
        <tr r="L55" s="89"/>
      </tp>
      <tp>
        <v>14</v>
        <stp/>
        <stp>BDP|13407383351402000483|22</stp>
        <stp>AVGO US 06/18/26 C410 Equity</stp>
        <stp>ask</stp>
        <tr r="L222" s="89"/>
      </tp>
      <tp>
        <v>187.655</v>
        <stp/>
        <stp>BDP|2630581548609766860|22</stp>
        <stp>NVDA US Equity</stp>
        <stp>LAST_PRICE</stp>
        <tr r="S237" s="89"/>
      </tp>
      <tp>
        <v>38.85</v>
        <stp/>
        <stp>BDP|10055912377823628920|22</stp>
        <stp>MSFT US 07/17/26 C465 Equity</stp>
        <stp>bid</stp>
        <tr r="P18" s="2"/>
      </tp>
      <tp t="s">
        <v>USD</v>
        <stp/>
        <stp>BDP|16004856901519448852|22</stp>
        <stp>INTC US 07/17/26 C60 Equity</stp>
        <stp>QUOTED_CURRENCY_REALTIME</stp>
        <tr r="F195" s="89"/>
      </tp>
      <tp>
        <v>331.38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479.55</v>
        <stp/>
        <stp>BDP|16804995271076659285|22</stp>
        <stp>BRK/B Equity</stp>
        <stp>LAST PRICE</stp>
        <tr r="I18" s="338"/>
      </tp>
      <tp>
        <v>9.4</v>
        <stp/>
        <stp>BDP|13966874951199659074|22</stp>
        <stp>MRVL US 03/20/26 P85 Equity</stp>
        <stp>ask</stp>
        <tr r="Q14" s="2"/>
      </tp>
      <tp>
        <v>29</v>
        <stp/>
        <stp>BDP|16021407028720881249|22</stp>
        <stp>AVGO US 06/18/26 C350 Equity</stp>
        <stp>ask</stp>
        <tr r="Q8" s="2"/>
        <tr r="L223" s="89"/>
      </tp>
      <tp>
        <v>188.64</v>
        <stp/>
        <stp>BDP|6290765801174780597|22</stp>
        <stp>WDAY Equity</stp>
        <stp>LAST PRICE</stp>
        <tr r="L10" s="446"/>
      </tp>
      <tp>
        <v>16.75</v>
        <stp/>
        <stp>BDP|13310992897897785440|22</stp>
        <stp>META US 04/17/26 P590 Equity</stp>
        <stp>ask</stp>
        <tr r="L171" s="89"/>
      </tp>
      <tp>
        <v>6920.51</v>
        <stp/>
        <stp>BDP|2596990609892593565|22</stp>
        <stp>SPX Index</stp>
        <stp>LAST_PRICE</stp>
        <tr r="S160" s="89"/>
      </tp>
      <tp>
        <v>1.8</v>
        <stp/>
        <stp>BDP|17731858862065377261|22</stp>
        <stp>QQQ US 01/15/26 P623 Equity</stp>
        <stp>ask</stp>
        <tr r="L68" s="89"/>
      </tp>
      <tp t="s">
        <v>USD</v>
        <stp/>
        <stp>BDP|12072774544118535624|22</stp>
        <stp>COPX US 07/17/26 C95 Equity</stp>
        <stp>QUOTED_CURRENCY_REALTIME</stp>
        <tr r="F27" s="89"/>
      </tp>
      <tp>
        <v>7950.19</v>
        <stp/>
        <stp>BDP|17372378885504057467|22</stp>
        <stp>CSIN0301 Index</stp>
        <stp>LAST_PRICE</stp>
        <tr r="H7" s="252"/>
        <tr r="H7" s="252"/>
      </tp>
      <tp>
        <v>11.7</v>
        <stp/>
        <stp>BDP|14669267509954598346|22</stp>
        <stp>COPX US 07/17/26 C85 Equity</stp>
        <stp>ask</stp>
        <tr r="L26" s="89"/>
      </tp>
      <tp>
        <v>4.4000000000000004</v>
        <stp/>
        <stp>BDP|13597004490224731529|22</stp>
        <stp>COPX US 04/17/26 C95 Equity</stp>
        <stp>ask</stp>
        <tr r="L34" s="89"/>
      </tp>
      <tp>
        <v>21</v>
        <stp/>
        <stp>BDP|11464015968203804117|22</stp>
        <stp>NVDA US 07/17/26 C195 Equity</stp>
        <stp>ask</stp>
        <tr r="L237" s="89"/>
      </tp>
      <tp>
        <v>237.66499999999999</v>
        <stp/>
        <stp>BDP|12911088506019095722|22</stp>
        <stp>AMZN EQUITY</stp>
        <stp>LAST_PRICE</stp>
        <tr r="C5" s="1"/>
      </tp>
      <tp>
        <v>5.2896000000000001</v>
        <stp/>
        <stp>BDP|10515480241315630363|22</stp>
        <stp>brl Curncy</stp>
        <stp>LAST_PRICE</stp>
        <tr r="AC3" s="1"/>
      </tp>
      <tp t="s">
        <v>USD</v>
        <stp/>
        <stp>BDP|13998573931045965631|22</stp>
        <stp>MSFT US 03/20/26 P465 Equity</stp>
        <stp>QUOTED_CURRENCY_REALTIME</stp>
        <tr r="G19" s="2"/>
      </tp>
      <tp>
        <v>1.85</v>
        <stp/>
        <stp>BDP|11810525163719928784|22</stp>
        <stp>NFLX US 03/20/26 P80 Equity</stp>
        <stp>ask</stp>
        <tr r="L188" s="89"/>
      </tp>
      <tp>
        <v>187.655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USD</v>
        <stp/>
        <stp>BDP|16444905054810691269|22</stp>
        <stp>COPX US 04/17/26 C95 Equity</stp>
        <stp>QUOTED_CURRENCY_REALTIME</stp>
        <tr r="F34" s="89"/>
      </tp>
      <tp t="s">
        <v>#N/A Real Time</v>
        <stp/>
        <stp>BDP|17873404787619933773|22</stp>
        <stp>IMBWK5C4 5840 Index</stp>
        <stp>DELTA_MID_RT</stp>
        <tr r="W89" s="89"/>
      </tp>
      <tp>
        <v>35.6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Data...4180029755</v>
        <stp/>
        <stp>BDP|751520279507684047</stp>
        <tr r="X40" s="338"/>
      </tp>
      <tp t="s">
        <v>#N/A Requesting Data...2932965298</v>
        <stp/>
        <stp>BDP|196285167087372652</stp>
        <tr r="O19" s="89"/>
      </tp>
      <tp t="s">
        <v>#N/A Requesting Data...3463045475</v>
        <stp/>
        <stp>BDP|711948671629350257</stp>
        <tr r="E19" s="89"/>
      </tp>
      <tp t="s">
        <v>#N/A Requesting Data...3043045057</v>
        <stp/>
        <stp>BDP|388535741046312222</stp>
        <tr r="O213" s="89"/>
      </tp>
      <tp t="s">
        <v>#N/A Requesting Data...3693061483</v>
        <stp/>
        <stp>BDP|520527012585306457</stp>
        <tr r="G18" s="446"/>
      </tp>
      <tp t="s">
        <v>#N/A Requesting Data...2998860510</v>
        <stp/>
        <stp>BDP|430169056667283651</stp>
        <tr r="T153" s="89"/>
      </tp>
      <tp t="s">
        <v>#N/A Real Time</v>
        <stp/>
        <stp>BDP|5677808555437609123|22</stp>
        <stp>4OK5C 21650 Index</stp>
        <stp>bid</stp>
        <tr r="K116" s="89"/>
      </tp>
      <tp>
        <v>0.53253519535064697</v>
        <stp/>
        <stp>BDP|1582912119927825825|22</stp>
        <stp>NVDA US 07/17/26 C195 Equity</stp>
        <stp>DELTA_MID_RT</stp>
        <tr r="W237" s="89"/>
      </tp>
      <tp>
        <v>215.57</v>
        <stp/>
        <stp>BDP|15031025441735979532|22</stp>
        <stp>RDDT Equity</stp>
        <stp>LAST PRICE</stp>
        <tr r="L11" s="446"/>
      </tp>
      <tp>
        <v>20.8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Data...3724524268</v>
        <stp/>
        <stp>BDP|608595985359488024</stp>
        <tr r="AH13" s="338"/>
        <tr r="AH34" s="338"/>
        <tr r="AJ13" s="338"/>
        <tr r="AJ34" s="338"/>
      </tp>
      <tp t="b">
        <v>0</v>
        <stp/>
        <stp>BDH|852404415697419661</stp>
        <tr r="AP33" s="338"/>
        <tr r="AP10" s="338"/>
        <tr r="AP11" s="338"/>
      </tp>
      <tp t="s">
        <v>#N/A Requesting Data...3752211322</v>
        <stp/>
        <stp>BDP|654074041248648893</stp>
        <tr r="D13" s="89"/>
      </tp>
      <tp t="s">
        <v>#N/A Requesting Data...3388433435</v>
        <stp/>
        <stp>BDP|707708639631714132</stp>
        <tr r="E234" s="89"/>
      </tp>
      <tp t="s">
        <v>#N/A Requesting Data...3406471354</v>
        <stp/>
        <stp>BDP|179535275676098042</stp>
        <tr r="C75" s="89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b">
        <v>0</v>
        <stp/>
        <stp>BDH|716481932259001934</stp>
        <tr r="AS40" s="338"/>
        <tr r="AN15" s="338"/>
        <tr r="AN39" s="338"/>
      </tp>
      <tp t="s">
        <v>#N/A Requesting Data...3127977076</v>
        <stp/>
        <stp>BDP|686234847331911027</stp>
        <tr r="G17" s="446"/>
      </tp>
      <tp t="s">
        <v>#N/A Requesting Data...3493963156</v>
        <stp/>
        <stp>BDP|845945561529258153</stp>
        <tr r="X37" s="338"/>
      </tp>
      <tp t="s">
        <v>#N/A Requesting Data...3735134362</v>
        <stp/>
        <stp>BDP|719080694298469649</stp>
        <tr r="F12" s="2"/>
      </tp>
      <tp t="s">
        <v>#N/A Requesting Data...3070988490</v>
        <stp/>
        <stp>BDP|408762416568436914</stp>
        <tr r="T116" s="89"/>
      </tp>
      <tp t="s">
        <v>#N/A Requesting Data...3921892628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5798.01</v>
        <stp/>
        <stp>BDP|7715274099356745424|22</stp>
        <stp>HSTECH Index</stp>
        <stp>LAST_PRICE</stp>
        <tr r="H14" s="252"/>
        <tr r="H14" s="252"/>
      </tp>
      <tp t="s">
        <v>USD</v>
        <stp/>
        <stp>BDP|4840786825641566887|22</stp>
        <stp>QQQ US 01/16/26 P622 Equity</stp>
        <stp>QUOTED_CURRENCY_REALTIME</stp>
        <tr r="F205" s="89"/>
      </tp>
      <tp>
        <v>689.65499999999997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Data...3181325098</v>
        <stp/>
        <stp>BDP|780556548910196765</stp>
        <tr r="L52" s="338"/>
        <tr r="L53" s="338"/>
        <tr r="L54" s="338"/>
        <tr r="H52" s="338"/>
        <tr r="H53" s="338"/>
        <tr r="H54" s="338"/>
      </tp>
      <tp t="s">
        <v>#N/A Requesting Data...3915224641</v>
        <stp/>
        <stp>BDP|729521579226123201</stp>
        <tr r="C236" s="89"/>
      </tp>
      <tp t="s">
        <v>#N/A Requesting Data...3686351471</v>
        <stp/>
        <stp>BDP|619052234926942338</stp>
        <tr r="O49" s="89"/>
      </tp>
      <tp t="s">
        <v>#N/A Requesting Data...3334915142</v>
        <stp/>
        <stp>BDP|703780504329627859</stp>
        <tr r="AI18" s="1"/>
      </tp>
      <tp t="s">
        <v>#N/A Requesting Data...4184503446</v>
        <stp/>
        <stp>BDP|107389883329186412</stp>
        <tr r="L15" s="338"/>
        <tr r="L39" s="338"/>
        <tr r="L40" s="338"/>
        <tr r="H15" s="338"/>
        <tr r="H39" s="338"/>
        <tr r="J40" s="338"/>
      </tp>
      <tp t="s">
        <v>#N/A Requesting Data...3581279953</v>
        <stp/>
        <stp>BDP|294565388632351941</stp>
        <tr r="V75" s="89"/>
      </tp>
      <tp t="s">
        <v>#N/A Requesting Data...3326860096</v>
        <stp/>
        <stp>BDP|401793265137407081</stp>
        <tr r="T186" s="89"/>
      </tp>
      <tp t="s">
        <v>#N/A Real Time</v>
        <stp/>
        <stp>BDP|7287440995933707632|22</stp>
        <stp>4OK5C 21650 Index</stp>
        <stp>ask</stp>
        <tr r="L116" s="89"/>
      </tp>
      <tp>
        <v>177.79</v>
        <stp/>
        <stp>BDP|7132801475716187902|22</stp>
        <stp>ORCL EQUITY</stp>
        <stp>LAST_PRICE</stp>
        <tr r="C10" s="1"/>
      </tp>
      <tp t="s">
        <v>#N/A Requesting Data...3170991230</v>
        <stp/>
        <stp>BDP|930699410161740793</stp>
        <tr r="C13" s="89"/>
        <tr r="D22" s="2"/>
      </tp>
      <tp t="s">
        <v>#N/A Requesting Data...4277525137</v>
        <stp/>
        <stp>BDP|517543108217561323</stp>
        <tr r="P53" s="338"/>
      </tp>
      <tp t="s">
        <v>#N/A Requesting Data...4209993998</v>
        <stp/>
        <stp>BDP|244764414260319781</stp>
        <tr r="O18" s="252"/>
      </tp>
      <tp t="s">
        <v>#N/A Requesting Data...3730757227</v>
        <stp/>
        <stp>BDP|896518566545118787</stp>
        <tr r="Z102" s="89"/>
        <tr r="AA102" s="89"/>
      </tp>
      <tp>
        <v>144.5</v>
        <stp/>
        <stp>BDP|6927728524882210324|22</stp>
        <stp>1OG6P 25000 Index</stp>
        <stp>bid</stp>
        <tr r="K154" s="89"/>
      </tp>
      <tp t="s">
        <v>USD</v>
        <stp/>
        <stp>BDP|2761866802597687479|22</stp>
        <stp>TSM US 07/17/26 C340 Equity</stp>
        <stp>QUOTED_CURRENCY_REALTIME</stp>
        <tr r="F19" s="89"/>
      </tp>
      <tp t="s">
        <v>USD</v>
        <stp/>
        <stp>BDP|8637154452701464385|22</stp>
        <stp>QQQ US 01/16/26 C635 Equity</stp>
        <stp>QUOTED_CURRENCY_REALTIME</stp>
        <tr r="F203" s="89"/>
      </tp>
      <tp t="s">
        <v>#N/A N/A</v>
        <stp/>
        <stp>BDP|7187799250672940682|22</stp>
        <stp>QQQ US 01/16/26 C633 Equity</stp>
        <stp>bid</stp>
        <tr r="K204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Data...4183176207</v>
        <stp/>
        <stp>BDP|739245098392147969</stp>
        <tr r="AG24" s="1"/>
      </tp>
      <tp t="s">
        <v>#N/A Requesting Data...3594003322</v>
        <stp/>
        <stp>BDP|999131207671054040</stp>
        <tr r="P55" s="338"/>
      </tp>
      <tp t="s">
        <v>#N/A Requesting Data...3637035786</v>
        <stp/>
        <stp>BDP|798980087638306908</stp>
        <tr r="K4" s="1"/>
      </tp>
      <tp t="s">
        <v>#N/A Requesting Data...3789095863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198.81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Data...3784440267</v>
        <stp/>
        <stp>BDP|400489739133855744</stp>
        <tr r="AF20" s="1"/>
      </tp>
      <tp t="s">
        <v>#N/A Requesting Data...3578320109</v>
        <stp/>
        <stp>BDP|103387833183780070</stp>
        <tr r="AA108" s="89"/>
        <tr r="Z108" s="89"/>
      </tp>
      <tp t="b">
        <v>0</v>
        <stp/>
        <stp>BDH|604306822734792677</stp>
        <tr r="AN9" s="338"/>
        <tr r="AN8" s="338"/>
      </tp>
      <tp>
        <v>85</v>
        <stp/>
        <stp>BDP|6244681688337820540|22</stp>
        <stp>KBWB EQUITY</stp>
        <stp>LAST_PRICE</stp>
        <tr r="I1" s="1"/>
      </tp>
      <tp>
        <v>17.02</v>
        <stp/>
        <stp>BDP|11593899381746563402|22</stp>
        <stp>RIOT Equity</stp>
        <stp>LAST_PRICE</stp>
        <tr r="I30" s="1"/>
      </tp>
      <tp>
        <v>0.33</v>
        <stp/>
        <stp>BDP|6830662576007075756|22</stp>
        <stp>QQQ US 01/26/26 C630 Equity</stp>
        <stp>bid</stp>
        <tr r="K211" s="89"/>
      </tp>
      <tp>
        <v>0.01</v>
        <stp/>
        <stp>BDP|5446023781941606213|22</stp>
        <stp>QQQ US 01/16/26 C635 Equity</stp>
        <stp>ask</stp>
        <tr r="L203" s="89"/>
      </tp>
      <tp>
        <v>18.600000000000001</v>
        <stp/>
        <stp>BDP|7303697284640564666|22</stp>
        <stp>TSM US 06/18/26 C380 Equity</stp>
        <stp>ask</stp>
        <tr r="L14" s="89"/>
        <tr r="Q23" s="2"/>
      </tp>
      <tp>
        <v>22.7</v>
        <stp/>
        <stp>BDP|3151677417243031834|22</stp>
        <stp>TSM US 07/17/26 C380 Equity</stp>
        <stp>ask</stp>
        <tr r="L20" s="89"/>
      </tp>
      <tp t="s">
        <v>#N/A Requesting Data...3785176609</v>
        <stp/>
        <stp>BDP|450712038053400567</stp>
        <tr r="AG12" s="1"/>
      </tp>
      <tp>
        <v>101.25</v>
        <stp/>
        <stp>BDP|7820913280735072569|22</stp>
        <stp>1OG6P 24700 Index</stp>
        <stp>ask</stp>
        <tr r="L153" s="89"/>
      </tp>
      <tp>
        <v>623.66</v>
        <stp/>
        <stp>BDP|13846945124532688911|22</stp>
        <stp>QQQ Equity</stp>
        <stp>LAST_PRICE</stp>
        <tr r="I24" s="1"/>
      </tp>
      <tp t="b">
        <v>0</v>
        <stp/>
        <stp>BDH|713040962744902039</stp>
        <tr r="AU9" s="338"/>
      </tp>
      <tp t="b">
        <v>0</v>
        <stp/>
        <stp>BDH|103140765095185053</stp>
        <tr r="AR12" s="338"/>
      </tp>
      <tp t="s">
        <v>#N/A Requesting Data...4000772890</v>
        <stp/>
        <stp>BDP|464774656925779579</stp>
        <tr r="T39" s="89"/>
      </tp>
      <tp t="s">
        <v>#N/A Requesting Data...3825032152</v>
        <stp/>
        <stp>BDP|908193390539320353</stp>
        <tr r="AA62" s="89"/>
        <tr r="Z62" s="89"/>
      </tp>
      <tp t="s">
        <v>#N/A Requesting Data...3989953763</v>
        <stp/>
        <stp>BDP|310378113498032857</stp>
        <tr r="F9" s="446"/>
      </tp>
      <tp>
        <v>-0.46512895822525024</v>
        <stp/>
        <stp>BDP|3113404587360388424|22</stp>
        <stp>MSFT US 03/20/26 P465 Equity</stp>
        <stp>DELTA_MID_RT</stp>
        <tr r="AF19" s="2"/>
      </tp>
      <tp>
        <v>-0.24188791215419769</v>
        <stp/>
        <stp>BDP|5551973401497312809|22</stp>
        <stp>AVGO US 06/18/26 P270 Equity</stp>
        <stp>DELTA_MID_RT</stp>
        <tr r="W225" s="89"/>
      </tp>
      <tp>
        <v>6.9634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Data...3319766928</v>
        <stp/>
        <stp>BDP|630836919334916088</stp>
        <tr r="X10" s="338"/>
      </tp>
      <tp t="s">
        <v>#N/A N/A</v>
        <stp/>
        <stp>BDP|894652130481491978</stp>
        <tr r="AC12" s="2"/>
        <tr r="AC13" s="2"/>
      </tp>
      <tp t="s">
        <v>#N/A Requesting Data...3078027429</v>
        <stp/>
        <stp>BDP|270487313100359854</stp>
        <tr r="V17" s="338"/>
      </tp>
      <tp>
        <v>689.65499999999997</v>
        <stp/>
        <stp>BDP|13189918054944550299|22</stp>
        <stp>SPY Equity</stp>
        <stp>LAST_PRICE</stp>
        <tr r="X3" s="1"/>
      </tp>
      <tp>
        <v>-6.3873417675495148E-2</v>
        <stp/>
        <stp>BDP|3178362372691625299|22</stp>
        <stp>MRVL US 03/20/26 P80 Equity</stp>
        <stp>theta_mid_rt</stp>
        <tr r="AN16" s="2"/>
      </tp>
      <tp>
        <v>109.12</v>
        <stp/>
        <stp>BDP|11864909502198122066|22</stp>
        <stp>W US Equity</stp>
        <stp>LAST_PRICE</stp>
        <tr r="S40" s="89"/>
      </tp>
      <tp t="s">
        <v>USD</v>
        <stp/>
        <stp>BDP|5899528920965095514|22</stp>
        <stp>QQQ US 01/15/26 P622 Equity</stp>
        <stp>QUOTED_CURRENCY_REALTIME</stp>
        <tr r="F69" s="89"/>
      </tp>
      <tp>
        <v>347.10500000000002</v>
        <stp/>
        <stp>BDP|14332915070053504036|22</stp>
        <stp>SOXX Equity</stp>
        <stp>LAST PRICE</stp>
        <tr r="I13" s="338"/>
      </tp>
      <tp>
        <v>0.01</v>
        <stp/>
        <stp>BDP|3663508821472831217|22</stp>
        <stp>QQQ US 01/16/26 C633 Equity</stp>
        <stp>ask</stp>
        <tr r="L204" s="89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Requesting Data...4073844607</v>
        <stp/>
        <stp>BDP|326317287841353681</stp>
        <tr r="Q47" s="338"/>
      </tp>
      <tp t="s">
        <v>#N/A Requesting Data...3936631660</v>
        <stp/>
        <stp>BDP|127253274771311898</stp>
        <tr r="AG11" s="338"/>
      </tp>
      <tp t="b">
        <v>0</v>
        <stp/>
        <stp>BDH|737252284291234719</stp>
        <tr r="AR45" s="338"/>
      </tp>
      <tp t="s">
        <v>#N/A Requesting Data...3073421620</v>
        <stp/>
        <stp>BDP|827675090525898604</stp>
        <tr r="AF41" s="338"/>
        <tr r="AF42" s="338"/>
      </tp>
      <tp t="s">
        <v>#N/A Requesting Data...3544097407</v>
        <stp/>
        <stp>BDP|782705090920373269</stp>
        <tr r="D129" s="89"/>
      </tp>
      <tp t="s">
        <v>#N/A Requesting Data...3835969689</v>
        <stp/>
        <stp>BDP|404252579678701218</stp>
        <tr r="T14" s="2"/>
      </tp>
      <tp t="s">
        <v>#N/A Requesting Data...3429810271</v>
        <stp/>
        <stp>BDP|747191926384069867</stp>
        <tr r="L15" s="252"/>
        <tr r="L15" s="252"/>
      </tp>
      <tp t="s">
        <v>#N/A Requesting Data...3225980209</v>
        <stp/>
        <stp>BDP|250232642990829947</stp>
        <tr r="D10" s="2"/>
      </tp>
      <tp t="s">
        <v>#N/A Requesting Data...4145791143</v>
        <stp/>
        <stp>BDP|176347289857022339</stp>
        <tr r="S17" s="252"/>
      </tp>
      <tp t="s">
        <v>#N/A Requesting Data...4048063576</v>
        <stp/>
        <stp>BDP|278537766618564487</stp>
        <tr r="U17" s="338"/>
      </tp>
      <tp t="s">
        <v>#N/A Requesting Data...3110228296</v>
        <stp/>
        <stp>BDP|985943877960620174</stp>
        <tr r="V7" s="89"/>
      </tp>
      <tp t="s">
        <v>#N/A Requesting Data...3324162836</v>
        <stp/>
        <stp>BDP|987924063845804559</stp>
        <tr r="E4" s="1"/>
      </tp>
      <tp t="s">
        <v>#N/A Requesting Data...3138698812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657.13499999999999</v>
        <stp/>
        <stp>BDP|3305523752982270676|22</stp>
        <stp>META EQUITY</stp>
        <stp>LAST_PRICE</stp>
        <tr r="C9" s="1"/>
      </tp>
      <tp>
        <v>-9.4167161732912064E-3</v>
        <stp/>
        <stp>BDP|4448489992068111945|22</stp>
        <stp>AMAT US 01/23/26 P290 Equity</stp>
        <stp>DELTA_MID_RT</stp>
        <tr r="AF4" s="2"/>
        <tr r="W55" s="89"/>
      </tp>
      <tp t="s">
        <v>USD</v>
        <stp/>
        <stp>BDP|8829835796450133949|22</stp>
        <stp>QQQ US 01/26/26 C630 Equity</stp>
        <stp>QUOTED_CURRENCY_REALTIME</stp>
        <tr r="F211" s="89"/>
      </tp>
      <tp t="s">
        <v>USD</v>
        <stp/>
        <stp>BDP|6806013304740269654|22</stp>
        <stp>QQQ US 02/06/26 C630 Equity</stp>
        <stp>QUOTED_CURRENCY_REALTIME</stp>
        <tr r="G20" s="2"/>
        <tr r="F33" s="89"/>
      </tp>
      <tp>
        <v>-2.2644090931862593E-3</v>
        <stp/>
        <stp>BDP|11616585170366627845|22</stp>
        <stp>ASML US 01/23/26 P1200 Equity</stp>
        <stp>DELTA_MID_RT</stp>
        <tr r="W49" s="89"/>
      </tp>
      <tp t="s">
        <v>#N/A Requesting Data...3849162672</v>
        <stp/>
        <stp>BDP|887987616640012698</stp>
        <tr r="AB12" s="1"/>
      </tp>
      <tp t="s">
        <v>#N/A Requesting Data...3526177809</v>
        <stp/>
        <stp>BDP|364330932177526925</stp>
        <tr r="S37" s="338"/>
      </tp>
      <tp t="s">
        <v>#N/A Requesting Data...4098842120</v>
        <stp/>
        <stp>BDP|308105164449948089</stp>
        <tr r="K22" s="1"/>
      </tp>
      <tp t="s">
        <v>#N/A Requesting Data...3068011468</v>
        <stp/>
        <stp>BDP|629699598025628435</stp>
        <tr r="D82" s="89"/>
      </tp>
      <tp>
        <v>33.49</v>
        <stp/>
        <stp>BDP|18329643987132492211|22</stp>
        <stp>ASHR Equity</stp>
        <stp>LAST_PRICE</stp>
        <tr r="H6" s="252"/>
        <tr r="H6" s="252"/>
        <tr r="I14" s="1"/>
      </tp>
      <tp t="s">
        <v>USD</v>
        <stp/>
        <stp>BDP|6365657359185998135|22</stp>
        <stp>QQQ US 01/26/26 P615 Equity</stp>
        <stp>QUOTED_CURRENCY_REALTIME</stp>
        <tr r="F213" s="89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Data...3247729145</v>
        <stp/>
        <stp>BDP|865618064141370815</stp>
        <tr r="N12" s="252"/>
        <tr r="N12" s="252"/>
      </tp>
      <tp t="s">
        <v>#N/A Requesting Data...3770951412</v>
        <stp/>
        <stp>BDP|692490859580483882</stp>
        <tr r="AA211" s="89"/>
        <tr r="Z211" s="89"/>
      </tp>
      <tp t="s">
        <v>#N/A Requesting Data...3891255444</v>
        <stp/>
        <stp>BDP|757266498405781787</stp>
        <tr r="X3" s="1"/>
      </tp>
      <tp t="s">
        <v>#N/A Requesting Data...3294980604</v>
        <stp/>
        <stp>BDP|321567796020124549</stp>
        <tr r="F43" s="446"/>
      </tp>
      <tp t="s">
        <v>#N/A Requesting Data...3997186959</v>
        <stp/>
        <stp>BDP|748281786590893378</stp>
        <tr r="Z160" s="89"/>
        <tr r="AA160" s="89"/>
      </tp>
      <tp t="s">
        <v>#N/A Requesting Data...3953499125</v>
        <stp/>
        <stp>BDP|854587986095168176</stp>
        <tr r="T213" s="89"/>
      </tp>
      <tp t="s">
        <v>USD</v>
        <stp/>
        <stp>BDP|1731871426539960425|22</stp>
        <stp>QQQ US 01/15/26 P623 Equity</stp>
        <stp>QUOTED_CURRENCY_REALTIME</stp>
        <tr r="F68" s="89"/>
      </tp>
      <tp>
        <v>42.5</v>
        <stp/>
        <stp>BDP|16955313478604069014|22</stp>
        <stp>XLU Equity</stp>
        <stp>LAST PRICE</stp>
        <tr r="I42" s="338"/>
      </tp>
      <tp t="s">
        <v>#N/A Requesting Data...4110044281</v>
        <stp/>
        <stp>BDP|938081193165986446</stp>
        <tr r="U46" s="338"/>
      </tp>
      <tp>
        <v>106.32</v>
        <stp/>
        <stp>BDP|12455594618882884319|22</stp>
        <stp>GDX Equity</stp>
        <stp>LAST_PRICE</stp>
        <tr r="I15" s="1"/>
      </tp>
      <tp t="s">
        <v>#N/A Requesting Data...3074135330</v>
        <stp/>
        <stp>BDP|345620769730348823</stp>
        <tr r="G20" s="446"/>
      </tp>
      <tp t="s">
        <v>#N/A Requesting Data...3661668305</v>
        <stp/>
        <stp>BDP|493910466490440711</stp>
        <tr r="O63" s="89"/>
        <tr r="T17" s="2"/>
      </tp>
      <tp t="s">
        <v>#N/A Requesting Data...3349527333</v>
        <stp/>
        <stp>BDP|771655587750732627</stp>
        <tr r="AI17" s="1"/>
      </tp>
      <tp>
        <v>99.75</v>
        <stp/>
        <stp>BDP|3417945712509211367|22</stp>
        <stp>1OG6P 24700 Index</stp>
        <stp>bid</stp>
        <tr r="K153" s="89"/>
      </tp>
      <tp t="s">
        <v>USD</v>
        <stp/>
        <stp>BDP|5876029209403858680|22</stp>
        <stp>TSM US 06/18/26 C340 Equity</stp>
        <stp>QUOTED_CURRENCY_REALTIME</stp>
        <tr r="F13" s="89"/>
        <tr r="G22" s="2"/>
      </tp>
      <tp>
        <v>-9.3771759420633316E-3</v>
        <stp/>
        <stp>BDP|1593024835823764098|22</stp>
        <stp>AMAT US 01/23/26 P280 Equity</stp>
        <stp>DELTA_MID_RT</stp>
        <tr r="AF5" s="2"/>
        <tr r="W56" s="89"/>
      </tp>
      <tp>
        <v>97.77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Data...3739973701</v>
        <stp/>
        <stp>BDP|410104351027872819</stp>
        <tr r="AB20" s="1"/>
      </tp>
      <tp t="s">
        <v>#N/A Requesting Data...3953699861</v>
        <stp/>
        <stp>BDP|764078797243992127</stp>
        <tr r="D56" s="89"/>
      </tp>
      <tp t="s">
        <v>#N/A Requesting Data...3784349666</v>
        <stp/>
        <stp>BDP|783076699995622702</stp>
        <tr r="Q8" s="338"/>
      </tp>
      <tp t="s">
        <v>#N/A Requesting Data...3731190726</v>
        <stp/>
        <stp>BDP|237201852408926413</stp>
        <tr r="U35" s="338"/>
      </tp>
      <tp t="s">
        <v>#N/A Requesting Data...3332699305</v>
        <stp/>
        <stp>BDP|410647168382881996</stp>
        <tr r="V54" s="338"/>
      </tp>
      <tp t="s">
        <v>#N/A Requesting Data...3727920362</v>
        <stp/>
        <stp>BDP|981114986491900309</stp>
        <tr r="F8" s="252"/>
      </tp>
      <tp t="s">
        <v>#N/A Requesting Data...3242268066</v>
        <stp/>
        <stp>BDP|158907810677526447</stp>
        <tr r="C197" s="89"/>
      </tp>
      <tp t="s">
        <v>#N/A Requesting Data...4035323494</v>
        <stp/>
        <stp>BDP|612746655750406928</stp>
        <tr r="S16" s="338"/>
        <tr r="S38" s="338"/>
      </tp>
      <tp>
        <v>5.89</v>
        <stp/>
        <stp>BDP|1011729967632150326|22</stp>
        <stp>QQQ US 02/06/26 C630 Equity</stp>
        <stp>bid</stp>
        <tr r="K33" s="89"/>
        <tr r="P20" s="2"/>
      </tp>
      <tp t="b">
        <v>0</v>
        <stp/>
        <stp>BDH|553666107054971826</stp>
        <tr r="AP44" s="338"/>
        <tr r="AP48" s="338"/>
        <tr r="AP47" s="338"/>
        <tr r="AU10" s="338"/>
        <tr r="AU53" s="338"/>
      </tp>
      <tp t="s">
        <v>#N/A Real Time</v>
        <stp/>
        <stp>BDP|9931751547643048436|22</stp>
        <stp>4OK5C 21300 Index</stp>
        <stp>bid</stp>
        <tr r="K115" s="89"/>
      </tp>
      <tp>
        <v>317.54000000000002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81.17</v>
        <stp/>
        <stp>BDP|15428137786848034213|22</stp>
        <stp>MRVL Equity</stp>
        <stp>LAST PRICE</stp>
        <tr r="G37" s="338"/>
      </tp>
      <tp>
        <v>39.354999999999997</v>
        <stp/>
        <stp>BDP|15189910301226923788|22</stp>
        <stp>FXI Equity</stp>
        <stp>LAST_PRICE</stp>
        <tr r="H9" s="252"/>
        <tr r="H9" s="252"/>
      </tp>
      <tp>
        <v>0.12691491842269897</v>
        <stp/>
        <stp>BDP|15371550534426313083|22</stp>
        <stp>QQQ US 01/26/26 C630 Equity</stp>
        <stp>DELTA_MID_RT</stp>
        <tr r="W211" s="89"/>
      </tp>
      <tp>
        <v>81.17</v>
        <stp/>
        <stp>BDP|14735743812855208855|22</stp>
        <stp>MRVL Equity</stp>
        <stp>LAST_PRICE</stp>
        <tr r="I29" s="1"/>
      </tp>
      <tp>
        <v>3.85</v>
        <stp/>
        <stp>BDP|2655392201055061554|22</stp>
        <stp>INTC US 07/17/26 P40 Equity</stp>
        <stp>ask</stp>
        <tr r="L197" s="89"/>
      </tp>
      <tp>
        <v>17.8</v>
        <stp/>
        <stp>BDP|2947614605786602114|22</stp>
        <stp>GDX US 09/18/26 C105 Equity</stp>
        <stp>ask</stp>
        <tr r="Q9" s="2"/>
      </tp>
      <tp>
        <v>187.655</v>
        <stp/>
        <stp>BDP|18083567340910719726|22</stp>
        <stp>NVDA Equity</stp>
        <stp>LAST PRICE</stp>
        <tr r="G14" s="338"/>
        <tr r="G35" s="338"/>
      </tp>
      <tp>
        <v>6.53</v>
        <stp/>
        <stp>BDP|1603579272794795324|22</stp>
        <stp>MRVL US 03/20/26 P80 Equity</stp>
        <stp>mid</stp>
        <tr r="L16" s="2"/>
      </tp>
      <tp>
        <v>4.0999999999999996</v>
        <stp/>
        <stp>BDP|3218463650849211028|22</stp>
        <stp>COPX US 04/17/26 C95 Equity</stp>
        <stp>bid</stp>
        <tr r="K34" s="89"/>
      </tp>
      <tp>
        <v>0.56000000000000005</v>
        <stp/>
        <stp>BDP|7310662461570855423|22</stp>
        <stp>QQQ US 01/26/26 P615 Equity</stp>
        <stp>bid</stp>
        <tr r="K213" s="89"/>
      </tp>
      <tp>
        <v>1.01</v>
        <stp/>
        <stp>BDP|7681200647090738046|22</stp>
        <stp>QQQ US 01/16/26 P622 Equity</stp>
        <stp>bid</stp>
        <tr r="K205" s="89"/>
      </tp>
      <tp t="s">
        <v>#N/A Real Time</v>
        <stp/>
        <stp>BDP|8340553546063687451|22</stp>
        <stp>4OK5C 21650 Index</stp>
        <stp>DELTA_MID_RT</stp>
        <tr r="W116" s="89"/>
      </tp>
      <tp>
        <v>187.655</v>
        <stp/>
        <stp>BDP|10556089213855348182|22</stp>
        <stp>NVDA Equity</stp>
        <stp>LAST_PRICE</stp>
        <tr r="I28" s="1"/>
      </tp>
      <tp t="s">
        <v>USD</v>
        <stp/>
        <stp>BDP|4232577079069091557|22</stp>
        <stp>GDX US 09/18/26 C105 Equity</stp>
        <stp>QUOTED_CURRENCY_REALTIME</stp>
        <tr r="G9" s="2"/>
      </tp>
      <tp>
        <v>0.44761702418327332</v>
        <stp/>
        <stp>BDP|3367401678798717289|22</stp>
        <stp>W US 05/15/26 C125 Equity</stp>
        <stp>DELTA_MID_RT</stp>
        <tr r="W40" s="89"/>
      </tp>
      <tp>
        <v>105.09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53.14</v>
        <stp/>
        <stp>BDP|11210988692762470107|22</stp>
        <stp>XLF Equity</stp>
        <stp>LAST_PRICE</stp>
        <tr r="I31" s="1"/>
      </tp>
      <tp>
        <v>3.4509999677538872E-3</v>
        <stp/>
        <stp>BDP|12492272964442043253|22</stp>
        <stp>QQQ US 01/16/26 C635 Equity</stp>
        <stp>DELTA_MID_RT</stp>
        <tr r="W203" s="89"/>
      </tp>
      <tp t="s">
        <v>#N/A Real Time</v>
        <stp/>
        <stp>BDP|7909497283026172618|22</stp>
        <stp>4OK5C 21300 Index</stp>
        <stp>DELTA_MID_RT</stp>
        <tr r="W115" s="89"/>
      </tp>
      <tp>
        <v>46.284999999999997</v>
        <stp/>
        <stp>BDP|10275830506276374754|22</stp>
        <stp>INTC Equity</stp>
        <stp>LAST_PRICE</stp>
        <tr r="I27" s="1"/>
      </tp>
      <tp>
        <v>-8.709966205060482E-3</v>
        <stp/>
        <stp>BDP|5598166511208398697|22</stp>
        <stp>ASHR US 02/20/26 C35 Equity</stp>
        <stp>theta_mid_rt</stp>
        <tr r="AN7" s="2"/>
      </tp>
      <tp>
        <v>173.46</v>
        <stp/>
        <stp>BDP|16076910053857732698|22</stp>
        <stp>BABA Equity</stp>
        <stp>LAST_PRICE</stp>
        <tr r="I12" s="1"/>
      </tp>
      <tp>
        <v>3.6</v>
        <stp/>
        <stp>BDP|6431933654204043778|22</stp>
        <stp>INTC US 07/17/26 P40 Equity</stp>
        <stp>bid</stp>
        <tr r="K197" s="89"/>
      </tp>
      <tp>
        <v>0.81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68.405000000000001</v>
        <stp/>
        <stp>BDP|16675559367525942243|22</stp>
        <stp>TTE Equity</stp>
        <stp>LAST PRICE</stp>
        <tr r="I29" s="338"/>
      </tp>
      <tp>
        <v>0.54971098899841309</v>
        <stp/>
        <stp>BDP|16687792746206833445|22</stp>
        <stp>TSM US 06/18/26 C340 Equity</stp>
        <stp>DELTA_MID_RT</stp>
        <tr r="W13" s="89"/>
        <tr r="AF22" s="2"/>
      </tp>
      <tp>
        <v>4136.1639999999998</v>
        <stp/>
        <stp>BDP|8077747707676540560|22</stp>
        <stp>SHCOMP Index</stp>
        <stp>LAST_PRICE</stp>
        <tr r="H20" s="252"/>
        <tr r="H20" s="252"/>
      </tp>
      <tp>
        <v>0.7</v>
        <stp/>
        <stp>BDP|9553145545070053911|22</stp>
        <stp>QQQ US 01/15/26 P622 Equity</stp>
        <stp>bid</stp>
        <tr r="K69" s="89"/>
      </tp>
      <tp>
        <v>108.96</v>
        <stp/>
        <stp>BDP|11576966289528241643|22</stp>
        <stp>HOOD Equity</stp>
        <stp>LAST PRICE</stp>
        <tr r="L5" s="446"/>
        <tr r="L6" s="446"/>
      </tp>
      <tp>
        <v>0.55828756093978882</v>
        <stp/>
        <stp>BDP|15150595801257451367|22</stp>
        <stp>TSM US 07/17/26 C340 Equity</stp>
        <stp>DELTA_MID_RT</stp>
        <tr r="W19" s="89"/>
      </tp>
      <tp>
        <v>345.73</v>
        <stp/>
        <stp>BDP|13530810646219131800|22</stp>
        <stp>LITE Equity</stp>
        <stp>LAST_PRICE</stp>
        <tr r="I23" s="1"/>
      </tp>
      <tp>
        <v>0.01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281.94499999999999</v>
        <stp/>
        <stp>BDP|13659659385475398852|22</stp>
        <stp>ACN Equity</stp>
        <stp>LAST PRICE</stp>
        <tr r="L8" s="446"/>
      </tp>
      <tp>
        <v>6.6</v>
        <stp/>
        <stp>BDP|8734482328934403813|22</stp>
        <stp>MRVL US 03/20/26 P80 Equity</stp>
        <stp>ask</stp>
        <tr r="L62" s="89"/>
        <tr r="Q16" s="2"/>
      </tp>
      <tp>
        <v>1.79</v>
        <stp/>
        <stp>BDP|8993060904794494053|22</stp>
        <stp>NFLX US 03/20/26 P80 Equity</stp>
        <stp>bid</stp>
        <tr r="K188" s="89"/>
      </tp>
      <tp>
        <v>1.53</v>
        <stp/>
        <stp>BDP|7163798778722749172|22</stp>
        <stp>QQQ US 01/16/26 P622 Equity</stp>
        <stp>ask</stp>
        <tr r="L205" s="89"/>
      </tp>
      <tp>
        <v>13.05</v>
        <stp/>
        <stp>BDP|5153940913904664797|22</stp>
        <stp>GDX US 09/18/26 C115 Equity</stp>
        <stp>mid</stp>
        <tr r="L10" s="2"/>
      </tp>
      <tp>
        <v>317.54000000000002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-9.7928561270236969E-2</v>
        <stp/>
        <stp>BDP|13660853806395269308|22</stp>
        <stp>QQQ US 01/21/26 P616 Equity</stp>
        <stp>DELTA_MID_RT</stp>
        <tr r="W76" s="89"/>
      </tp>
      <tp>
        <v>6.05</v>
        <stp/>
        <stp>BDP|9317551536395983431|22</stp>
        <stp>INTC US 07/17/26 C50 Equity</stp>
        <stp>bid</stp>
        <tr r="K196" s="89"/>
      </tp>
      <tp>
        <v>84.709299999999999</v>
        <stp/>
        <stp>BDP|3517880411788471110|22</stp>
        <stp>COPX EQUITY</stp>
        <stp>LAST_PRICE</stp>
        <tr r="I9" s="1"/>
      </tp>
      <tp>
        <v>3.5</v>
        <stp/>
        <stp>BDP|8500678922565396001|22</stp>
        <stp>INTC US 07/17/26 C60 Equity</stp>
        <stp>bid</stp>
        <tr r="K195" s="89"/>
      </tp>
      <tp>
        <v>0.54686319828033447</v>
        <stp/>
        <stp>BDP|1115882164603689622|22</stp>
        <stp>META US 07/17/26 C670 Equity</stp>
        <stp>DELTA_MID_RT</stp>
        <tr r="AF13" s="2"/>
      </tp>
      <tp>
        <v>17.05</v>
        <stp/>
        <stp>BDP|9235179415749059917|22</stp>
        <stp>GDX US 09/18/26 C105 Equity</stp>
        <stp>mid</stp>
        <tr r="L9" s="2"/>
      </tp>
      <tp>
        <v>0.26160073280334473</v>
        <stp/>
        <stp>BDP|9935221880457496648|22</stp>
        <stp>META US 04/17/26 C750 Equity</stp>
        <stp>DELTA_MID_RT</stp>
        <tr r="W169" s="89"/>
      </tp>
      <tp>
        <v>5097.4799999999996</v>
        <stp/>
        <stp>BDP|13402169581729532440|22</stp>
        <stp>BKNG Equity</stp>
        <stp>LAST PRICE</stp>
        <tr r="G12" s="338"/>
      </tp>
      <tp>
        <v>-0.77941399812698364</v>
        <stp/>
        <stp>BDP|15758321286058819892|22</stp>
        <stp>QQQ US 01/16/26 P622 Equity</stp>
        <stp>DELTA_MID_RT</stp>
        <tr r="W205" s="89"/>
      </tp>
      <tp>
        <v>0.36766466498374939</v>
        <stp/>
        <stp>BDP|17478839230977938286|22</stp>
        <stp>TSM US 06/18/26 C380 Equity</stp>
        <stp>DELTA_MID_RT</stp>
        <tr r="W14" s="89"/>
        <tr r="AF23" s="2"/>
      </tp>
      <tp>
        <v>0.41044604778289795</v>
        <stp/>
        <stp>BDP|4089992193290453877|22</stp>
        <stp>LITE US 03/20/26 C420 Equity</stp>
        <stp>DELTA_MID_RT</stp>
        <tr r="W8" s="89"/>
        <tr r="AF11" s="2"/>
      </tp>
      <tp>
        <v>6.5</v>
        <stp/>
        <stp>BDP|4874141046161399317|22</stp>
        <stp>NFLX US 03/20/26 P90 Equity</stp>
        <stp>bid</stp>
        <tr r="K187" s="89"/>
      </tp>
      <tp t="s">
        <v>USD</v>
        <stp/>
        <stp>BDP|6580497242376158383|22</stp>
        <stp>GDX US 09/18/26 C115 Equity</stp>
        <stp>QUOTED_CURRENCY_REALTIME</stp>
        <tr r="G10" s="2"/>
      </tp>
      <tp>
        <v>228.4</v>
        <stp/>
        <stp>BDP|18434337130911834676|22</stp>
        <stp>CRM Equity</stp>
        <stp>LAST PRICE</stp>
        <tr r="G31" s="338"/>
        <tr r="G32" s="338"/>
        <tr r="L9" s="446"/>
      </tp>
      <tp>
        <v>335.92</v>
        <stp/>
        <stp>BDP|13113113388917834281|22</stp>
        <stp>TSM Equity</stp>
        <stp>LAST_PRICE</stp>
        <tr r="I26" s="1"/>
      </tp>
      <tp>
        <v>-0.13578116893768311</v>
        <stp/>
        <stp>BDP|14052482222999807241|22</stp>
        <stp>QQQ US 01/26/26 P615 Equity</stp>
        <stp>DELTA_MID_RT</stp>
        <tr r="W213" s="89"/>
      </tp>
      <tp>
        <v>0.40422984957695007</v>
        <stp/>
        <stp>BDP|14357491192370445062|22</stp>
        <stp>QQQ US 02/06/26 C630 Equity</stp>
        <stp>DELTA_MID_RT</stp>
        <tr r="W33" s="89"/>
        <tr r="AF20" s="2"/>
      </tp>
      <tp>
        <v>-0.55367797613143921</v>
        <stp/>
        <stp>BDP|16744070427508501583|22</stp>
        <stp>QQQ US 01/15/26 P622 Equity</stp>
        <stp>DELTA_MID_RT</stp>
        <tr r="W69" s="89"/>
      </tp>
      <tp>
        <v>331.75</v>
        <stp/>
        <stp>BDP|16760158171648826820|22</stp>
        <stp>GOOG Equity</stp>
        <stp>LAST_PRICE</stp>
        <tr r="I16" s="1"/>
      </tp>
      <tp>
        <v>8.3000000000000007</v>
        <stp/>
        <stp>BDP|4235437341860435959|22</stp>
        <stp>COPX US 07/17/26 C95 Equity</stp>
        <stp>ask</stp>
        <tr r="L27" s="89"/>
      </tp>
      <tp>
        <v>0.18</v>
        <stp/>
        <stp>BDP|9704315770915911503|22</stp>
        <stp>ASHR US 02/20/26 C35 Equity</stp>
        <stp>bid</stp>
        <tr r="P7" s="2"/>
      </tp>
      <tp>
        <v>-0.22808891534805298</v>
        <stp/>
        <stp>BDP|4306646786803793992|22</stp>
        <stp>META US 04/17/26 P590 Equity</stp>
        <stp>DELTA_MID_RT</stp>
        <tr r="W171" s="89"/>
      </tp>
      <tp>
        <v>5.88</v>
        <stp/>
        <stp>BDP|3339665186797408386|22</stp>
        <stp>QQQ US 02/06/26 P616 Equity</stp>
        <stp>ask</stp>
        <tr r="L81" s="89"/>
      </tp>
      <tp>
        <v>12.35</v>
        <stp/>
        <stp>BDP|7029302373160148016|22</stp>
        <stp>GDX US 09/18/26 C115 Equity</stp>
        <stp>bid</stp>
        <tr r="P10" s="2"/>
      </tp>
      <tp t="s">
        <v>#N/A Real Time</v>
        <stp/>
        <stp>BDP|3703572431849033805|22</stp>
        <stp>3OF5C    22500 Index</stp>
        <stp>DELTA_MID_RT</stp>
        <tr r="W109" s="89"/>
      </tp>
      <tp>
        <v>22.864000000000001</v>
        <stp/>
        <stp>BDP|12167170999494993919|22</stp>
        <stp>KHC Equity</stp>
        <stp>LAST_PRICE</stp>
        <tr r="I32" s="1"/>
      </tp>
      <tp>
        <v>5786</v>
        <stp/>
        <stp>BDP|18259571086573127790|22</stp>
        <stp>HCTA Index</stp>
        <stp>LAST PRICE</stp>
        <tr r="L12" s="446"/>
      </tp>
      <tp>
        <v>2.62</v>
        <stp/>
        <stp>BDP|5295851568697877083|22</stp>
        <stp>MRVL US 03/20/26 P70 Equity</stp>
        <stp>bid</stp>
        <tr r="K63" s="89"/>
        <tr r="P17" s="2"/>
      </tp>
      <tp>
        <v>0.1</v>
        <stp/>
        <stp>BDP|6711845542581076228|22</stp>
        <stp>QQQ US 01/23/26 P615 Equity</stp>
        <stp>bid</stp>
        <tr r="K75" s="89"/>
      </tp>
      <tp>
        <v>0.21</v>
        <stp/>
        <stp>BDP|8465872380432047250|22</stp>
        <stp>ASHR US 02/20/26 C35 Equity</stp>
        <stp>ask</stp>
        <tr r="Q7" s="2"/>
      </tp>
      <tp>
        <v>335.92</v>
        <stp/>
        <stp>BDP|18226792745994375460|22</stp>
        <stp>TSM Equity</stp>
        <stp>LAST PRICE</stp>
        <tr r="G13" s="338"/>
        <tr r="G34" s="338"/>
      </tp>
      <tp>
        <v>-0.35491076111793518</v>
        <stp/>
        <stp>BDP|17237006109919611425|22</stp>
        <stp>QQQ US 02/06/26 P616 Equity</stp>
        <stp>DELTA_MID_RT</stp>
        <tr r="W81" s="89"/>
      </tp>
      <tp>
        <v>3.9510000497102737E-3</v>
        <stp/>
        <stp>BDP|11292885437955738515|22</stp>
        <stp>QQQ US 01/16/26 C633 Equity</stp>
        <stp>DELTA_MID_RT</stp>
        <tr r="W204" s="89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0.3948303759098053</v>
        <stp/>
        <stp>BDP|18231477560940764707|22</stp>
        <stp>TSM US 07/17/26 C380 Equity</stp>
        <stp>DELTA_MID_RT</stp>
        <tr r="W20" s="89"/>
      </tp>
      <tp>
        <v>11.1</v>
        <stp/>
        <stp>BDP|8402589100676091799|22</stp>
        <stp>COPX US 07/17/26 C85 Equity</stp>
        <stp>bid</stp>
        <tr r="K26" s="89"/>
      </tp>
      <tp>
        <v>4702.5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P&amp;L'!$B$12:$B$33</c:f>
              <c:strCache>
                <c:ptCount val="22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GDX</c:v>
                </c:pt>
                <c:pt idx="4">
                  <c:v>GOOG</c:v>
                </c:pt>
                <c:pt idx="5">
                  <c:v>AMZN</c:v>
                </c:pt>
                <c:pt idx="6">
                  <c:v>META</c:v>
                </c:pt>
                <c:pt idx="7">
                  <c:v>MSFT</c:v>
                </c:pt>
                <c:pt idx="8">
                  <c:v>000660 KP</c:v>
                </c:pt>
                <c:pt idx="9">
                  <c:v>SNDK</c:v>
                </c:pt>
                <c:pt idx="10">
                  <c:v>EWY</c:v>
                </c:pt>
                <c:pt idx="11">
                  <c:v>LITE</c:v>
                </c:pt>
                <c:pt idx="12">
                  <c:v>QQQ</c:v>
                </c:pt>
                <c:pt idx="13">
                  <c:v>AVGO</c:v>
                </c:pt>
                <c:pt idx="14">
                  <c:v>TSM</c:v>
                </c:pt>
                <c:pt idx="15">
                  <c:v>INTC</c:v>
                </c:pt>
                <c:pt idx="16">
                  <c:v>NVDA</c:v>
                </c:pt>
                <c:pt idx="17">
                  <c:v>MRVL</c:v>
                </c:pt>
                <c:pt idx="18">
                  <c:v>RIOT</c:v>
                </c:pt>
                <c:pt idx="19">
                  <c:v>XLF</c:v>
                </c:pt>
                <c:pt idx="20">
                  <c:v>KHC</c:v>
                </c:pt>
                <c:pt idx="21">
                  <c:v>XLP</c:v>
                </c:pt>
              </c:strCache>
            </c:strRef>
          </c:cat>
          <c:val>
            <c:numRef>
              <c:f>'Master P&amp;L'!$J$12:$J$33</c:f>
              <c:numCache>
                <c:formatCode>0.00%</c:formatCode>
                <c:ptCount val="22"/>
                <c:pt idx="0">
                  <c:v>-2.0995597697257007E-2</c:v>
                </c:pt>
                <c:pt idx="1">
                  <c:v>-5.5377799655431659E-4</c:v>
                </c:pt>
                <c:pt idx="2">
                  <c:v>-5.9364796675570597E-3</c:v>
                </c:pt>
                <c:pt idx="3">
                  <c:v>1.0934677189312403E-2</c:v>
                </c:pt>
                <c:pt idx="4">
                  <c:v>2.7505742957321111E-3</c:v>
                </c:pt>
                <c:pt idx="5">
                  <c:v>1.4188785525305114E-2</c:v>
                </c:pt>
                <c:pt idx="6">
                  <c:v>1.4676590028256831E-2</c:v>
                </c:pt>
                <c:pt idx="7">
                  <c:v>3.1597730194617979E-2</c:v>
                </c:pt>
                <c:pt idx="8">
                  <c:v>1.5894039735099286E-2</c:v>
                </c:pt>
                <c:pt idx="9">
                  <c:v>-5.3432385189893239E-3</c:v>
                </c:pt>
                <c:pt idx="10">
                  <c:v>2.4140012070006378E-3</c:v>
                </c:pt>
                <c:pt idx="11">
                  <c:v>-2.4711557448729105E-2</c:v>
                </c:pt>
                <c:pt idx="12">
                  <c:v>4.6716927637089345E-3</c:v>
                </c:pt>
                <c:pt idx="13">
                  <c:v>-2.4424713508863549E-2</c:v>
                </c:pt>
                <c:pt idx="14">
                  <c:v>2.6117237376668712E-2</c:v>
                </c:pt>
                <c:pt idx="15">
                  <c:v>-7.9821073558648092E-2</c:v>
                </c:pt>
                <c:pt idx="16">
                  <c:v>1.5229387578446163E-2</c:v>
                </c:pt>
                <c:pt idx="17">
                  <c:v>-2.322503008423582E-2</c:v>
                </c:pt>
                <c:pt idx="18">
                  <c:v>-3.5128805620607828E-3</c:v>
                </c:pt>
                <c:pt idx="19">
                  <c:v>-1.2451217245865065E-2</c:v>
                </c:pt>
                <c:pt idx="20">
                  <c:v>6.3380281690141871E-3</c:v>
                </c:pt>
                <c:pt idx="21">
                  <c:v>2.917223775373845E-3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11</xdr:row>
      <xdr:rowOff>0</xdr:rowOff>
    </xdr:from>
    <xdr:to>
      <xdr:col>20</xdr:col>
      <xdr:colOff>202406</xdr:colOff>
      <xdr:row>45</xdr:row>
      <xdr:rowOff>197113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94094" y="2250281"/>
          <a:ext cx="4202906" cy="747183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292137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C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1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45.512552083332" createdVersion="8" refreshedVersion="8" minRefreshableVersion="3" recordCount="22" xr:uid="{C35D4399-4CEF-409A-AF8E-A02DC4C552E4}">
  <cacheSource type="worksheet">
    <worksheetSource name="Tabelad"/>
  </cacheSource>
  <cacheFields count="34">
    <cacheField name="Ticker" numFmtId="172">
      <sharedItems containsBlank="1" count="183">
        <s v="BABA"/>
        <s v="BIDU"/>
        <s v="ASHR"/>
        <s v="GDX"/>
        <s v="GOOG"/>
        <s v="AMZN"/>
        <s v="META"/>
        <s v="MSFT"/>
        <s v="000660 KP"/>
        <s v="SNDK"/>
        <s v="EWY"/>
        <s v="LITE"/>
        <s v="QQQ"/>
        <s v="AVGO"/>
        <s v="TSM"/>
        <s v="INTC"/>
        <s v="NVDA"/>
        <s v="MRVL"/>
        <s v="RIOT"/>
        <s v="XLF"/>
        <s v="KHC"/>
        <s v="XLP"/>
        <s v="1OH6" u="1"/>
        <s v="COPX" u="1"/>
        <s v="000660 KS" u="1"/>
        <s v="KMH6" u="1"/>
        <s v="AMAT" u="1"/>
        <s v="GDX " u="1"/>
        <s v="QQQE" u="1"/>
        <s v="RSP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AMD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AAPL" u="1"/>
        <s v="KLAR" u="1"/>
        <s v="GCZ5" u="1"/>
        <s v="4EZ5" u="1"/>
        <s v="IGV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Metals"/>
        <s v="Internet/SW"/>
        <s v="Memory"/>
        <s v="Networking"/>
        <s v="Index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5750"/>
    </cacheField>
    <cacheField name="Price Today" numFmtId="43">
      <sharedItems containsSemiMixedTypes="0" containsString="0" containsNumber="1" minValue="16.664999999999999" maxValue="767000"/>
    </cacheField>
    <cacheField name="% Chg" numFmtId="10">
      <sharedItems containsSemiMixedTypes="0" containsString="0" containsNumber="1" minValue="-9.324055666003972E-2" maxValue="2.535798200115269E-2"/>
    </cacheField>
    <cacheField name="Price Yest" numFmtId="43">
      <sharedItems containsSemiMixedTypes="0" containsString="0" containsNumber="1" minValue="17.079999999999998" maxValue="755000"/>
    </cacheField>
    <cacheField name="FX" numFmtId="168">
      <sharedItems containsSemiMixedTypes="0" containsString="0" containsNumber="1" minValue="1" maxValue="1467.95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2266000" maxValue="4895988"/>
    </cacheField>
    <cacheField name="D1 Exp %" numFmtId="198">
      <sharedItems containsSemiMixedTypes="0" containsString="0" containsNumber="1" minValue="-9.4567813378304566E-4" maxValue="2.0432607214758104E-3"/>
    </cacheField>
    <cacheField name="D1 P&amp;L bps" numFmtId="170">
      <sharedItems containsSemiMixedTypes="0" containsString="0" containsNumber="1" minValue="-0.13701064930316584" maxValue="0.26213496747872478"/>
    </cacheField>
    <cacheField name="Options Exp USD (delta adj)" numFmtId="166">
      <sharedItems containsSemiMixedTypes="0" containsString="0" containsNumber="1" minValue="-585467.54678338766" maxValue="11142096.716210246"/>
    </cacheField>
    <cacheField name="Option Exp %" numFmtId="10">
      <sharedItems containsSemiMixedTypes="0" containsString="0" containsNumber="1" minValue="-2.4433532967019065E-4" maxValue="4.6499722987713623E-3"/>
    </cacheField>
    <cacheField name="Options P&amp;L bps" numFmtId="170">
      <sharedItems containsSemiMixedTypes="0" containsString="0" containsNumber="1" minValue="-0.20758177570330422" maxValue="0.6997642589676627"/>
    </cacheField>
    <cacheField name="Exp" numFmtId="166">
      <sharedItems containsSemiMixedTypes="0" containsString="0" containsNumber="1" minValue="-2266000" maxValue="12510881.716210246"/>
    </cacheField>
    <cacheField name="Exp %" numFmtId="173">
      <sharedItems containsSemiMixedTypes="0" containsString="0" containsNumber="1" minValue="-9.4567813378304566E-4" maxValue="5.2212123889523974E-3"/>
    </cacheField>
    <cacheField name="P&amp;L bps" numFmtId="170">
      <sharedItems containsSemiMixedTypes="0" containsString="0" containsNumber="1" minValue="-0.33183203020569774" maxValue="0.81064147281738919"/>
    </cacheField>
    <cacheField name="xx" numFmtId="166">
      <sharedItems containsSemiMixedTypes="0" containsString="0" containsNumber="1" minValue="1271.2323972291274" maxValue="50324.478673867387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9625" maxValue="16012.500000000002"/>
    </cacheField>
    <cacheField name="Beta Adj" numFmtId="170">
      <sharedItems containsSemiMixedTypes="0" containsString="0" containsNumber="1" minValue="-6.0169186309794787E-2" maxValue="1.3317979385415151"/>
    </cacheField>
    <cacheField name="Expo Beta Adj" numFmtId="10">
      <sharedItems containsMixedTypes="1" containsNumber="1" minValue="-9.4844089657093863E-4" maxValue="7.6840779451825278E-3"/>
    </cacheField>
    <cacheField name="Vol 10d" numFmtId="43">
      <sharedItems containsSemiMixedTypes="0" containsString="0" containsNumber="1" minValue="10.180070222259973" maxValue="130.11870278497867"/>
    </cacheField>
    <cacheField name="Beta Adj2" numFmtId="43">
      <sharedItems containsMixedTypes="1" containsNumber="1" minValue="0.36644059419631958" maxValue="2.0538508892059326"/>
    </cacheField>
    <cacheField name="Daily P&amp;L" numFmtId="166">
      <sharedItems containsSemiMixedTypes="0" containsString="0" containsNumber="1" minValue="-30773.072302436023" maxValue="58876.432950625538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2.2743679999999999E-2" maxValue="1.514825E-2"/>
    </cacheField>
    <cacheField name="Column4" numFmtId="170">
      <sharedItems containsMixedTypes="1" containsNumber="1" minValue="-0.24657269419967778" maxValue="0.27282750585330734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x v="0"/>
    <x v="0"/>
    <m/>
    <s v="USD"/>
    <s v="Long"/>
    <m/>
    <n v="3378"/>
    <n v="173.33"/>
    <n v="-2.1729314821085866E-2"/>
    <n v="177.18"/>
    <n v="1"/>
    <n v="1"/>
    <n v="585508.74"/>
    <n v="2.4435252098714143E-4"/>
    <n v="-5.4275497940373459E-2"/>
    <n v="0"/>
    <n v="0"/>
    <n v="0"/>
    <n v="585508.74"/>
    <n v="2.4435252098714143E-4"/>
    <n v="-5.4275497940373459E-2"/>
    <n v="4838.5013390642125"/>
    <m/>
    <n v="1182.2999999999997"/>
    <n v="0.10194832508600084"/>
    <n v="2.0860161638540955E-4"/>
    <n v="66.754916003581997"/>
    <n v="0.85369127988815308"/>
    <n v="-12190.467170724056"/>
    <m/>
    <s v="20/02/2026"/>
    <e v="#VALUE!"/>
    <e v="#VALUE!"/>
    <s v="12/06/2025"/>
  </r>
  <r>
    <x v="1"/>
    <x v="0"/>
    <m/>
    <s v="USD"/>
    <s v="Long"/>
    <m/>
    <n v="3510"/>
    <n v="161.6"/>
    <n v="-5.6608417425548785E-3"/>
    <n v="162.52000000000001"/>
    <n v="1"/>
    <n v="1"/>
    <n v="567216"/>
    <n v="2.3671834436535041E-4"/>
    <n v="-1.3476539406938498E-2"/>
    <n v="0"/>
    <n v="0"/>
    <n v="0"/>
    <n v="567216"/>
    <n v="2.3671834436535041E-4"/>
    <n v="-1.3476539406938498E-2"/>
    <n v="5189.7118632425745"/>
    <m/>
    <n v="1228.5"/>
    <n v="7.8590881981786528E-2"/>
    <n v="2.4507907728654141E-4"/>
    <n v="53.120264721344682"/>
    <n v="1.0353193283081055"/>
    <n v="-3026.8780103267791"/>
    <m/>
    <s v="26/02/2026"/>
    <e v="#VALUE!"/>
    <e v="#VALUE!"/>
    <s v="#N/A Field Not Applicable"/>
  </r>
  <r>
    <x v="2"/>
    <x v="0"/>
    <m/>
    <s v="USD"/>
    <s v="Long"/>
    <m/>
    <m/>
    <n v="33.450000000000003"/>
    <n v="-7.1237756010683606E-3"/>
    <n v="33.69"/>
    <n v="1"/>
    <n v="1"/>
    <n v="0"/>
    <n v="0"/>
    <n v="0"/>
    <n v="1493843.9700007439"/>
    <n v="6.2343141117094422E-4"/>
    <n v="-5.3571159176905234E-2"/>
    <n v="1493843.9700007439"/>
    <n v="6.2343141117094422E-4"/>
    <n v="-5.3571159176905234E-2"/>
    <n v="25071.971213751865"/>
    <m/>
    <n v="15630.654394626616"/>
    <n v="5.8156131193887663E-2"/>
    <n v="7.1373932540809578E-4"/>
    <n v="14.925428562454337"/>
    <n v="1.1448562145233154"/>
    <n v="0"/>
    <m/>
    <s v="#N/A N/A"/>
    <n v="-8.0142619999999994E-3"/>
    <n v="-4.9963426681536728E-2"/>
    <s v="19/12/2025"/>
  </r>
  <r>
    <x v="3"/>
    <x v="1"/>
    <m/>
    <s v="USD"/>
    <m/>
    <m/>
    <n v="14800"/>
    <n v="106.13"/>
    <n v="9.1280783493390416E-3"/>
    <n v="105.17"/>
    <n v="1"/>
    <n v="1"/>
    <n v="1570724"/>
    <n v="6.555160375146693E-4"/>
    <n v="5.9294770188832412E-2"/>
    <n v="1178990.3098642807"/>
    <n v="4.9203237245399277E-4"/>
    <n v="0.31216559755945189"/>
    <n v="2749714.3098642807"/>
    <n v="1.1475484099686621E-3"/>
    <n v="0.37146036774828428"/>
    <n v="7902.1712720248752"/>
    <m/>
    <n v="9068.1240785121845"/>
    <n v="0.25487284467392857"/>
    <n v="1.1364384622196202E-3"/>
    <n v="35.536326653916248"/>
    <n v="0.99031853675842285"/>
    <n v="13317.813319311857"/>
    <m/>
    <s v="#N/A N/A"/>
    <n v="3.0426900000000002E-3"/>
    <n v="3.4916340715275489E-2"/>
    <s v="22/12/2025"/>
  </r>
  <r>
    <x v="4"/>
    <x v="2"/>
    <m/>
    <s v="USD"/>
    <s v="Long"/>
    <m/>
    <n v="14800"/>
    <n v="330.81"/>
    <n v="-9.0678273485633731E-5"/>
    <n v="330.84"/>
    <n v="1"/>
    <n v="1"/>
    <n v="4895988"/>
    <n v="2.0432607214758104E-3"/>
    <n v="-1.8529615683993397E-3"/>
    <n v="0"/>
    <n v="0"/>
    <n v="0"/>
    <n v="4895988"/>
    <n v="2.0432607214758104E-3"/>
    <n v="-1.8529615683993397E-3"/>
    <n v="2535.1634989873342"/>
    <m/>
    <n v="5180"/>
    <n v="0.27706810162248885"/>
    <n v="2.0819631886571897E-3"/>
    <n v="21.696152524078677"/>
    <n v="1.0189415216445923"/>
    <n v="-416.18166622811975"/>
    <m/>
    <s v="04/02/2026"/>
    <n v="5.6522640000000006E-3"/>
    <n v="0.1154904901861175"/>
    <s v="08/12/2025"/>
  </r>
  <r>
    <x v="5"/>
    <x v="2"/>
    <m/>
    <s v="USD"/>
    <s v="Long"/>
    <m/>
    <n v="11435"/>
    <n v="237.459"/>
    <n v="1.330972091832372E-2"/>
    <n v="234.34"/>
    <n v="1"/>
    <n v="1"/>
    <n v="2715343.665"/>
    <n v="1.1332043820374295E-3"/>
    <n v="0.14884525192032069"/>
    <n v="620799.17240202427"/>
    <n v="2.5908040724236783E-4"/>
    <n v="3.5577696780672796E-2"/>
    <n v="3336142.8374020243"/>
    <n v="1.3922847892797975E-3"/>
    <n v="0.18442294870099349"/>
    <n v="3531.7989088642671"/>
    <m/>
    <n v="4917.2698996067047"/>
    <n v="0.23375104558151141"/>
    <n v="1.7810249174606951E-3"/>
    <n v="26.862440487041606"/>
    <n v="1.2792102098464966"/>
    <n v="33431.165551833459"/>
    <m/>
    <s v="05/02/2026"/>
    <n v="1.6642460000000001E-3"/>
    <n v="2.317104391419746E-2"/>
    <s v="#N/A Field Not Applicable"/>
  </r>
  <r>
    <x v="6"/>
    <x v="2"/>
    <m/>
    <s v="USD"/>
    <s v="Long"/>
    <m/>
    <n v="1345"/>
    <n v="659.72"/>
    <n v="1.8668066642990588E-2"/>
    <n v="647.63"/>
    <n v="1"/>
    <n v="1"/>
    <n v="887323.4"/>
    <n v="3.7030994570786714E-4"/>
    <n v="6.7862839441098124E-2"/>
    <n v="4523792.1875846386"/>
    <n v="1.8879308709520576E-3"/>
    <n v="0.3624230067654638"/>
    <n v="5411115.587584639"/>
    <n v="2.2582408166599249E-3"/>
    <n v="0.43028584620656191"/>
    <n v="1271.2323972291274"/>
    <m/>
    <n v="2870.7488868832588"/>
    <n v="0.59919857070918936"/>
    <n v="2.7427830368704771E-3"/>
    <n v="42.454184073809479"/>
    <n v="1.2145662307739258"/>
    <n v="15242.231719875992"/>
    <m/>
    <s v="28/01/2026"/>
    <e v="#VALUE!"/>
    <e v="#VALUE!"/>
    <s v="15/12/2025"/>
  </r>
  <r>
    <x v="7"/>
    <x v="2"/>
    <m/>
    <s v="USD"/>
    <s v="Long"/>
    <m/>
    <n v="3500"/>
    <n v="462.58"/>
    <n v="2.535798200115269E-2"/>
    <n v="451.14"/>
    <n v="1"/>
    <n v="1"/>
    <n v="1619030"/>
    <n v="6.7567575857844858E-4"/>
    <n v="0.16710040810535365"/>
    <n v="1781069.6436613798"/>
    <n v="7.4330036043924444E-4"/>
    <n v="0.19014766094655788"/>
    <n v="3400099.6436613798"/>
    <n v="1.418976119017693E-3"/>
    <n v="0.35724806905191153"/>
    <n v="1812.999777551991"/>
    <m/>
    <n v="2572.6033881306648"/>
    <n v="0.23062286859023098"/>
    <n v="1.4510381216229944E-3"/>
    <n v="26.00442564176576"/>
    <n v="1.0225951671600342"/>
    <n v="37531.337648173569"/>
    <m/>
    <s v="28/01/2026"/>
    <e v="#VALUE!"/>
    <e v="#VALUE!"/>
    <s v="19/02/2026"/>
  </r>
  <r>
    <x v="8"/>
    <x v="3"/>
    <m/>
    <s v="KRW"/>
    <s v="Long"/>
    <m/>
    <n v="2400"/>
    <n v="767000"/>
    <n v="1.5894039735099286E-2"/>
    <n v="755000"/>
    <n v="1467.95"/>
    <n v="1"/>
    <n v="1253993.6646343539"/>
    <n v="5.2333379900581568E-4"/>
    <n v="8.187751744549919E-2"/>
    <n v="0"/>
    <n v="0"/>
    <n v="0"/>
    <n v="1253993.6646343539"/>
    <n v="5.2333379900581568E-4"/>
    <n v="8.187751744549919E-2"/>
    <n v="1605.094113156382"/>
    <m/>
    <n v="0.57222657447460745"/>
    <n v="8.1610373451813656E-2"/>
    <n v="8.3174278010072697E-4"/>
    <n v="24.95092"/>
    <n v="1.589316"/>
    <n v="18389.977546337293"/>
    <m/>
    <s v="29/01/2026"/>
    <e v="#VALUE!"/>
    <e v="#VALUE!"/>
    <s v="27/11/2025"/>
  </r>
  <r>
    <x v="9"/>
    <x v="3"/>
    <m/>
    <s v="USD"/>
    <s v="Long"/>
    <m/>
    <m/>
    <n v="498.2"/>
    <n v="-1.0408390274908697E-2"/>
    <n v="503.44"/>
    <n v="1"/>
    <n v="1"/>
    <n v="0"/>
    <n v="0"/>
    <n v="0"/>
    <n v="323666.57634973526"/>
    <n v="1.3507696552972874E-4"/>
    <n v="-1.9093016160888925E-2"/>
    <n v="323666.57634973526"/>
    <n v="1.3507696552972874E-4"/>
    <n v="-1.9093016160888925E-2"/>
    <n v="1683.3750242874348"/>
    <m/>
    <n v="227.38519012928009"/>
    <n v="5.7341869070811867E-2"/>
    <e v="#VALUE!"/>
    <n v="67.922010354242545"/>
    <s v="#N/A N/A"/>
    <n v="0"/>
    <m/>
    <s v="29/01/2026"/>
    <n v="1.191752E-4"/>
    <n v="1.6097824382398527E-4"/>
    <s v="#N/A N/A"/>
  </r>
  <r>
    <x v="10"/>
    <x v="3"/>
    <m/>
    <s v="USD"/>
    <s v="Long"/>
    <m/>
    <n v="42000"/>
    <n v="115.83"/>
    <n v="-1.3794292611432057E-3"/>
    <n v="115.99"/>
    <n v="1"/>
    <n v="1"/>
    <n v="4864860"/>
    <n v="2.0302699584800474E-3"/>
    <n v="-2.8044823737960859E-2"/>
    <n v="0"/>
    <n v="0"/>
    <n v="0"/>
    <n v="4864860"/>
    <n v="2.0302699584800474E-3"/>
    <n v="-2.8044823737960859E-2"/>
    <n v="7240.4164473797809"/>
    <m/>
    <n v="14699.999999999998"/>
    <n v="0.34167020480647886"/>
    <n v="1.8876378575711317E-3"/>
    <n v="26.926090562834805"/>
    <n v="0.92974722385406494"/>
    <n v="-6298.9657591338937"/>
    <m/>
    <s v="#N/A N/A"/>
    <n v="-5.6039449999999999E-3"/>
    <n v="-0.11377521182474469"/>
    <s v="16/12/2025"/>
  </r>
  <r>
    <x v="11"/>
    <x v="4"/>
    <m/>
    <s v="USD"/>
    <s v="Long"/>
    <m/>
    <n v="1200"/>
    <n v="347"/>
    <n v="-2.1128945809472777E-2"/>
    <n v="354.49"/>
    <n v="1"/>
    <n v="1"/>
    <n v="416400"/>
    <n v="1.7377774709058261E-4"/>
    <n v="-3.7509951749523499E-2"/>
    <n v="853412.99897432327"/>
    <n v="3.5615799303452349E-4"/>
    <n v="-0.1026640868978945"/>
    <n v="1269812.9989743233"/>
    <n v="5.299357401251061E-4"/>
    <n v="-0.14017403864741801"/>
    <n v="2416.8802221902015"/>
    <m/>
    <n v="1280.7912093400953"/>
    <n v="0.31213902969433455"/>
    <n v="1.0707180768293491E-3"/>
    <n v="94.242076858796636"/>
    <n v="2.0204677581787109"/>
    <n v="-8424.8667028417731"/>
    <m/>
    <s v="03/02/2026"/>
    <e v="#VALUE!"/>
    <e v="#VALUE!"/>
    <s v="#N/A N/A"/>
  </r>
  <r>
    <x v="12"/>
    <x v="5"/>
    <m/>
    <s v="USD"/>
    <s v="Long"/>
    <m/>
    <m/>
    <n v="621.91999999999996"/>
    <n v="1.8686771054834406E-3"/>
    <n v="620.76"/>
    <n v="1"/>
    <n v="1"/>
    <n v="0"/>
    <n v="0"/>
    <n v="0"/>
    <n v="5791279.7319889069"/>
    <n v="2.4168961205484757E-3"/>
    <n v="3.2343360709702632E-2"/>
    <n v="5791279.7319889069"/>
    <n v="2.4168961205484757E-3"/>
    <n v="3.2343360709702632E-2"/>
    <n v="1348.497294024955"/>
    <m/>
    <n v="3259.1778784990311"/>
    <n v="0.24718793727949978"/>
    <n v="2.4192364906298067E-3"/>
    <n v="16.363992489567451"/>
    <n v="1.000968337059021"/>
    <n v="0"/>
    <m/>
    <s v="#N/A N/A"/>
    <n v="-1.804232E-3"/>
    <n v="-4.3606413213694177E-2"/>
    <s v="22/12/2025"/>
  </r>
  <r>
    <x v="13"/>
    <x v="6"/>
    <m/>
    <s v="USD"/>
    <s v="Long"/>
    <m/>
    <n v="3430"/>
    <n v="316.81"/>
    <n v="-2.666748594426871E-2"/>
    <n v="325.49"/>
    <n v="1"/>
    <n v="1"/>
    <n v="1086658.3"/>
    <n v="4.5349911438828639E-4"/>
    <n v="-0.12425025450239352"/>
    <n v="1728995.5541610718"/>
    <n v="7.2156808869295024E-4"/>
    <n v="-0.20758177570330422"/>
    <n v="2815653.8541610716"/>
    <n v="1.1750672030812366E-3"/>
    <n v="-0.33183203020569774"/>
    <n v="2647.1937031659354"/>
    <m/>
    <n v="3110.630500793457"/>
    <n v="0.33402393782231393"/>
    <n v="2.3722744408041924E-3"/>
    <n v="45.481509407658507"/>
    <n v="2.0188415050506592"/>
    <n v="-27907.042882030077"/>
    <m/>
    <s v="06/03/2026"/>
    <n v="-2.0983710000000003E-2"/>
    <n v="-0.24657269419967778"/>
    <s v="22/12/2025"/>
  </r>
  <r>
    <x v="14"/>
    <x v="6"/>
    <m/>
    <s v="USD"/>
    <s v="Long"/>
    <m/>
    <n v="4100"/>
    <n v="333.85"/>
    <n v="1.9794116748633073E-2"/>
    <n v="327.37"/>
    <n v="1"/>
    <n v="1"/>
    <n v="1368785"/>
    <n v="5.7124009018103537E-4"/>
    <n v="0.11087721384972651"/>
    <n v="11142096.716210246"/>
    <n v="4.6499722987713623E-3"/>
    <n v="0.6997642589676627"/>
    <n v="12510881.716210246"/>
    <n v="5.2212123889523974E-3"/>
    <n v="0.81064147281738919"/>
    <n v="2512.0785894862961"/>
    <m/>
    <n v="13116.095853447914"/>
    <n v="1.3317979385415151"/>
    <n v="7.6840779451825278E-3"/>
    <n v="40.811913841604344"/>
    <n v="1.4717037677764893"/>
    <n v="24903.411054862103"/>
    <m/>
    <s v="17/04/2026"/>
    <e v="#VALUE!"/>
    <e v="#VALUE!"/>
    <s v="17/03/2026"/>
  </r>
  <r>
    <x v="15"/>
    <x v="6"/>
    <m/>
    <s v="USD"/>
    <s v="Long"/>
    <m/>
    <n v="7000"/>
    <n v="45.61"/>
    <n v="-9.324055666003972E-2"/>
    <n v="50.3"/>
    <n v="1"/>
    <n v="1"/>
    <n v="319270"/>
    <n v="1.3324212611337731E-4"/>
    <n v="-0.13701064930316584"/>
    <n v="0"/>
    <n v="0"/>
    <n v="0"/>
    <n v="319270"/>
    <n v="1.3324212611337731E-4"/>
    <n v="-0.13701064930316584"/>
    <n v="18387.578099101072"/>
    <m/>
    <n v="2449.9999999999995"/>
    <n v="0.10835807878865741"/>
    <n v="1.9471628293491939E-4"/>
    <n v="130.11870278497867"/>
    <n v="1.4613717794418335"/>
    <n v="-30773.072302436023"/>
    <m/>
    <s v="24/04/2026"/>
    <e v="#VALUE!"/>
    <e v="#VALUE!"/>
    <s v="03/09/2024"/>
  </r>
  <r>
    <x v="16"/>
    <x v="6"/>
    <m/>
    <s v="USD"/>
    <s v="Long"/>
    <m/>
    <n v="23008"/>
    <n v="187.57"/>
    <n v="1.4769530404674214E-2"/>
    <n v="184.84"/>
    <n v="1"/>
    <n v="1"/>
    <n v="4315610.5599999996"/>
    <n v="1.8010496648346002E-3"/>
    <n v="0.26213496747872478"/>
    <n v="0"/>
    <n v="0"/>
    <n v="0"/>
    <n v="4315610.5599999996"/>
    <n v="1.8010496648346002E-3"/>
    <n v="0.26213496747872478"/>
    <n v="4471.1704275737056"/>
    <m/>
    <n v="8052.7999999999993"/>
    <n v="0.39807949188883962"/>
    <n v="3.3473641715428869E-3"/>
    <n v="35.364221179355191"/>
    <n v="1.8585629463195801"/>
    <n v="58876.432950625538"/>
    <m/>
    <s v="25/02/2026"/>
    <n v="1.514825E-2"/>
    <n v="0.27282750585330734"/>
    <s v="04/12/2025"/>
  </r>
  <r>
    <x v="17"/>
    <x v="6"/>
    <m/>
    <s v="USD"/>
    <s v="Short"/>
    <m/>
    <n v="-49"/>
    <n v="81.3"/>
    <n v="-2.166064981949456E-2"/>
    <n v="83.1"/>
    <n v="1"/>
    <n v="1"/>
    <n v="-3983.7"/>
    <n v="-1.6625322072160277E-6"/>
    <n v="3.6808831156074354E-4"/>
    <n v="-585467.54678338766"/>
    <n v="-2.4433532967019065E-4"/>
    <n v="4.1420368392748097E-2"/>
    <n v="-589451.24678338761"/>
    <n v="-2.4599786187740665E-4"/>
    <n v="4.1788456704308842E-2"/>
    <n v="10315.589632226322"/>
    <m/>
    <n v="-2537.6129935324188"/>
    <n v="-4.3833319556832243E-2"/>
    <n v="-4.8667665482430092E-4"/>
    <n v="28.509723928365933"/>
    <n v="1.9783775806427002"/>
    <n v="82.673925588633978"/>
    <m/>
    <s v="05/03/2026"/>
    <n v="-2.2743679999999999E-2"/>
    <n v="5.5948966512239365E-2"/>
    <s v="09/01/2026"/>
  </r>
  <r>
    <x v="18"/>
    <x v="7"/>
    <m/>
    <s v="USD"/>
    <s v="Long"/>
    <m/>
    <n v="26100"/>
    <n v="16.664999999999999"/>
    <n v="-2.4297423887587821E-2"/>
    <n v="17.079999999999998"/>
    <n v="1"/>
    <n v="1"/>
    <n v="434956.5"/>
    <n v="1.8152199964554513E-4"/>
    <n v="-4.5203498261566805E-2"/>
    <n v="0"/>
    <n v="0"/>
    <n v="0"/>
    <n v="434956.5"/>
    <n v="1.8152199964554513E-4"/>
    <n v="-4.5203498261566805E-2"/>
    <n v="50324.478673867387"/>
    <m/>
    <n v="9135"/>
    <n v="0.12450243488521358"/>
    <n v="3.7281912038244184E-4"/>
    <n v="109.74091085671363"/>
    <n v="2.0538508892059326"/>
    <n v="-10152.864229175608"/>
    <m/>
    <s v="24/02/2026"/>
    <n v="-1.1709870000000001E-3"/>
    <n v="-2.1255990179893797E-3"/>
    <s v="12/10/2017"/>
  </r>
  <r>
    <x v="19"/>
    <x v="8"/>
    <m/>
    <s v="USD"/>
    <s v="Long"/>
    <m/>
    <n v="45750"/>
    <n v="53.23"/>
    <n v="-1.0778665675525101E-2"/>
    <n v="53.81"/>
    <n v="1"/>
    <n v="1"/>
    <n v="2435272.5"/>
    <n v="1.0163212502441183E-3"/>
    <n v="-0.11073949373315689"/>
    <n v="0"/>
    <n v="0"/>
    <n v="0"/>
    <n v="2435272.5"/>
    <n v="1.0163212502441183E-3"/>
    <n v="-0.11073949373315689"/>
    <n v="15755.352941950028"/>
    <m/>
    <n v="16012.500000000002"/>
    <n v="0.10961954151166595"/>
    <n v="1.0162186320148536E-3"/>
    <n v="17.257463265334351"/>
    <n v="0.99989902973175049"/>
    <n v="-24872.478633723662"/>
    <m/>
    <s v="#N/A N/A"/>
    <n v="-6.3185309999999996E-3"/>
    <n v="-6.4216573256262191E-2"/>
    <s v="22/12/2025"/>
  </r>
  <r>
    <x v="20"/>
    <x v="8"/>
    <m/>
    <s v="USD"/>
    <s v="Short"/>
    <m/>
    <n v="-10000"/>
    <n v="22.8306"/>
    <n v="4.8679577464789681E-3"/>
    <n v="22.72"/>
    <n v="1"/>
    <n v="1"/>
    <n v="-228306"/>
    <n v="-9.5279784647604601E-5"/>
    <n v="-4.6157105735395564E-3"/>
    <n v="0"/>
    <n v="0"/>
    <n v="0"/>
    <n v="-228306"/>
    <n v="-9.5279784647604601E-5"/>
    <n v="-4.6157105735395564E-3"/>
    <n v="36733.920137885114"/>
    <m/>
    <n v="-3500"/>
    <n v="-2.6020815545064472E-2"/>
    <n v="-3.4914380901165601E-5"/>
    <n v="43.695842749944589"/>
    <n v="0.36644059419631958"/>
    <n v="-1036.7047811908235"/>
    <m/>
    <s v="11/02/2026"/>
    <e v="#VALUE!"/>
    <e v="#VALUE!"/>
    <s v="28/11/2025"/>
  </r>
  <r>
    <x v="21"/>
    <x v="8"/>
    <m/>
    <s v="USD"/>
    <s v="Short"/>
    <m/>
    <n v="-27500"/>
    <n v="82.4"/>
    <n v="1.5801628783276289E-3"/>
    <n v="82.27"/>
    <n v="1"/>
    <n v="1"/>
    <n v="-2266000"/>
    <n v="-9.4567813378304566E-4"/>
    <n v="-1.4919679295121975E-2"/>
    <n v="0"/>
    <n v="0"/>
    <n v="0"/>
    <n v="-2266000"/>
    <n v="-9.4567813378304566E-4"/>
    <n v="-1.4919679295121975E-2"/>
    <n v="10177.881518203883"/>
    <m/>
    <n v="-9625"/>
    <n v="-6.0169186309794787E-2"/>
    <n v="-9.4844089657093863E-4"/>
    <n v="10.180070222259973"/>
    <n v="1.002921462059021"/>
    <n v="-3351.0122900157476"/>
    <m/>
    <s v="#N/A N/A"/>
    <n v="-2.430612E-4"/>
    <n v="2.298576620110676E-3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1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44" firstHeaderRow="0" firstDataRow="1" firstDataCol="1"/>
  <pivotFields count="34">
    <pivotField axis="axisRow" showAll="0">
      <items count="184">
        <item m="1" x="180"/>
        <item m="1" x="176"/>
        <item m="1" x="156"/>
        <item m="1" x="82"/>
        <item m="1" x="137"/>
        <item x="2"/>
        <item m="1" x="100"/>
        <item m="1" x="61"/>
        <item m="1" x="102"/>
        <item m="1" x="81"/>
        <item m="1" x="113"/>
        <item x="3"/>
        <item m="1" x="181"/>
        <item m="1" x="174"/>
        <item m="1" x="179"/>
        <item m="1" x="86"/>
        <item m="1" x="152"/>
        <item m="1" x="48"/>
        <item m="1" x="35"/>
        <item x="6"/>
        <item m="1" x="49"/>
        <item x="7"/>
        <item m="1" x="94"/>
        <item m="1" x="121"/>
        <item x="16"/>
        <item m="1" x="182"/>
        <item m="1" x="29"/>
        <item m="1" x="36"/>
        <item m="1" x="74"/>
        <item x="14"/>
        <item m="1" x="46"/>
        <item m="1" x="45"/>
        <item m="1" x="34"/>
        <item x="19"/>
        <item x="21"/>
        <item m="1" x="178"/>
        <item m="1" x="177"/>
        <item m="1" x="44"/>
        <item m="1" x="62"/>
        <item m="1" x="168"/>
        <item m="1" x="38"/>
        <item x="12"/>
        <item m="1" x="54"/>
        <item m="1" x="55"/>
        <item m="1" x="56"/>
        <item m="1" x="66"/>
        <item m="1" x="60"/>
        <item m="1" x="75"/>
        <item m="1" x="175"/>
        <item m="1" x="90"/>
        <item m="1" x="134"/>
        <item m="1" x="118"/>
        <item m="1" x="57"/>
        <item m="1" x="166"/>
        <item m="1" x="116"/>
        <item m="1" x="172"/>
        <item m="1" x="111"/>
        <item m="1" x="173"/>
        <item m="1" x="162"/>
        <item m="1" x="171"/>
        <item m="1" x="167"/>
        <item x="5"/>
        <item m="1" x="169"/>
        <item m="1" x="170"/>
        <item m="1" x="154"/>
        <item m="1" x="165"/>
        <item m="1" x="97"/>
        <item m="1" x="142"/>
        <item x="13"/>
        <item m="1" x="140"/>
        <item m="1" x="149"/>
        <item m="1" x="71"/>
        <item m="1" x="88"/>
        <item m="1" x="155"/>
        <item m="1" x="52"/>
        <item m="1" x="148"/>
        <item m="1" x="164"/>
        <item m="1" x="163"/>
        <item m="1" x="108"/>
        <item m="1" x="109"/>
        <item x="10"/>
        <item m="1" x="63"/>
        <item m="1" x="161"/>
        <item m="1" x="24"/>
        <item m="1" x="159"/>
        <item m="1" x="158"/>
        <item m="1" x="124"/>
        <item m="1" x="96"/>
        <item m="1" x="157"/>
        <item m="1" x="160"/>
        <item x="17"/>
        <item m="1" x="150"/>
        <item m="1" x="107"/>
        <item m="1" x="50"/>
        <item m="1" x="91"/>
        <item m="1" x="153"/>
        <item m="1" x="64"/>
        <item m="1" x="117"/>
        <item m="1" x="151"/>
        <item m="1" x="58"/>
        <item m="1" x="135"/>
        <item m="1" x="136"/>
        <item m="1" x="122"/>
        <item m="1" x="65"/>
        <item m="1" x="147"/>
        <item m="1" x="103"/>
        <item m="1" x="146"/>
        <item m="1" x="144"/>
        <item m="1" x="145"/>
        <item m="1" x="143"/>
        <item m="1" x="139"/>
        <item m="1" x="78"/>
        <item m="1" x="26"/>
        <item m="1" x="141"/>
        <item m="1" x="138"/>
        <item m="1" x="120"/>
        <item m="1" x="30"/>
        <item m="1" x="127"/>
        <item m="1" x="128"/>
        <item m="1" x="68"/>
        <item m="1" x="131"/>
        <item m="1" x="123"/>
        <item m="1" x="112"/>
        <item m="1" x="125"/>
        <item m="1" x="133"/>
        <item m="1" x="130"/>
        <item m="1" x="132"/>
        <item m="1" x="98"/>
        <item m="1" x="73"/>
        <item m="1" x="129"/>
        <item m="1" x="87"/>
        <item m="1" x="126"/>
        <item m="1" x="104"/>
        <item m="1" x="105"/>
        <item m="1" x="92"/>
        <item m="1" x="69"/>
        <item m="1" x="114"/>
        <item m="1" x="53"/>
        <item m="1" x="99"/>
        <item m="1" x="89"/>
        <item m="1" x="93"/>
        <item m="1" x="95"/>
        <item m="1" x="70"/>
        <item m="1" x="115"/>
        <item m="1" x="119"/>
        <item m="1" x="110"/>
        <item m="1" x="101"/>
        <item m="1" x="28"/>
        <item m="1" x="106"/>
        <item m="1" x="79"/>
        <item m="1" x="85"/>
        <item m="1" x="67"/>
        <item m="1" x="23"/>
        <item m="1" x="77"/>
        <item m="1" x="84"/>
        <item m="1" x="83"/>
        <item m="1" x="80"/>
        <item m="1" x="76"/>
        <item m="1" x="72"/>
        <item m="1" x="59"/>
        <item m="1" x="51"/>
        <item m="1" x="47"/>
        <item m="1" x="39"/>
        <item x="11"/>
        <item m="1" x="37"/>
        <item m="1" x="40"/>
        <item m="1" x="31"/>
        <item m="1" x="43"/>
        <item m="1" x="41"/>
        <item x="18"/>
        <item m="1" x="42"/>
        <item m="1" x="27"/>
        <item x="1"/>
        <item x="0"/>
        <item x="4"/>
        <item m="1" x="33"/>
        <item m="1" x="22"/>
        <item m="1" x="25"/>
        <item m="1" x="32"/>
        <item x="8"/>
        <item x="20"/>
        <item x="9"/>
        <item x="15"/>
        <item t="default"/>
      </items>
    </pivotField>
    <pivotField axis="axisRow" showAll="0">
      <items count="28">
        <item x="0"/>
        <item m="1" x="18"/>
        <item x="5"/>
        <item m="1" x="10"/>
        <item sd="0" m="1" x="24"/>
        <item x="1"/>
        <item m="1" x="13"/>
        <item m="1" x="22"/>
        <item m="1" x="26"/>
        <item m="1" x="11"/>
        <item m="1" x="12"/>
        <item m="1" x="25"/>
        <item m="1" x="23"/>
        <item x="6"/>
        <item x="3"/>
        <item m="1" x="17"/>
        <item m="1" x="20"/>
        <item m="1" x="21"/>
        <item m="1" x="16"/>
        <item m="1" x="15"/>
        <item m="1" x="19"/>
        <item x="4"/>
        <item m="1" x="14"/>
        <item x="7"/>
        <item m="1" x="9"/>
        <item x="2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2">
    <i>
      <x/>
    </i>
    <i r="1">
      <x v="5"/>
    </i>
    <i r="1">
      <x v="172"/>
    </i>
    <i r="1">
      <x v="173"/>
    </i>
    <i>
      <x v="2"/>
    </i>
    <i r="1">
      <x v="41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 r="1">
      <x v="181"/>
    </i>
    <i>
      <x v="21"/>
    </i>
    <i r="1">
      <x v="163"/>
    </i>
    <i>
      <x v="23"/>
    </i>
    <i r="1">
      <x v="169"/>
    </i>
    <i>
      <x v="2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54">
      <pivotArea outline="0" collapsedLevelsAreSubtotals="1" fieldPosition="0"/>
    </format>
    <format dxfId="15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51">
      <pivotArea outline="0" collapsedLevelsAreSubtotals="1" fieldPosition="0"/>
    </format>
    <format dxfId="150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9">
      <pivotArea outline="0" collapsedLevelsAreSubtotals="1" fieldPosition="0"/>
    </format>
    <format dxfId="148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7">
      <pivotArea outline="0" collapsedLevelsAreSubtotals="1" fieldPosition="0"/>
    </format>
    <format dxfId="146">
      <pivotArea type="all" dataOnly="0" outline="0" fieldPosition="0"/>
    </format>
    <format dxfId="145">
      <pivotArea dataOnly="0" labelOnly="1" grandRow="1" outline="0" fieldPosition="0"/>
    </format>
    <format dxfId="144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3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9">
      <pivotArea dataOnly="0" labelOnly="1" grandRow="1" outline="0" fieldPosition="0"/>
    </format>
    <format dxfId="138">
      <pivotArea type="all" dataOnly="0" outline="0" fieldPosition="0"/>
    </format>
    <format dxfId="13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6">
      <pivotArea type="all" dataOnly="0" outline="0" fieldPosition="0"/>
    </format>
    <format dxfId="135">
      <pivotArea outline="0" collapsedLevelsAreSubtotals="1" fieldPosition="0"/>
    </format>
    <format dxfId="134">
      <pivotArea dataOnly="0" labelOnly="1" grandRow="1" outline="0" fieldPosition="0"/>
    </format>
    <format dxfId="13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30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9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8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7">
      <pivotArea type="all" dataOnly="0" outline="0" fieldPosition="0"/>
    </format>
    <format dxfId="126">
      <pivotArea outline="0" collapsedLevelsAreSubtotals="1" fieldPosition="0"/>
    </format>
    <format dxfId="125">
      <pivotArea dataOnly="0" labelOnly="1" grandRow="1" outline="0" fieldPosition="0"/>
    </format>
    <format dxfId="12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3">
      <pivotArea type="all" dataOnly="0" outline="0" fieldPosition="0"/>
    </format>
    <format dxfId="122">
      <pivotArea outline="0" collapsedLevelsAreSubtotals="1" fieldPosition="0"/>
    </format>
    <format dxfId="121">
      <pivotArea dataOnly="0" labelOnly="1" grandRow="1" outline="0" fieldPosition="0"/>
    </format>
    <format dxfId="120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8">
      <pivotArea field="1" type="button" dataOnly="0" labelOnly="1" outline="0" axis="axisRow" fieldPosition="0"/>
    </format>
    <format dxfId="117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6">
      <pivotArea field="1" type="button" dataOnly="0" labelOnly="1" outline="0" axis="axisRow" fieldPosition="0"/>
    </format>
    <format dxfId="115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4">
      <pivotArea field="1" type="button" dataOnly="0" labelOnly="1" outline="0" axis="axisRow" fieldPosition="0"/>
    </format>
    <format dxfId="11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552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33" totalsRowShown="0" headerRowDxfId="112" dataDxfId="110" headerRowBorderDxfId="111" tableBorderDxfId="109">
  <autoFilter ref="B11:AI33" xr:uid="{488A667B-27C2-4003-A53C-C52DE885F6F5}"/>
  <sortState xmlns:xlrd2="http://schemas.microsoft.com/office/spreadsheetml/2017/richdata2" ref="B12:AI33">
    <sortCondition ref="C11:C33"/>
  </sortState>
  <tableColumns count="34">
    <tableColumn id="1" xr3:uid="{C4869650-AB2A-4E52-A8FD-8FC4A1E9B450}" name="Ticker" dataDxfId="108" totalsRowDxfId="107"/>
    <tableColumn id="2" xr3:uid="{3392DCC0-4423-44FF-B70A-0E06289D8EEE}" name="Sector" dataDxfId="106"/>
    <tableColumn id="29" xr3:uid="{7A835F51-8D98-481A-BCE1-CD91D7445A8F}" name="Diretoria" dataDxfId="105"/>
    <tableColumn id="3" xr3:uid="{B1589ED3-B8E2-4F6B-B66F-D68F68C1ABA6}" name="Crncy" dataDxfId="104"/>
    <tableColumn id="4" xr3:uid="{616D46BC-AC49-4393-8BDA-875BFB778D29}" name="Long / Short" dataDxfId="103" totalsRowDxfId="102">
      <calculatedColumnFormula>IF(T12&gt;0,"Long","Short")</calculatedColumnFormula>
    </tableColumn>
    <tableColumn id="33" xr3:uid="{F6985B5B-9203-43DA-8157-CAE6E92D0561}" name="Qtdd " dataDxfId="101"/>
    <tableColumn id="5" xr3:uid="{9A4DCF38-5D0D-4646-8CF9-69904711743E}" name="Qtt Shs" dataDxfId="100"/>
    <tableColumn id="6" xr3:uid="{BC11B5F3-DE4D-477B-AAED-C5AB103E9DA0}" name="Price Today" dataDxfId="99" totalsRowDxfId="98">
      <calculatedColumnFormula array="1">_xll.BDP(B12&amp;" Equity","LAST_PRICE")</calculatedColumnFormula>
    </tableColumn>
    <tableColumn id="7" xr3:uid="{704FFD7D-1208-4AA6-81A9-0E257F085F19}" name="% Chg" dataDxfId="97" totalsRowDxfId="96">
      <calculatedColumnFormula>I12/K12-1</calculatedColumnFormula>
    </tableColumn>
    <tableColumn id="8" xr3:uid="{E069BEAC-4A43-4F60-BD21-C3F1FDA777D4}" name="Price Yest" dataDxfId="95" dataCellStyle="Comma">
      <calculatedColumnFormula array="1">_xll.BDP(B12&amp;" EQUITY","PX_YEST_CLOSE")</calculatedColumnFormula>
    </tableColumn>
    <tableColumn id="9" xr3:uid="{A2F51CF4-C965-4A1F-975F-FCDA401F7124}" name="FX" dataDxfId="94">
      <calculatedColumnFormula array="1">_xll.BDP(E12&amp;" Curncy","PX_LAST")</calculatedColumnFormula>
    </tableColumn>
    <tableColumn id="10" xr3:uid="{0525E66F-8EF5-4CCF-835F-559F3DAE7E58}" name="Mult" dataDxfId="93" totalsRowDxfId="92" dataCellStyle="Comma"/>
    <tableColumn id="11" xr3:uid="{8FC681CE-75F1-4027-AD99-551C42A97619}" name="D1 Exp USD" dataDxfId="91">
      <calculatedColumnFormula>IFERROR(IF(((I12/L12)*H12*M12)&lt;&gt;0,((I12/L12)*H12*M12),0),"-")</calculatedColumnFormula>
    </tableColumn>
    <tableColumn id="12" xr3:uid="{BE55CED1-1EEB-46EA-A2E5-D244B7925B83}" name="D1 Exp %" dataDxfId="90">
      <calculatedColumnFormula>IFERROR(IF(Tabelad[[#This Row],[D1 Exp USD]]&lt;&gt;0,N12/$AE$7,0),"-")</calculatedColumnFormula>
    </tableColumn>
    <tableColumn id="13" xr3:uid="{622A85AF-E726-48C1-A6C0-2A26A6E13A5C}" name="D1 P&amp;L bps" dataDxfId="89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88" totalsRowDxfId="87">
      <calculatedColumnFormula>IF(SUM(SUMIFS(Options!$AL$4:$AL$23, Options!$D$4:$D$23, B12), SUMIFS(Options!$AL$4:$AL$23, Options!$D$4:$D$23, B12 &amp; " US"))=0,0,SUM(SUMIFS(Options!$AL$4:$AL$23, Options!$D$4:$D$23, B12), SUMIFS(Options!$AL$4:$AL$23, Options!$D$4:$D$23, B12 &amp; " US")))</calculatedColumnFormula>
    </tableColumn>
    <tableColumn id="15" xr3:uid="{F6743957-5F8D-4443-94E6-3E6136CB024F}" name="Option Exp %" dataDxfId="86" totalsRowDxfId="85" dataCellStyle="Percent">
      <calculatedColumnFormula>Q12/$AE$7</calculatedColumnFormula>
    </tableColumn>
    <tableColumn id="16" xr3:uid="{48C8F341-ED13-4859-B6ED-AB346A494BEF}" name="Options P&amp;L bps" dataDxfId="84" totalsRowDxfId="83">
      <calculatedColumnFormula>IF(SUM(SUMIFS(Options!$AK$4:$AK$23, Options!$D$4:$D$23, B12), SUMIFS(Options!$AK$4:$AK$23, Options!$D$4:$D$23, B12 &amp; " US"))=0,0,SUM(SUMIFS(Options!$AK$4:$AK$23, Options!$D$4:$D$23, B12), SUMIFS(Options!AK$4:$AK$23, Options!$D$4:$D$23, B12 &amp; " US")))</calculatedColumnFormula>
    </tableColumn>
    <tableColumn id="17" xr3:uid="{4E94A772-CD12-4BE4-A04C-0E1B9CF86096}" name="Exp" dataDxfId="82" totalsRowDxfId="81">
      <calculatedColumnFormula>N12+Q12</calculatedColumnFormula>
    </tableColumn>
    <tableColumn id="18" xr3:uid="{56683745-C1CE-4341-A873-C851B97E4432}" name="Exp %" dataDxfId="80" totalsRowDxfId="79">
      <calculatedColumnFormula>T12/$AE$7</calculatedColumnFormula>
    </tableColumn>
    <tableColumn id="19" xr3:uid="{AD790890-4299-4C9E-A460-9342E2B4BE92}" name="P&amp;L bps" dataDxfId="78" totalsRowDxfId="77">
      <calculatedColumnFormula>P12+S12</calculatedColumnFormula>
    </tableColumn>
    <tableColumn id="20" xr3:uid="{A3132FF2-B491-42D2-B6D5-98FB024D0411}" name="xx" dataDxfId="76" totalsRowDxfId="75">
      <calculatedColumnFormula>$W$10/(I12/L12*M12)</calculatedColumnFormula>
    </tableColumn>
    <tableColumn id="21" xr3:uid="{68119C5E-24ED-4841-8DFC-985A70CC957B}" name="Ticker2" dataDxfId="74" totalsRowDxfId="73"/>
    <tableColumn id="22" xr3:uid="{EAB0ADAA-AF64-4574-AD5E-BAD2211681D1}" name="xx2" dataDxfId="72" totalsRowDxfId="71">
      <calculatedColumnFormula>Tabelad[[#This Row],[Exp %]]*$Y$10*$AD$7/Tabelad[[#This Row],[Price Today]]</calculatedColumnFormula>
    </tableColumn>
    <tableColumn id="23" xr3:uid="{160D9866-3FEF-4C23-ADDC-0615A4FD8D8A}" name="Beta Adj" dataDxfId="70">
      <calculatedColumnFormula>Tabelad[[#This Row],[Vol 10d]]/16*Tabelad[[#This Row],[Exp %]]*100</calculatedColumnFormula>
    </tableColumn>
    <tableColumn id="27" xr3:uid="{5FC9F15D-E683-4C75-83A6-A027ED24C573}" name="Expo Beta Adj" dataDxfId="69" totalsRowDxfId="68">
      <calculatedColumnFormula>Tabelad[[#This Row],[Exp %]]*Tabelad[[#This Row],[Beta Adj2]]</calculatedColumnFormula>
    </tableColumn>
    <tableColumn id="24" xr3:uid="{02F0D998-EE72-4509-80A1-181D260811AE}" name="Vol 10d" dataDxfId="67">
      <calculatedColumnFormula>_xll.BDP($B12&amp;" Equity","volatility_10d")</calculatedColumnFormula>
    </tableColumn>
    <tableColumn id="25" xr3:uid="{06753197-209B-42CE-8324-F5BF4E6BBC8C}" name="Beta Adj2" dataDxfId="66" totalsRowDxfId="65">
      <calculatedColumnFormula>_xll.BDP(B12&amp;" EQUITY","eqy_beta")</calculatedColumnFormula>
    </tableColumn>
    <tableColumn id="26" xr3:uid="{E0099784-2515-472D-A708-E950C7C1F961}" name="Daily P&amp;L" dataDxfId="64" totalsRowDxfId="63">
      <calculatedColumnFormula>Tabelad[[#This Row],[D1 P&amp;L bps]]*$AD$5/10000</calculatedColumnFormula>
    </tableColumn>
    <tableColumn id="28" xr3:uid="{E8C15306-AE60-46ED-BE32-1873B2B613BE}" name="VALUE" dataDxfId="62" totalsRowDxfId="61"/>
    <tableColumn id="30" xr3:uid="{3553EED7-0690-4464-BFF1-737C1D716FE2}" name="Report Date2" dataDxfId="60" totalsRowDxfId="59">
      <calculatedColumnFormula>_xll.BDP(B12&amp;" Equity","EXPECTED_REPORT_DT")</calculatedColumnFormula>
    </tableColumn>
    <tableColumn id="31" xr3:uid="{5102101F-2C4E-4C70-B272-6AB453BA1BFE}" name="Column3" dataDxfId="58" totalsRowDxfId="57">
      <calculatedColumnFormula>_xll.BDP(B12&amp;" Index","CHG_PCT_1D_PRE_FROM_REGULAR")/100</calculatedColumnFormula>
    </tableColumn>
    <tableColumn id="32" xr3:uid="{78144925-541C-4BB9-B1CE-5128912D0AEA}" name="Column4" dataDxfId="56">
      <calculatedColumnFormula>(T12*AG12)/$AD$7*10000</calculatedColumnFormula>
    </tableColumn>
    <tableColumn id="34" xr3:uid="{F48AA587-E15F-424C-9278-DC54512DF635}" name="Column5" dataDxfId="55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50" dataDxfId="49" totalsRowBorderDxfId="48">
  <autoFilter ref="F3:G136" xr:uid="{50594F44-C7EB-4454-89DA-F08A9C91DB54}"/>
  <tableColumns count="2">
    <tableColumn id="1" xr3:uid="{C2C1762E-B58F-491C-8249-F5F204F351C6}" name="De (Lote)" totalsRowFunction="count" dataDxfId="47"/>
    <tableColumn id="2" xr3:uid="{2A11C67E-26BC-4BE0-826C-B31A77595F54}" name="Para (Ticker Daniel)" totalsRowFunction="count" dataDxfId="46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8.2692307692307621E-2</v>
      </c>
      <c r="B6" s="145">
        <f>H6-J6</f>
        <v>10.400000000000002</v>
      </c>
      <c r="C6" s="145">
        <f>L6-H6</f>
        <v>0.85999999999999943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33.49</v>
      </c>
      <c r="I6" s="153">
        <f>H6/J6-1</f>
        <v>0.45041143352100477</v>
      </c>
      <c r="J6" s="149" cm="1">
        <f t="array" ref="J6">IF(ISTEXT($E6),_xll.BDH($E6,"PX_LAST",J$2,J$2,"Fill=P","CDR=US"),"")</f>
        <v>23.09</v>
      </c>
      <c r="K6" s="153">
        <f t="shared" ref="K6:K20" si="0">H6/L6-1</f>
        <v>-2.5036390101892292E-2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2.9596319422125816E-2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7950.19</v>
      </c>
      <c r="I7" s="153">
        <f t="shared" ref="I7:I20" si="1">H7/J7-1</f>
        <v>0.52700037069689087</v>
      </c>
      <c r="J7" s="143" cm="1">
        <f t="array" ref="J7">IF(ISTEXT($E7),_xll.BDH($E7,"PX_LAST",J$2,J$2,"Fill=P","CDR=US"),"")</f>
        <v>5206.41</v>
      </c>
      <c r="K7" s="153">
        <f t="shared" si="0"/>
        <v>-1.5744005467132838E-2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16.988181784321764</v>
      </c>
      <c r="Q7" s="153">
        <f>$P7/T7-1</f>
        <v>0.25815084497846796</v>
      </c>
      <c r="R7" s="153">
        <f>$P7/U7-1</f>
        <v>0.12428527329626782</v>
      </c>
      <c r="S7" s="144" cm="1">
        <f t="array" ref="S7">_xll.BDP($E7,S$2)</f>
        <v>10.856366875550453</v>
      </c>
      <c r="T7" s="150">
        <f>MEDIAN(_xll.BDH($E7," best pe ratio","-7ay",""," be997=1gy","array=true"," dts=h"  ))</f>
        <v>13.502500000000001</v>
      </c>
      <c r="U7" s="151">
        <f>T7+W7</f>
        <v>15.110205734986174</v>
      </c>
      <c r="V7" s="151">
        <f>T7-W7</f>
        <v>11.894794265013829</v>
      </c>
      <c r="W7" s="150">
        <f>STDEV(_xll.BDH($E7," best pe ratio","-7ay",""," be997=1gy","array=true"," dts=h"  ))</f>
        <v>1.6077057349861732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4702.5</v>
      </c>
      <c r="I8" s="154">
        <f t="shared" si="1"/>
        <v>0.46369476711612445</v>
      </c>
      <c r="J8" s="140" cm="1">
        <f t="array" ref="J8">IF(ISTEXT($E8),_xll.BDH($E8,"PX_LAST",J$2,J$2,"Fill=P","CDR=US"),"")</f>
        <v>3212.76</v>
      </c>
      <c r="K8" s="154">
        <f t="shared" si="0"/>
        <v>-2.7798451920214351E-2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16.868241472380262</v>
      </c>
      <c r="Q8" s="154">
        <f>P8/T8-1</f>
        <v>0.23708272321368939</v>
      </c>
      <c r="R8" s="154">
        <f>$P8/U8-1</f>
        <v>0.10125824848351184</v>
      </c>
      <c r="S8" s="141" cm="1">
        <f t="array" ref="S8">_xll.BDP($E8,S$2)</f>
        <v>10.806169067575697</v>
      </c>
      <c r="T8" s="146">
        <f>MEDIAN(_xll.BDH($E8," best pe ratio","-7ay",""," be997=1gy","array=true"," dts=h"  ))</f>
        <v>13.6355</v>
      </c>
      <c r="U8" s="147">
        <f>T8+W8</f>
        <v>15.317244157406932</v>
      </c>
      <c r="V8" s="147">
        <f>T8-W8</f>
        <v>11.953755842593068</v>
      </c>
      <c r="W8" s="146">
        <f>STDEV(_xll.BDH($E8," best pe ratio","-7ay",""," be997=1gy","array=true"," dts=h"  ))</f>
        <v>1.6817441574069329</v>
      </c>
    </row>
    <row r="9" spans="1:26">
      <c r="A9" s="2">
        <f>C9/B9</f>
        <v>0.22655246252676692</v>
      </c>
      <c r="B9" s="145">
        <f>H9-J9</f>
        <v>11.674999999999997</v>
      </c>
      <c r="C9" s="145">
        <f>L9-H9</f>
        <v>2.6450000000000031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39.354999999999997</v>
      </c>
      <c r="I9" s="153">
        <f t="shared" si="1"/>
        <v>0.42178468208092479</v>
      </c>
      <c r="J9" s="149" cm="1">
        <f t="array" ref="J9">IF(ISTEXT($E9),_xll.BDH($E9,"PX_LAST",J$2,J$2,"Fill=P","CDR=US"),"")</f>
        <v>27.68</v>
      </c>
      <c r="K9" s="153">
        <f t="shared" si="0"/>
        <v>-6.2976190476190519E-2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36760.959999999999</v>
      </c>
      <c r="I10" s="153">
        <f t="shared" si="1"/>
        <v>0.50200329974479696</v>
      </c>
      <c r="J10" s="143" cm="1">
        <f t="array" ref="J10">IF(ISTEXT($E10),_xll.BDH($E10,"PX_LAST",J$2,J$2,"Fill=P","CDR=US"),"")</f>
        <v>24474.62</v>
      </c>
      <c r="K10" s="153">
        <f t="shared" si="0"/>
        <v>-5.3443023959419689E-2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11.264256585781752</v>
      </c>
      <c r="Q10" s="153">
        <f>P10/T10-1</f>
        <v>0.23576625699729603</v>
      </c>
      <c r="R10" s="153">
        <f>$P10/U10-1</f>
        <v>6.629441579755091E-2</v>
      </c>
      <c r="S10" s="144" cm="1">
        <f t="array" ref="S10">_xll.BDP($E10,S$2)</f>
        <v>11.214284954019213</v>
      </c>
      <c r="T10" s="150">
        <f>MEDIAN(_xll.BDH($E10," best pe ratio","-7ay",""," be997=1gy","array=true"," dts=h"  ))</f>
        <v>9.1151999999999997</v>
      </c>
      <c r="U10" s="151">
        <f>T10+W10</f>
        <v>10.563927203310431</v>
      </c>
      <c r="V10" s="151">
        <f>T10-W10</f>
        <v>7.6664727966895674</v>
      </c>
      <c r="W10" s="150">
        <f>STDEV(_xll.BDH($E10," best pe ratio","-7ay",""," be997=1gy","array=true"," dts=h"  ))</f>
        <v>1.4487272033104321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14827.12</v>
      </c>
      <c r="I11" s="154">
        <f t="shared" si="1"/>
        <v>0.3090992565909132</v>
      </c>
      <c r="J11" s="140" cm="1">
        <f t="array" ref="J11">IF(ISTEXT($E11),_xll.BDH($E11,"PX_LAST",J$2,J$2,"Fill=P","CDR=US"),"")</f>
        <v>11326.2</v>
      </c>
      <c r="K11" s="154">
        <f t="shared" si="0"/>
        <v>-5.9169611430739733E-2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13.336695702859242</v>
      </c>
      <c r="Q11" s="154">
        <f>P11/T11-1</f>
        <v>0.15470226606803883</v>
      </c>
      <c r="R11" s="154">
        <f>$P11/U11-1</f>
        <v>2.3025343583724212E-2</v>
      </c>
      <c r="S11" s="141" cm="1">
        <f t="array" ref="S11">_xll.BDP($E11,S$2)</f>
        <v>12.197313985884302</v>
      </c>
      <c r="T11" s="146">
        <f>MEDIAN(_xll.BDH($E11," best pe ratio","-7ay",""," be997=1gy","array=true"," dts=h"  ))</f>
        <v>11.549899999999999</v>
      </c>
      <c r="U11" s="147">
        <f>T11+W11</f>
        <v>13.036525230293837</v>
      </c>
      <c r="V11" s="147">
        <f>T11-W11</f>
        <v>10.063274769706162</v>
      </c>
      <c r="W11" s="146">
        <f>STDEV(_xll.BDH($E11," best pe ratio","-7ay",""," be997=1gy","array=true"," dts=h"  ))</f>
        <v>1.4866252302938383</v>
      </c>
    </row>
    <row r="12" spans="1:26">
      <c r="A12" s="2">
        <f>C12/B12</f>
        <v>0.86747685185185264</v>
      </c>
      <c r="B12" s="145">
        <f>H12-J12</f>
        <v>8.639999999999997</v>
      </c>
      <c r="C12" s="145">
        <f>L12-H12</f>
        <v>7.4950000000000045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35.869999999999997</v>
      </c>
      <c r="I12" s="153">
        <f t="shared" si="1"/>
        <v>0.3172970987881012</v>
      </c>
      <c r="J12" s="149" cm="1">
        <f t="array" ref="J12">IF(ISTEXT($E12),_xll.BDH($E12,"PX_LAST",J$2,J$2,"Fill=P","CDR=US"),"")</f>
        <v>27.23</v>
      </c>
      <c r="K12" s="153">
        <f t="shared" si="0"/>
        <v>-0.17283523578923099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6081.5272999999997</v>
      </c>
      <c r="I13" s="153">
        <f t="shared" si="1"/>
        <v>0.45491048925586375</v>
      </c>
      <c r="J13" s="143" cm="1">
        <f t="array" ref="J13">IF(ISTEXT($E13),_xll.BDH($E13,"PX_LAST",J$2,J$2,"Fill=P","CDR=US"),"")</f>
        <v>4180.0010000000002</v>
      </c>
      <c r="K13" s="153">
        <f t="shared" si="0"/>
        <v>-0.11542720608759061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5798.01</v>
      </c>
      <c r="I14" s="154">
        <f t="shared" si="1"/>
        <v>0.56776276475216791</v>
      </c>
      <c r="J14" s="140" cm="1">
        <f t="array" ref="J14">IF(ISTEXT($E14),_xll.BDH($E14,"PX_LAST",J$2,J$2,"Fill=P","CDR=US"),"")</f>
        <v>3698.27</v>
      </c>
      <c r="K14" s="154">
        <f t="shared" si="0"/>
        <v>-0.13661759581622102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28.028757382826466</v>
      </c>
      <c r="Q14" s="154">
        <f>P14/T14-1</f>
        <v>3.5002866705678315E-2</v>
      </c>
      <c r="R14" s="154">
        <f>$P14/U14-1</f>
        <v>-0.27311186563856071</v>
      </c>
      <c r="S14" s="141" cm="1">
        <f t="array" ref="S14">_xll.BDP($E14,S$2)</f>
        <v>9.4997376024512103</v>
      </c>
      <c r="T14" s="146">
        <f>MEDIAN(_xll.BDH($E14," best pe ratio","-7ay",""," be997=1gy","array=true"," dts=h"  ))</f>
        <v>27.080849999999998</v>
      </c>
      <c r="U14" s="147">
        <f>T14+W14</f>
        <v>38.559932481838246</v>
      </c>
      <c r="V14" s="147">
        <f>T14-W14</f>
        <v>15.601767518161752</v>
      </c>
      <c r="W14" s="146">
        <f>STDEV(_xll.BDH($E14," best pe ratio","-7ay",""," be997=1gy","array=true"," dts=h"  ))</f>
        <v>11.479082481838246</v>
      </c>
    </row>
    <row r="15" spans="1:26">
      <c r="A15" s="2">
        <f>C15/B15</f>
        <v>0.24689455210051914</v>
      </c>
      <c r="B15" s="145">
        <f>H15-J15</f>
        <v>19.32</v>
      </c>
      <c r="C15" s="145">
        <f>L15-H15</f>
        <v>4.7700027465820298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62.6</v>
      </c>
      <c r="I15" s="153">
        <f t="shared" si="1"/>
        <v>0.44639556377079481</v>
      </c>
      <c r="J15" s="149" cm="1">
        <f t="array" ref="J15">IF(ISTEXT($E15),_xll.BDH($E15,"PX_LAST",J$2,J$2,"Fill=P","CDR=US"),"")</f>
        <v>43.28</v>
      </c>
      <c r="K15" s="153">
        <f t="shared" si="0"/>
        <v>-7.0803065936108078E-2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688.43150000000003</v>
      </c>
      <c r="I16" s="153">
        <f t="shared" si="1"/>
        <v>0.52284606995834704</v>
      </c>
      <c r="J16" s="143" cm="1">
        <f t="array" ref="J16">IF(ISTEXT($E16),_xll.BDH($E16,"PX_LAST",J$2,J$2,"Fill=P","CDR=US"),"")</f>
        <v>452.06900000000002</v>
      </c>
      <c r="K16" s="153">
        <f t="shared" si="0"/>
        <v>-5.5846898398743461E-2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495.49200000000002</v>
      </c>
      <c r="O16" t="str" cm="1">
        <f t="array" ref="O16">_xll.BDP(E16,O$2)</f>
        <v>23/01/2025</v>
      </c>
      <c r="P16" s="144" cm="1">
        <f t="array" ref="P16">_xll.BDP($E16,P$2)</f>
        <v>14.192022111106454</v>
      </c>
      <c r="Q16" s="153">
        <f>P16/T16-1</f>
        <v>0.15566448251738163</v>
      </c>
      <c r="R16" s="153">
        <f>$P16/U16-1</f>
        <v>-4.3268713328594721E-2</v>
      </c>
      <c r="S16" s="144" cm="1">
        <f t="array" ref="S16">_xll.BDP($E16,S$2)</f>
        <v>11.428745910089484</v>
      </c>
      <c r="T16" s="150">
        <f>MEDIAN(_xll.BDH($E16," best pe ratio","-7ay",""," be997=1gy","array=true"," dts=h"  ))</f>
        <v>12.2804</v>
      </c>
      <c r="U16" s="151">
        <f>T16+W16</f>
        <v>14.833864334553516</v>
      </c>
      <c r="V16" s="151">
        <f>T16-W16</f>
        <v>9.7269356654464847</v>
      </c>
      <c r="W16" s="150">
        <f>STDEV(_xll.BDH($E16," best pe ratio","-7ay",""," be997=1gy","array=true"," dts=h"  ))</f>
        <v>2.553464334553516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86</v>
      </c>
      <c r="I17" s="154">
        <f t="shared" si="1"/>
        <v>0.48583275742916365</v>
      </c>
      <c r="J17" s="140" cm="1">
        <f t="array" ref="J17">IF(ISTEXT($E17),_xll.BDH($E17,"PX_LAST",J$2,J$2,"Fill=P","CDR=US"),"")</f>
        <v>57.88</v>
      </c>
      <c r="K17" s="154">
        <f t="shared" si="0"/>
        <v>-6.1032863849765251E-2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14.192022111106454</v>
      </c>
      <c r="Q17" s="154">
        <f>P17/T17-1</f>
        <v>0.15582448558124651</v>
      </c>
      <c r="R17" s="154">
        <f>$P17/U17-1</f>
        <v>-4.3164351252852895E-2</v>
      </c>
      <c r="S17" s="141" cm="1">
        <f t="array" ref="S17">_xll.BDP($E17,S$2)</f>
        <v>11.428745910089484</v>
      </c>
      <c r="T17" s="146">
        <f>MEDIAN(_xll.BDH($E17," best pe ratio","-7ay",""," be997=1gy","array=true"," dts=h"  ))</f>
        <v>12.278700000000001</v>
      </c>
      <c r="U17" s="147">
        <f>T17+W17</f>
        <v>14.83224640479175</v>
      </c>
      <c r="V17" s="147">
        <f>T17-W17</f>
        <v>9.7251535952082513</v>
      </c>
      <c r="W17" s="146">
        <f>STDEV(_xll.BDH($E17," best pe ratio","-7ay",""," be997=1gy","array=true"," dts=h"  ))</f>
        <v>2.5535464047917484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26749.51</v>
      </c>
      <c r="I18" s="153">
        <f t="shared" si="1"/>
        <v>0.46595871894234198</v>
      </c>
      <c r="J18" s="143" cm="1">
        <f t="array" ref="J18">IF(ISTEXT($E18),_xll.BDH($E18,"PX_LAST",J$2,J$2,"Fill=P","CDR=US"),"")</f>
        <v>18247.11</v>
      </c>
      <c r="K18" s="153">
        <f t="shared" si="0"/>
        <v>-2.3093042688146714E-2</v>
      </c>
      <c r="L18" s="143" cm="1">
        <f t="array" ref="L18">IF(ISNUMBER(_xlfn.SINGLE(_xll.BDP($E18,L$2))),  _xll.BDP($E18,L$2), "nmf")</f>
        <v>27381.84</v>
      </c>
      <c r="M18" t="str" cm="1">
        <f t="array" ref="M18">_xll.BDP(E18,M$2)</f>
        <v>02/10/2025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13.024899559043991</v>
      </c>
      <c r="Q18" s="153">
        <f>P18/T18-1</f>
        <v>0.19800036414377886</v>
      </c>
      <c r="R18" s="153">
        <f>$P18/U18-1</f>
        <v>4.0223452849723174E-2</v>
      </c>
      <c r="S18" s="144" cm="1">
        <f t="array" ref="S18">_xll.BDP($E18,S$2)</f>
        <v>10.500132872267463</v>
      </c>
      <c r="T18" s="150">
        <f>MEDIAN(_xll.BDH($E18," best pe ratio","-7ay",""," be997=1gy","array=true"," dts=h"  ))</f>
        <v>10.872199999999999</v>
      </c>
      <c r="U18" s="151">
        <f>T18+W18</f>
        <v>12.521251586245139</v>
      </c>
      <c r="V18" s="151">
        <f>T18-W18</f>
        <v>9.2231484137548598</v>
      </c>
      <c r="W18" s="150">
        <f>STDEV(_xll.BDH($E18," best pe ratio","-7ay",""," be997=1gy","array=true"," dts=h"  ))</f>
        <v>1.6490515862451403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9160.81</v>
      </c>
      <c r="I19" s="153">
        <f t="shared" si="1"/>
        <v>0.43382302303304998</v>
      </c>
      <c r="J19" s="143" cm="1">
        <f t="array" ref="J19">IF(ISTEXT($E19),_xll.BDH($E19,"PX_LAST",J$2,J$2,"Fill=P","CDR=US"),"")</f>
        <v>6389.08</v>
      </c>
      <c r="K19" s="153">
        <f t="shared" si="0"/>
        <v>-6.2373275497660696E-2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11.832105112110437</v>
      </c>
      <c r="Q19" s="153">
        <f>P19/T19-1</f>
        <v>0.3303169607283889</v>
      </c>
      <c r="R19" s="153">
        <f>$P19/U19-1</f>
        <v>0.16881160836479037</v>
      </c>
      <c r="S19" s="144" cm="1">
        <f t="array" ref="S19">_xll.BDP($E19,S$2)</f>
        <v>11.006200611022352</v>
      </c>
      <c r="T19" s="150">
        <f>MEDIAN(_xll.BDH($E19," best pe ratio","-7ay",""," be997=1gy","array=true"," dts=h"  ))</f>
        <v>8.8941999999999997</v>
      </c>
      <c r="U19" s="151">
        <f>T19+W19</f>
        <v>10.123192674877673</v>
      </c>
      <c r="V19" s="151">
        <f>T19-W19</f>
        <v>7.6652073251223261</v>
      </c>
      <c r="W19" s="150">
        <f>STDEV(_xll.BDH($E19," best pe ratio","-7ay",""," be997=1gy","array=true"," dts=h"  ))</f>
        <v>1.2289926748776732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4136.1639999999998</v>
      </c>
      <c r="I20" s="153">
        <f t="shared" si="1"/>
        <v>0.50465164839402243</v>
      </c>
      <c r="J20" s="143" cm="1">
        <f t="array" ref="J20">IF(ISTEXT($E20),_xll.BDH($E20,"PX_LAST",J$2,J$2,"Fill=P","CDR=US"),"")</f>
        <v>2748.9180000000001</v>
      </c>
      <c r="K20" s="153">
        <f t="shared" si="0"/>
        <v>-1.3052672168473056E-2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15.803243394257935</v>
      </c>
      <c r="Q20" s="153">
        <f>P20/T20-1</f>
        <v>0.29408555542200099</v>
      </c>
      <c r="R20" s="153">
        <f>$P20/U20-1</f>
        <v>0.1622233311359762</v>
      </c>
      <c r="S20" s="144" cm="1">
        <f t="array" ref="S20">_xll.BDP($E20,S$2)</f>
        <v>9.6524206113371829</v>
      </c>
      <c r="T20" s="150">
        <f>MEDIAN(_xll.BDH($E20," best pe ratio","-7ay",""," be997=1gy","array=true"," dts=h"  ))</f>
        <v>12.2119</v>
      </c>
      <c r="U20" s="151">
        <f>T20+W20</f>
        <v>13.597423981165122</v>
      </c>
      <c r="V20" s="151">
        <f>T20-W20</f>
        <v>10.826376018834878</v>
      </c>
      <c r="W20" s="150">
        <f>STDEV(_xll.BDH($E20," best pe ratio","-7ay",""," be997=1gy","array=true"," dts=h"  ))</f>
        <v>1.385523981165121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1.0014066680200082E-2</v>
      </c>
      <c r="AP1" s="23"/>
    </row>
    <row r="2" spans="1:47" outlineLevel="1">
      <c r="D2" s="7" t="s">
        <v>66</v>
      </c>
      <c r="E2" s="265">
        <f>D4+E4</f>
        <v>8.1201855438302016E-3</v>
      </c>
      <c r="Q2" s="179">
        <f ca="1">WORKDAY(Q3,-126)</f>
        <v>45869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46045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46015</v>
      </c>
      <c r="AN3" s="180">
        <f ca="1">WORKDAY($Q$3,-66)</f>
        <v>45953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9.067126112015142E-3</v>
      </c>
      <c r="E4" s="265">
        <f>SUM(E8:E24)</f>
        <v>-9.4694056818494046E-4</v>
      </c>
      <c r="Q4" s="181" t="str">
        <f ca="1">YEAR($Q$2)&amp;TEXT(MONTH($Q$2),"00")&amp;TEXT(DAY($Q$2),"00")</f>
        <v>20250731</v>
      </c>
      <c r="X4" s="182"/>
    </row>
    <row r="5" spans="1:47" outlineLevel="1">
      <c r="C5" s="7" t="s">
        <v>91</v>
      </c>
      <c r="D5" s="265">
        <f>SUM(D22:D23)</f>
        <v>1.1329331921601901E-3</v>
      </c>
      <c r="Q5" s="181" t="str">
        <f ca="1">YEAR(TODAY())&amp;TEXT(MONTH(TODAY()),"00")&amp;TEXT(DAY(TODAY()),"00")</f>
        <v>20260123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0</v>
      </c>
      <c r="E8" s="255">
        <f>SUMIF(Tabelad[Ticker],PAIR_Monitor!C8,Tabelad[Exp %])</f>
        <v>0</v>
      </c>
      <c r="F8" s="254"/>
      <c r="G8" s="187" cm="1">
        <f t="array" ref="G8">_xll.BDP(B8&amp;" Equity","LAST PRICE")</f>
        <v>465.39499999999998</v>
      </c>
      <c r="H8" s="188" cm="1">
        <f t="array" ref="H8">G8/_xll.BDP(B8&amp;" Equity", "PREV_CLOSE_VAL")-1</f>
        <v>3.1597730194617979E-2</v>
      </c>
      <c r="I8" s="187" cm="1">
        <f t="array" ref="I8">_xll.BDP(C8&amp;" Equity","LAST PRICE")</f>
        <v>97.77</v>
      </c>
      <c r="J8" s="188" cm="1">
        <f t="array" ref="J8">I8/_xll.BDP(C8&amp;" Equity", "PREV_CLOSE_VAL")-1</f>
        <v>8.561997111615316E-3</v>
      </c>
      <c r="K8" s="189">
        <f t="shared" ref="K8:K18" si="1">G8/I8</f>
        <v>4.7601002352459858</v>
      </c>
      <c r="L8" s="188" cm="1">
        <f t="array" ref="L8">K8/(_xll.BDP(B8&amp;" Equity", "PREV_CLOSE_VAL")/_xll.BDP(C8&amp;" Equity", "PREV_CLOSE_VAL"))-1</f>
        <v>2.2840175565779663E-2</v>
      </c>
      <c r="M8" s="188"/>
      <c r="N8" s="190">
        <f t="shared" ref="N8:N18" si="2">ABS(L8/O8)</f>
        <v>2.3681069915462105</v>
      </c>
      <c r="O8" s="191">
        <f t="shared" ref="O8:O18" si="3">P8/15.87/100</f>
        <v>9.6449086326402013E-3</v>
      </c>
      <c r="P8" s="192" cm="1">
        <f t="array" ref="P8">_xll.BDP($A8&amp;" Index","VOLATILITY_30D")</f>
        <v>15.306469999999999</v>
      </c>
      <c r="Q8" s="192" cm="1">
        <f t="array" aca="1" ref="Q8" ca="1">(_xll.BDP(($B8&amp; " Equity"),"CORR_COEF", "BETA_OVERRIDE_REL_INDEX",($C8&amp; " Equity"),"BETA_OVERRIDE_END_DT",$Q$5,"BETA_OVERRIDE_START_DT",$Q$4))*100</f>
        <v>72.329987312598604</v>
      </c>
      <c r="R8" s="188"/>
      <c r="S8" s="188" cm="1">
        <f t="array" ref="S8">_xll.BDP($A8&amp;" Index","CHG_PCT_2D")/100</f>
        <v>1.557793E-2</v>
      </c>
      <c r="T8" s="188" cm="1">
        <f t="array" ref="T8">_xll.BDP($A8&amp;" Index","CHG_PCT_5D")/100</f>
        <v>1.071221E-2</v>
      </c>
      <c r="U8" s="188" cm="1">
        <f t="array" ref="U8">K8/_xll.BDP($A8&amp;" Index","HIGH_52WEEK")-1</f>
        <v>-1.459441161636521E-2</v>
      </c>
      <c r="V8" s="188" cm="1">
        <f t="array" ref="V8">K8/_xll.BDP($A8&amp;" Index","LOW_52WEEK")-1</f>
        <v>0.25300747978277771</v>
      </c>
      <c r="W8" s="188"/>
      <c r="X8" s="192" cm="1">
        <f t="array" ref="X8">_xll.BDP($A8&amp;" Index","RSI_14D")</f>
        <v>57.172469999999997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8.9267788385809066E-2</v>
      </c>
      <c r="AE8" s="188"/>
      <c r="AF8" s="195">
        <f>IF(ISTEXT(B8),_xll.BDP(B8 &amp; " Equity","EXPECTED_REPORT_DT")*1,"")</f>
        <v>46050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2.3193027124836068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0.71260347750547026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1.535087719298267E-2</v>
      </c>
      <c r="AN8" s="194">
        <f ca="1">IF(ISTEXT(B8),AP8/_xll.BDH(B8 &amp;  " Equity","BEST_EPS",$AN$3,$AN$3,"BEST_FPERIOD_OVERRIDE=1BF","CDR=US","Fill=p")-1,"")</f>
        <v>6.8504797765091663E-2</v>
      </c>
      <c r="AO8" s="196">
        <f t="shared" ref="AO8:AO18" ca="1" si="7">G8/AP8</f>
        <v>26.45191542571331</v>
      </c>
      <c r="AP8" s="196" cm="1">
        <f t="array" aca="1" ref="AP8" ca="1">IF(ISTEXT(B8),_xll.BDH(B8 &amp;  " Equity","BEST_EPS",$Q$3,$Q$3,"BEST_FPERIOD_OVERRIDE=1BF","CDR=US","Fill=p"),"")</f>
        <v>17.594000000000001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9.4694056818494046E-4</v>
      </c>
      <c r="E9" s="255">
        <f>SUMIF(Tabelad[Ticker],PAIR_Monitor!C9,Tabelad[Exp %])</f>
        <v>-9.4694056818494046E-4</v>
      </c>
      <c r="F9" s="254"/>
      <c r="G9" s="187" cm="1">
        <f t="array" ref="G9">_xll.BDP(B9&amp;" Equity","LAST PRICE")</f>
        <v>465.39499999999998</v>
      </c>
      <c r="H9" s="188" cm="1">
        <f t="array" ref="H9">G9/_xll.BDP(B9&amp;" Equity", "PREV_CLOSE_VAL")-1</f>
        <v>3.1597730194617979E-2</v>
      </c>
      <c r="I9" s="187" cm="1">
        <f t="array" ref="I9">_xll.BDP(C9&amp;" Equity","LAST PRICE")</f>
        <v>82.51</v>
      </c>
      <c r="J9" s="188" cm="1">
        <f t="array" ref="J9">I9/_xll.BDP(C9&amp;" Equity", "PREV_CLOSE_VAL")-1</f>
        <v>2.917223775373845E-3</v>
      </c>
      <c r="K9" s="189">
        <f t="shared" si="1"/>
        <v>5.6404678220821713</v>
      </c>
      <c r="L9" s="188" cm="1">
        <f t="array" ref="L9">K9/(_xll.BDP(B9&amp;" Equity", "PREV_CLOSE_VAL")/_xll.BDP(C9&amp;" Equity", "PREV_CLOSE_VAL"))-1</f>
        <v>2.8597082330762635E-2</v>
      </c>
      <c r="M9" s="188"/>
      <c r="N9" s="190">
        <f t="shared" si="2"/>
        <v>1.731387131781857</v>
      </c>
      <c r="O9" s="191">
        <f t="shared" si="3"/>
        <v>1.6516862003780719E-2</v>
      </c>
      <c r="P9" s="192" cm="1">
        <f t="array" ref="P9">_xll.BDP($A9&amp;" Index","VOLATILITY_30D")</f>
        <v>26.212260000000001</v>
      </c>
      <c r="Q9" s="192" cm="1">
        <f t="array" aca="1" ref="Q9" ca="1">(_xll.BDP(($B9&amp; " Equity"),"CORR_COEF", "BETA_OVERRIDE_REL_INDEX",($C9&amp; " Equity"),"BETA_OVERRIDE_END_DT",$Q$5,"BETA_OVERRIDE_START_DT",$Q$4))*100</f>
        <v>-8.1312019336017247</v>
      </c>
      <c r="R9" s="188"/>
      <c r="S9" s="188" cm="1">
        <f t="array" ref="S9">_xll.BDP($A9&amp;" Index","CHG_PCT_2D")/100</f>
        <v>3.8278889999999996E-2</v>
      </c>
      <c r="T9" s="188" cm="1">
        <f t="array" ref="T9">_xll.BDP($A9&amp;" Index","CHG_PCT_5D")/100</f>
        <v>-1.2955900000000001E-3</v>
      </c>
      <c r="U9" s="188" cm="1">
        <f t="array" ref="U9">K9/_xll.BDP($A9&amp;" Index","HIGH_52WEEK")-1</f>
        <v>-0.20238757325587364</v>
      </c>
      <c r="V9" s="188" cm="1">
        <f t="array" ref="V9">K9/_xll.BDP($A9&amp;" Index","LOW_52WEEK")-1</f>
        <v>0.27362855177010004</v>
      </c>
      <c r="W9" s="188"/>
      <c r="X9" s="192" cm="1">
        <f t="array" ref="X9">_xll.BDP($A9&amp;" Index","RSI_14D")</f>
        <v>31.13203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1.8134985935410075E-2</v>
      </c>
      <c r="AE9" s="188"/>
      <c r="AF9" s="195">
        <f>IF(ISTEXT(B9),_xll.BDP(B9 &amp; " Equity","EXPECTED_REPORT_DT")*1,"")</f>
        <v>46050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2.3193027124836068</v>
      </c>
      <c r="AI9" s="196" cm="1">
        <f t="array" ref="AI9">(_xll.BDP(C9&amp;" Equity","SHORT_INT")/_xll.BDP(C9&amp;" Equity","VOLUME_AVG_90D"))</f>
        <v>3.8368805718791075</v>
      </c>
      <c r="AJ9" s="196" cm="1">
        <f t="array" ref="AJ9">(_xll.BDP(B9&amp;" Equity","SHORT_INT"))/((_xll.BDP(B9&amp;" Equity","EQY_FREE_FLOAT_PCT"))*(_xll.BDP(B9&amp;" Equity","EQY_SH_OUT_TOT_MULT_SH")))/100</f>
        <v>0.71260347750547026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1.535087719298267E-2</v>
      </c>
      <c r="AN9" s="194">
        <f ca="1">IF(ISTEXT(B9),AP9/_xll.BDH(B9 &amp;  " Equity","BEST_EPS",$AN$3,$AN$3,"BEST_FPERIOD_OVERRIDE=1BF","CDR=US","Fill=p")-1,"")</f>
        <v>6.8504797765091663E-2</v>
      </c>
      <c r="AO9" s="196">
        <f t="shared" ca="1" si="7"/>
        <v>26.45191542571331</v>
      </c>
      <c r="AP9" s="196" cm="1">
        <f t="array" aca="1" ref="AP9" ca="1">IF(ISTEXT(B9),_xll.BDH(B9 &amp;  " Equity","BEST_EPS",$Q$3,$Q$3,"BEST_FPERIOD_OVERRIDE=1BF","CDR=US","Fill=p"),"")</f>
        <v>17.594000000000001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657.13499999999999</v>
      </c>
      <c r="H10" s="257" cm="1">
        <f t="array" ref="H10">G10/_xll.BDP(B10&amp;" Equity", "PREV_CLOSE_VAL")-1</f>
        <v>1.4676590028256831E-2</v>
      </c>
      <c r="I10" s="256" cm="1">
        <f t="array" ref="I10">_xll.BDP(C10&amp;" Equity","LAST PRICE")</f>
        <v>689.65499999999997</v>
      </c>
      <c r="J10" s="257" cm="1">
        <f t="array" ref="J10">I10/_xll.BDP(C10&amp;" Equity", "PREV_CLOSE_VAL")-1</f>
        <v>9.7970913524325631E-4</v>
      </c>
      <c r="K10" s="258">
        <f t="shared" si="1"/>
        <v>0.95284598821149713</v>
      </c>
      <c r="L10" s="257" cm="1">
        <f t="array" ref="L10">K10/(_xll.BDP(B10&amp;" Equity", "PREV_CLOSE_VAL")/_xll.BDP(C10&amp;" Equity", "PREV_CLOSE_VAL"))-1</f>
        <v>1.3683475067488127E-2</v>
      </c>
      <c r="M10" s="257"/>
      <c r="N10" s="190">
        <f t="shared" si="2"/>
        <v>0.96438717163353893</v>
      </c>
      <c r="O10" s="191">
        <f t="shared" si="3"/>
        <v>1.4188777567737869E-2</v>
      </c>
      <c r="P10" s="259" cm="1">
        <f t="array" ref="P10">_xll.BDP($A10&amp;" Index","VOLATILITY_30D")</f>
        <v>22.517589999999998</v>
      </c>
      <c r="Q10" s="259" cm="1">
        <f t="array" aca="1" ref="Q10" ca="1">(_xll.BDP(($B10&amp; " Equity"),"CORR_COEF", "BETA_OVERRIDE_REL_INDEX",($C10&amp; " Equity"),"BETA_OVERRIDE_END_DT",$Q$5,"BETA_OVERRIDE_START_DT",$Q$4))*100</f>
        <v>44.305626336611766</v>
      </c>
      <c r="R10" s="257"/>
      <c r="S10" s="257" cm="1">
        <f t="array" ref="S10">_xll.BDP($A10&amp;" Index","CHG_PCT_2D")/100</f>
        <v>7.0490219999999992E-2</v>
      </c>
      <c r="T10" s="257" cm="1">
        <f t="array" ref="T10">_xll.BDP($A10&amp;" Index","CHG_PCT_5D")/100</f>
        <v>6.7570699999999997E-2</v>
      </c>
      <c r="U10" s="257" cm="1">
        <f t="array" ref="U10">K10/_xll.BDP($A10&amp;" Index","HIGH_52WEEK")-1</f>
        <v>-0.2253599543014535</v>
      </c>
      <c r="V10" s="257" cm="1">
        <f t="array" ref="V10">K10/_xll.BDP($A10&amp;" Index","LOW_52WEEK")-1</f>
        <v>6.9567937197904328E-2</v>
      </c>
      <c r="W10" s="257"/>
      <c r="X10" s="259" cm="1">
        <f t="array" ref="X10">_xll.BDP($A10&amp;" Index","RSI_14D")</f>
        <v>52.192749999999997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-0.13377637435318446</v>
      </c>
      <c r="AE10" s="257"/>
      <c r="AF10" s="261">
        <f>IF(ISTEXT(B10),_xll.BDP(B10 &amp; " Equity","EXPECTED_REPORT_DT")*1,"")</f>
        <v>46050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1.9734173815169422</v>
      </c>
      <c r="AI10" s="262" cm="1">
        <f t="array" ref="AI10">(_xll.BDP(C10&amp;" Equity","SHORT_INT")/_xll.BDP(C10&amp;" Equity","VOLUME_AVG_90D"))</f>
        <v>1.2575075329746292</v>
      </c>
      <c r="AJ10" s="262" cm="1">
        <f t="array" ref="AJ10">(_xll.BDP(B10&amp;" Equity","SHORT_INT"))/((_xll.BDP(B10&amp;" Equity","EQY_FREE_FLOAT_PCT"))*(_xll.BDP(B10&amp;" Equity","EQY_SH_OUT_TOT_MULT_SH")))/100</f>
        <v>1.315029992310595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2.0541157392113707E-2</v>
      </c>
      <c r="AN10" s="260">
        <f ca="1">IF(ISTEXT(B10),AP10/_xll.BDH(B10 &amp;  " Equity","BEST_EPS",$AN$3,$AN$3,"BEST_FPERIOD_OVERRIDE=1BF","CDR=US","Fill=p")-1,"")</f>
        <v>-1.9136408243375924E-2</v>
      </c>
      <c r="AO10" s="262">
        <f t="shared" ca="1" si="7"/>
        <v>19.337168584292147</v>
      </c>
      <c r="AP10" s="262" cm="1">
        <f t="array" aca="1" ref="AP10" ca="1">IF(ISTEXT(B10),_xll.BDH(B10 &amp;  " Equity","BEST_EPS",$Q$3,$Q$3,"BEST_FPERIOD_OVERRIDE=1BF","CDR=US","Fill=p"),"")</f>
        <v>33.982999999999997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0</v>
      </c>
      <c r="E11" s="255">
        <f>SUMIF(Tabelad[Ticker],PAIR_Monitor!C11,Tabelad[Exp %])</f>
        <v>0</v>
      </c>
      <c r="F11" s="254"/>
      <c r="G11" s="256" cm="1">
        <f t="array" ref="G11">_xll.BDP(B11&amp;" Equity","LAST PRICE")</f>
        <v>657.13499999999999</v>
      </c>
      <c r="H11" s="257" cm="1">
        <f t="array" ref="H11">G11/_xll.BDP(B11&amp;" Equity", "PREV_CLOSE_VAL")-1</f>
        <v>1.4676590028256831E-2</v>
      </c>
      <c r="I11" s="256" cm="1">
        <f t="array" ref="I11">_xll.BDP(C11&amp;" Equity","LAST PRICE")</f>
        <v>248.16</v>
      </c>
      <c r="J11" s="257" cm="1">
        <f t="array" ref="J11">I11/_xll.BDP(C11&amp;" Equity", "PREV_CLOSE_VAL")-1</f>
        <v>-7.6504932554866123E-4</v>
      </c>
      <c r="K11" s="258">
        <f t="shared" si="1"/>
        <v>2.648029497098646</v>
      </c>
      <c r="L11" s="257" cm="1">
        <f t="array" ref="L11">K11/(_xll.BDP(B11&amp;" Equity", "PREV_CLOSE_VAL")/_xll.BDP(C11&amp;" Equity", "PREV_CLOSE_VAL"))-1</f>
        <v>1.5453462014497044E-2</v>
      </c>
      <c r="M11" s="257"/>
      <c r="N11" s="190">
        <f t="shared" si="2"/>
        <v>0.89654060874278907</v>
      </c>
      <c r="O11" s="191">
        <f t="shared" si="3"/>
        <v>1.7236767485822306E-2</v>
      </c>
      <c r="P11" s="259" cm="1">
        <f t="array" ref="P11">_xll.BDP($A11&amp;" Index","VOLATILITY_30D")</f>
        <v>27.354749999999999</v>
      </c>
      <c r="Q11" s="259" cm="1">
        <f t="array" aca="1" ref="Q11" ca="1">(_xll.BDP(($B11&amp; " Equity"),"CORR_COEF", "BETA_OVERRIDE_REL_INDEX",($C11&amp; " Equity"),"BETA_OVERRIDE_END_DT",$Q$5,"BETA_OVERRIDE_START_DT",$Q$4))*100</f>
        <v>9.4626287517638126</v>
      </c>
      <c r="R11" s="257"/>
      <c r="S11" s="257" cm="1">
        <f t="array" ref="S11">_xll.BDP($A11&amp;" Index","CHG_PCT_2D")/100</f>
        <v>8.2951599999999986E-2</v>
      </c>
      <c r="T11" s="257" cm="1">
        <f t="array" ref="T11">_xll.BDP($A11&amp;" Index","CHG_PCT_5D")/100</f>
        <v>0.1042768</v>
      </c>
      <c r="U11" s="257" cm="1">
        <f t="array" ref="U11">K11/_xll.BDP($A11&amp;" Index","HIGH_52WEEK")-1</f>
        <v>-0.30641727203471902</v>
      </c>
      <c r="V11" s="257" cm="1">
        <f t="array" ref="V11">K11/_xll.BDP($A11&amp;" Index","LOW_52WEEK")-1</f>
        <v>0.20978116229921917</v>
      </c>
      <c r="W11" s="257"/>
      <c r="X11" s="259" cm="1">
        <f t="array" ref="X11">_xll.BDP($A11&amp;" Index","RSI_14D")</f>
        <v>66.347819999999999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-0.12893766542807694</v>
      </c>
      <c r="AE11" s="257"/>
      <c r="AF11" s="261">
        <f>IF(ISTEXT(B11),_xll.BDP(B11 &amp; " Equity","EXPECTED_REPORT_DT")*1,"")</f>
        <v>46050</v>
      </c>
      <c r="AG11" s="261">
        <f>IF(ISTEXT(C11),_xll.BDP(C11 &amp; " Equity","EXPECTED_REPORT_DT")*1,"")</f>
        <v>46051</v>
      </c>
      <c r="AH11" s="262" cm="1">
        <f t="array" ref="AH11">(_xll.BDP(B11&amp;" Equity","SHORT_INT")/_xll.BDP(B11&amp;" Equity","VOLUME_AVG_90D"))</f>
        <v>1.9734173815169422</v>
      </c>
      <c r="AI11" s="262" cm="1">
        <f t="array" ref="AI11">(_xll.BDP(C11&amp;" Equity","SHORT_INT")/_xll.BDP(C11&amp;" Equity","VOLUME_AVG_90D"))</f>
        <v>2.3384221572973893</v>
      </c>
      <c r="AJ11" s="262" cm="1">
        <f t="array" ref="AJ11">(_xll.BDP(B11&amp;" Equity","SHORT_INT"))/((_xll.BDP(B11&amp;" Equity","EQY_FREE_FLOAT_PCT"))*(_xll.BDP(B11&amp;" Equity","EQY_SH_OUT_TOT_MULT_SH")))/100</f>
        <v>1.315029992310595</v>
      </c>
      <c r="AK11" s="262" cm="1">
        <f t="array" ref="AK11">(_xll.BDP(C11&amp;" Equity","SHORT_INT"))/((_xll.BDP(C11&amp;" Equity","EQY_FREE_FLOAT_PCT"))*(_xll.BDP(C11&amp;" Equity","EQY_SH_OUT_TOT_MULT_SH")))/100</f>
        <v>0.78048981334343837</v>
      </c>
      <c r="AM11" s="260">
        <f ca="1">IF(ISTEXT(B11),AP11/_xll.BDH(B11 &amp;  " Equity","BEST_EPS",$AM$3,$AM$3,"BEST_FPERIOD_OVERRIDE=1BF","CDR=US","Fill=p")-1,"")</f>
        <v>2.0541157392113707E-2</v>
      </c>
      <c r="AN11" s="260">
        <f ca="1">IF(ISTEXT(B11),AP11/_xll.BDH(B11 &amp;  " Equity","BEST_EPS",$AN$3,$AN$3,"BEST_FPERIOD_OVERRIDE=1BF","CDR=US","Fill=p")-1,"")</f>
        <v>-1.9136408243375924E-2</v>
      </c>
      <c r="AO11" s="262">
        <f t="shared" ca="1" si="7"/>
        <v>19.337168584292147</v>
      </c>
      <c r="AP11" s="262" cm="1">
        <f t="array" aca="1" ref="AP11" ca="1">IF(ISTEXT(B11),_xll.BDH(B11 &amp;  " Equity","BEST_EPS",$Q$3,$Q$3,"BEST_FPERIOD_OVERRIDE=1BF","CDR=US","Fill=p"),"")</f>
        <v>33.982999999999997</v>
      </c>
      <c r="AR11" s="260">
        <f ca="1">IF(ISTEXT(C11),AU11/_xll.BDH(C11 &amp;  " Equity","BEST_EPS",$AM$3,$AM$3,"BEST_FPERIOD_OVERRIDE=1BF","CDR=US","Fill=p")-1,"")</f>
        <v>7.6850319224401886E-3</v>
      </c>
      <c r="AS11" s="260">
        <f ca="1">IF(ISTEXT(C11),AU11/_xll.BDH(C11 &amp;  " Equity","BEST_EPS",$AN$3,$AN$3,"BEST_FPERIOD_OVERRIDE=1BF","CDR=US","Fill=p")-1,"")</f>
        <v>5.0795216372826912E-2</v>
      </c>
      <c r="AT11" s="262">
        <f t="shared" ca="1" si="8"/>
        <v>29.116508271735306</v>
      </c>
      <c r="AU11" s="262" cm="1">
        <f t="array" aca="1" ref="AU11" ca="1">IF(ISTEXT(C11),_xll.BDH(C11 &amp;  " Equity","BEST_EPS",$Q$3,$Q$3,"BEST_FPERIOD_OVERRIDE=1BF","CDR=US","Fill=p"),"")</f>
        <v>8.5229999999999997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5097.4799999999996</v>
      </c>
      <c r="H12" s="188" cm="1">
        <f t="array" ref="H12">G12/_xll.BDP(B12&amp;" Equity", "PREV_CLOSE_VAL")-1</f>
        <v>-1.0371003125667411E-2</v>
      </c>
      <c r="I12" s="187" cm="1">
        <f t="array" ref="I12">_xll.BDP(C12&amp;" Equity","LAST PRICE")</f>
        <v>133.93</v>
      </c>
      <c r="J12" s="188" cm="1">
        <f t="array" ref="J12">I12/_xll.BDP(C12&amp;" Equity", "PREV_CLOSE_VAL")-1</f>
        <v>9.7159940209268214E-4</v>
      </c>
      <c r="K12" s="189">
        <f t="shared" si="1"/>
        <v>38.060778018367799</v>
      </c>
      <c r="L12" s="188" cm="1">
        <f t="array" ref="L12">K12/(_xll.BDP(B12&amp;" Equity", "PREV_CLOSE_VAL")/_xll.BDP(C12&amp;" Equity", "PREV_CLOSE_VAL"))-1</f>
        <v>-1.1331592759010523E-2</v>
      </c>
      <c r="M12" s="188"/>
      <c r="N12" s="190">
        <f t="shared" si="2"/>
        <v>0.8554130672239183</v>
      </c>
      <c r="O12" s="191">
        <f t="shared" si="3"/>
        <v>1.3246925015752996E-2</v>
      </c>
      <c r="P12" s="192" cm="1">
        <f t="array" ref="P12">_xll.BDP($A12&amp;" Index","VOLATILITY_30D")</f>
        <v>21.022870000000001</v>
      </c>
      <c r="Q12" s="192" cm="1">
        <f t="array" aca="1" ref="Q12" ca="1">(_xll.BDP(($B12&amp; " Equity"),"CORR_COEF", "BETA_OVERRIDE_REL_INDEX",($C12&amp; " Equity"),"BETA_OVERRIDE_END_DT",$Q$5,"BETA_OVERRIDE_START_DT",$Q$4))*100</f>
        <v>68.722814730815898</v>
      </c>
      <c r="R12" s="188"/>
      <c r="S12" s="188" cm="1">
        <f t="array" ref="S12">_xll.BDP($A12&amp;" Index","CHG_PCT_2D")/100</f>
        <v>-1.7711580000000001E-2</v>
      </c>
      <c r="T12" s="188" cm="1">
        <f t="array" ref="T12">_xll.BDP($A12&amp;" Index","CHG_PCT_5D")/100</f>
        <v>-3.0298020000000002E-2</v>
      </c>
      <c r="U12" s="188" cm="1">
        <f t="array" ref="U12">K12/_xll.BDP($A12&amp;" Index","HIGH_52WEEK")-1</f>
        <v>-0.17598636013882385</v>
      </c>
      <c r="V12" s="188" cm="1">
        <f t="array" ref="V12">K12/_xll.BDP($A12&amp;" Index","LOW_52WEEK")-1</f>
        <v>0.21793905048032713</v>
      </c>
      <c r="W12" s="188"/>
      <c r="X12" s="192" cm="1">
        <f t="array" ref="X12">_xll.BDP($A12&amp;" Index","RSI_14D")</f>
        <v>40.859189999999998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-1.6771428096931107E-2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46066</v>
      </c>
      <c r="AH12" s="196" cm="1">
        <f t="array" ref="AH12">(_xll.BDP(B12&amp;" Equity","SHORT_INT")/_xll.BDP(B12&amp;" Equity","VOLUME_AVG_90D"))</f>
        <v>2.6475489142353532</v>
      </c>
      <c r="AI12" s="196" cm="1">
        <f t="array" ref="AI12">(_xll.BDP(C12&amp;" Equity","SHORT_INT")/_xll.BDP(C12&amp;" Equity","VOLUME_AVG_90D"))</f>
        <v>3.7711317491777101</v>
      </c>
      <c r="AJ12" s="196" cm="1">
        <f t="array" ref="AJ12">(_xll.BDP(B12&amp;" Equity","SHORT_INT"))/((_xll.BDP(B12&amp;" Equity","EQY_FREE_FLOAT_PCT"))*(_xll.BDP(B12&amp;" Equity","EQY_SH_OUT_TOT_MULT_SH")))/100</f>
        <v>2.0740878313054392</v>
      </c>
      <c r="AK12" s="196" cm="1">
        <f t="array" ref="AK12">(_xll.BDP(C12&amp;" Equity","SHORT_INT"))/((_xll.BDP(C12&amp;" Equity","EQY_FREE_FLOAT_PCT"))*(_xll.BDP(C12&amp;" Equity","EQY_SH_OUT_TOT_MULT_SH")))/100</f>
        <v>3.3215084244268835</v>
      </c>
      <c r="AM12" s="194">
        <f ca="1">IF(ISTEXT(B12),AP12/_xll.BDH(B12 &amp;  " Equity","BEST_EPS",$AM$3,$AM$3,"BEST_FPERIOD_OVERRIDE=1BF","CDR=US","Fill=p")-1,"")</f>
        <v>1.4790117769663658E-2</v>
      </c>
      <c r="AN12" s="194">
        <f ca="1">IF(ISTEXT(B12),AP12/_xll.BDH(B12 &amp;  " Equity","BEST_EPS",$AN$3,$AN$3,"BEST_FPERIOD_OVERRIDE=1BF","CDR=US","Fill=p")-1,"")</f>
        <v>6.6377808726842735E-2</v>
      </c>
      <c r="AO12" s="196">
        <f t="shared" ca="1" si="7"/>
        <v>18.96694399380851</v>
      </c>
      <c r="AP12" s="196" cm="1">
        <f t="array" aca="1" ref="AP12" ca="1">IF(ISTEXT(B12),_xll.BDH(B12 &amp;  " Equity","BEST_EPS",$Q$3,$Q$3,"BEST_FPERIOD_OVERRIDE=1BF","CDR=US","Fill=p"),"")</f>
        <v>268.75599999999997</v>
      </c>
      <c r="AR12" s="194">
        <f ca="1">IF(ISTEXT(C12),AU12/_xll.BDH(C12 &amp;  " Equity","BEST_EPS",$AM$3,$AM$3,"BEST_FPERIOD_OVERRIDE=1BF","CDR=US","Fill=p")-1,"")</f>
        <v>1.4745586708203584E-2</v>
      </c>
      <c r="AS12" s="194">
        <f ca="1">IF(ISTEXT(C12),AU12/_xll.BDH(C12 &amp;  " Equity","BEST_EPS",$AN$3,$AN$3,"BEST_FPERIOD_OVERRIDE=1BF","CDR=US","Fill=p")-1,"")</f>
        <v>4.2235494880546121E-2</v>
      </c>
      <c r="AT12" s="196">
        <f t="shared" ca="1" si="8"/>
        <v>27.410970118706508</v>
      </c>
      <c r="AU12" s="196" cm="1">
        <f t="array" aca="1" ref="AU12" ca="1">IF(ISTEXT(C12),_xll.BDH(C12 &amp;  " Equity","BEST_EPS",$Q$3,$Q$3,"BEST_FPERIOD_OVERRIDE=1BF","CDR=US","Fill=p"),"")</f>
        <v>4.8860000000000001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5.3037168290617984E-3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335.92</v>
      </c>
      <c r="H13" s="257" cm="1">
        <f t="array" ref="H13">G13/_xll.BDP(B13&amp;" Equity", "PREV_CLOSE_VAL")-1</f>
        <v>2.6117237376668712E-2</v>
      </c>
      <c r="I13" s="256" cm="1">
        <f t="array" ref="I13">_xll.BDP(C13&amp;" Equity","LAST PRICE")</f>
        <v>347.10500000000002</v>
      </c>
      <c r="J13" s="257" cm="1">
        <f t="array" ref="J13">I13/_xll.BDP(C13&amp;" Equity", "PREV_CLOSE_VAL")-1</f>
        <v>-4.4884848137206612E-3</v>
      </c>
      <c r="K13" s="258">
        <f t="shared" si="1"/>
        <v>0.96777632128606617</v>
      </c>
      <c r="L13" s="257" cm="1">
        <f t="array" ref="L13">K13/(_xll.BDP(B13&amp;" Equity", "PREV_CLOSE_VAL")/_xll.BDP(C13&amp;" Equity", "PREV_CLOSE_VAL"))-1</f>
        <v>3.0743714887780493E-2</v>
      </c>
      <c r="M13" s="257"/>
      <c r="N13" s="190">
        <f t="shared" si="2"/>
        <v>1.9240220836149342</v>
      </c>
      <c r="O13" s="191">
        <f t="shared" si="3"/>
        <v>1.5978878386893512E-2</v>
      </c>
      <c r="P13" s="259" cm="1">
        <f t="array" ref="P13">_xll.BDP($A13&amp;" Index","VOLATILITY_30D")</f>
        <v>25.35848</v>
      </c>
      <c r="Q13" s="259" cm="1">
        <f t="array" aca="1" ref="Q13" ca="1">(_xll.BDP(($B13&amp; " Equity"),"CORR_COEF", "BETA_OVERRIDE_REL_INDEX",($C13&amp; " Equity"),"BETA_OVERRIDE_END_DT",$Q$5,"BETA_OVERRIDE_START_DT",$Q$4))*100</f>
        <v>72.987363485107664</v>
      </c>
      <c r="R13" s="257"/>
      <c r="S13" s="257" cm="1">
        <f t="array" ref="S13">_xll.BDP($A13&amp;" Index","CHG_PCT_2D")/100</f>
        <v>3.220754E-2</v>
      </c>
      <c r="T13" s="257" cm="1">
        <f t="array" ref="T13">_xll.BDP($A13&amp;" Index","CHG_PCT_5D")/100</f>
        <v>-3.288232E-2</v>
      </c>
      <c r="U13" s="257" cm="1">
        <f t="array" ref="U13">K13/_xll.BDP($A13&amp;" Index","HIGH_52WEEK")-1</f>
        <v>-8.9802756347397539E-2</v>
      </c>
      <c r="V13" s="257" cm="1">
        <f t="array" ref="V13">K13/_xll.BDP($A13&amp;" Index","LOW_52WEEK")-1</f>
        <v>0.13124058595682775</v>
      </c>
      <c r="W13" s="257"/>
      <c r="X13" s="259" cm="1">
        <f t="array" ref="X13">_xll.BDP($A13&amp;" Index","RSI_14D")</f>
        <v>37.864170000000001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7.5307023651184579E-2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1.8185046045737401</v>
      </c>
      <c r="AI13" s="262" cm="1">
        <f t="array" ref="AI13">(_xll.BDP(C13&amp;" Equity","SHORT_INT")/_xll.BDP(C13&amp;" Equity","VOLUME_AVG_90D"))</f>
        <v>1.1429252070270186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0.14471285083420282</v>
      </c>
      <c r="AN13" s="260">
        <f ca="1">IF(ISTEXT(B13),AP13/_xll.BDH(B13 &amp;  " Equity","BEST_EPS",$AN$3,$AN$3,"BEST_FPERIOD_OVERRIDE=1BF","CDR=US","Fill=p")-1,"")</f>
        <v>0.17905712556551578</v>
      </c>
      <c r="AO13" s="262">
        <f t="shared" ca="1" si="7"/>
        <v>0.77321462276094155</v>
      </c>
      <c r="AP13" s="262" cm="1">
        <f t="array" aca="1" ref="AP13" ca="1">IF(ISTEXT(B13),_xll.BDH(B13 &amp;  " Equity","BEST_EPS",$Q$3,$Q$3,"BEST_FPERIOD_OVERRIDE=1BF","CDR=US","Fill=p"),"")</f>
        <v>434.44600000000003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1.8018658359787651E-3</v>
      </c>
      <c r="E14" s="263"/>
      <c r="F14" s="254"/>
      <c r="G14" s="256" cm="1">
        <f t="array" ref="G14">_xll.BDP(B14&amp;" Equity","LAST PRICE")</f>
        <v>187.655</v>
      </c>
      <c r="H14" s="257" cm="1">
        <f t="array" ref="H14">G14/_xll.BDP(B14&amp;" Equity", "PREV_CLOSE_VAL")-1</f>
        <v>1.5229387578446163E-2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1.3999642596986801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1.0985587192214339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4.0819094114456167E-2</v>
      </c>
      <c r="AN14" s="260">
        <f ca="1">IF(ISTEXT(B14),AP14/_xll.BDH(B14 &amp;  " Equity","BEST_EPS",$AN$3,$AN$3,"BEST_FPERIOD_OVERRIDE=1BF","CDR=US","Fill=p")-1,"")</f>
        <v>0.29339400067408139</v>
      </c>
      <c r="AO14" s="262">
        <f t="shared" ca="1" si="7"/>
        <v>24.450162866449514</v>
      </c>
      <c r="AP14" s="262" cm="1">
        <f t="array" aca="1" ref="AP14" ca="1">IF(ISTEXT(B14),_xll.BDH(B14 &amp;  " Equity","BEST_EPS",$Q$3,$Q$3,"BEST_FPERIOD_OVERRIDE=1BF","CDR=US","Fill=p"),"")</f>
        <v>7.6749999999999998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325.89</v>
      </c>
      <c r="H15" s="188" cm="1">
        <f t="array" ref="H15">G15/_xll.BDP(B15&amp;" Equity", "PREV_CLOSE_VAL")-1</f>
        <v>-1.4401274666013819E-3</v>
      </c>
      <c r="I15" s="187" cm="1">
        <f t="array" ref="I15">_xll.BDP(C15&amp;" Equity","LAST PRICE")</f>
        <v>198.81</v>
      </c>
      <c r="J15" s="188" cm="1">
        <f t="array" ref="J15">I15/_xll.BDP(C15&amp;" Equity", "PREV_CLOSE_VAL")-1</f>
        <v>-4.2572373034157618E-3</v>
      </c>
      <c r="K15" s="189">
        <f t="shared" si="1"/>
        <v>1.6392032593933905</v>
      </c>
      <c r="L15" s="188" cm="1">
        <f t="array" ref="L15">K15/(_xll.BDP(B15&amp;" Equity", "PREV_CLOSE_VAL")/_xll.BDP(C15&amp;" Equity", "PREV_CLOSE_VAL"))-1</f>
        <v>2.8291542176870355E-3</v>
      </c>
      <c r="M15" s="188"/>
      <c r="N15" s="190">
        <f t="shared" si="2"/>
        <v>0.17694980560444229</v>
      </c>
      <c r="O15" s="191">
        <f t="shared" si="3"/>
        <v>1.5988456206679269E-2</v>
      </c>
      <c r="P15" s="192" cm="1">
        <f t="array" ref="P15">_xll.BDP($A15&amp;" Index","VOLATILITY_30D")</f>
        <v>25.37368</v>
      </c>
      <c r="Q15" s="192" cm="1">
        <f t="array" aca="1" ref="Q15" ca="1">(_xll.BDP(($B15&amp; " Equity"),"CORR_COEF", "BETA_OVERRIDE_REL_INDEX",($C15&amp; " Equity"),"BETA_OVERRIDE_END_DT",$Q$5,"BETA_OVERRIDE_START_DT",$Q$4))*100</f>
        <v>46.866672631997581</v>
      </c>
      <c r="R15" s="188"/>
      <c r="S15" s="188" cm="1">
        <f t="array" ref="S15">_xll.BDP($A15&amp;" Index","CHG_PCT_2D")/100</f>
        <v>4.9322810000000002E-3</v>
      </c>
      <c r="T15" s="188" cm="1">
        <f t="array" ref="T15">_xll.BDP($A15&amp;" Index","CHG_PCT_5D")/100</f>
        <v>-6.0594150000000003E-3</v>
      </c>
      <c r="U15" s="188" cm="1">
        <f t="array" ref="U15">K15/_xll.BDP($A15&amp;" Index","HIGH_52WEEK")-1</f>
        <v>-0.21357376118760552</v>
      </c>
      <c r="V15" s="188" cm="1">
        <f t="array" ref="V15">K15/_xll.BDP($A15&amp;" Index","LOW_52WEEK")-1</f>
        <v>4.8509212913647737E-3</v>
      </c>
      <c r="W15" s="188"/>
      <c r="X15" s="192" cm="1">
        <f t="array" ref="X15">_xll.BDP($A15&amp;" Index","RSI_14D")</f>
        <v>27.590969999999999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-0.18039837030330474</v>
      </c>
      <c r="AE15" s="188"/>
      <c r="AF15" s="195">
        <f>IF(ISTEXT(B15),_xll.BDP(B15 &amp; " Equity","EXPECTED_REPORT_DT")*1,"")</f>
        <v>46051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3.505232000246759</v>
      </c>
      <c r="AI15" s="196" cm="1">
        <f t="array" ref="AI15">(_xll.BDP(C15&amp;" Equity","SHORT_INT")/_xll.BDP(C15&amp;" Equity","VOLUME_AVG_90D"))</f>
        <v>3.0859999814058297</v>
      </c>
      <c r="AJ15" s="196" cm="1">
        <f t="array" ref="AJ15">(_xll.BDP(B15&amp;" Equity","SHORT_INT"))/((_xll.BDP(B15&amp;" Equity","EQY_FREE_FLOAT_PCT"))*(_xll.BDP(B15&amp;" Equity","EQY_SH_OUT_TOT_MULT_SH")))/100</f>
        <v>1.2834191718448422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1.0396903695833792E-2</v>
      </c>
      <c r="AN15" s="194">
        <f ca="1">IF(ISTEXT(B15),AP15/_xll.BDH(B15 &amp;  " Equity","BEST_EPS",$AN$3,$AN$3,"BEST_FPERIOD_OVERRIDE=1BF","CDR=US","Fill=p")-1,"")</f>
        <v>2.8346335058314631E-2</v>
      </c>
      <c r="AO15" s="196">
        <f t="shared" ca="1" si="7"/>
        <v>24.477242000901306</v>
      </c>
      <c r="AP15" s="196" cm="1">
        <f t="array" aca="1" ref="AP15" ca="1">IF(ISTEXT(B15),_xll.BDH(B15 &amp;  " Equity","BEST_EPS",$Q$3,$Q$3,"BEST_FPERIOD_OVERRIDE=1BF","CDR=US","Fill=p"),"")</f>
        <v>13.314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525.63</v>
      </c>
      <c r="H16" s="188" cm="1">
        <f t="array" ref="H16">G16/_xll.BDP(B16&amp;" Equity", "PREV_CLOSE_VAL")-1</f>
        <v>-1.3568291859024972E-2</v>
      </c>
      <c r="I16" s="187" cm="1">
        <f t="array" ref="I16">_xll.BDP(C16&amp;" Equity","LAST PRICE")</f>
        <v>198.81</v>
      </c>
      <c r="J16" s="188" cm="1">
        <f t="array" ref="J16">I16/_xll.BDP(C16&amp;" Equity", "PREV_CLOSE_VAL")-1</f>
        <v>-4.2572373034157618E-3</v>
      </c>
      <c r="K16" s="189">
        <f t="shared" si="1"/>
        <v>2.6438810925003771</v>
      </c>
      <c r="L16" s="188" cm="1">
        <f t="array" ref="L16">K16/(_xll.BDP(B16&amp;" Equity", "PREV_CLOSE_VAL")/_xll.BDP(C16&amp;" Equity", "PREV_CLOSE_VAL"))-1</f>
        <v>-9.3508634000951663E-3</v>
      </c>
      <c r="M16" s="188"/>
      <c r="N16" s="190">
        <f t="shared" si="2"/>
        <v>0.66505361795124374</v>
      </c>
      <c r="O16" s="191">
        <f t="shared" si="3"/>
        <v>1.4060315059861375E-2</v>
      </c>
      <c r="P16" s="192" cm="1">
        <f t="array" ref="P16">_xll.BDP($A16&amp;" Index","VOLATILITY_30D")</f>
        <v>22.31372</v>
      </c>
      <c r="Q16" s="192" cm="1">
        <f t="array" aca="1" ref="Q16" ca="1">(_xll.BDP(($B16&amp; " Equity"),"CORR_COEF", "BETA_OVERRIDE_REL_INDEX",($C16&amp; " Equity"),"BETA_OVERRIDE_END_DT",$Q$5,"BETA_OVERRIDE_START_DT",$Q$4))*100</f>
        <v>65.22392748230304</v>
      </c>
      <c r="R16" s="188"/>
      <c r="S16" s="188" cm="1">
        <f t="array" ref="S16">_xll.BDP($A16&amp;" Index","CHG_PCT_2D")/100</f>
        <v>4.8870149999999998E-4</v>
      </c>
      <c r="T16" s="188" cm="1">
        <f t="array" ref="T16">_xll.BDP($A16&amp;" Index","CHG_PCT_5D")/100</f>
        <v>-2.3334480000000001E-2</v>
      </c>
      <c r="U16" s="188" cm="1">
        <f t="array" ref="U16">K16/_xll.BDP($A16&amp;" Index","HIGH_52WEEK")-1</f>
        <v>-0.2034487362765347</v>
      </c>
      <c r="V16" s="188" cm="1">
        <f t="array" ref="V16">K16/_xll.BDP($A16&amp;" Index","LOW_52WEEK")-1</f>
        <v>-7.2148866675847412E-4</v>
      </c>
      <c r="W16" s="188"/>
      <c r="X16" s="192" cm="1">
        <f t="array" ref="X16">_xll.BDP($A16&amp;" Index","RSI_14D")</f>
        <v>25.722300000000001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-0.18899352990785978</v>
      </c>
      <c r="AE16" s="188"/>
      <c r="AF16" s="195">
        <f>IF(ISTEXT(B16),_xll.BDP(B16 &amp; " Equity","EXPECTED_REPORT_DT")*1,"")</f>
        <v>46051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2.2187452718548379</v>
      </c>
      <c r="AI16" s="196" cm="1">
        <f t="array" ref="AI16">(_xll.BDP(C16&amp;" Equity","SHORT_INT")/_xll.BDP(C16&amp;" Equity","VOLUME_AVG_90D"))</f>
        <v>3.0859999814058297</v>
      </c>
      <c r="AJ16" s="196" cm="1">
        <f t="array" ref="AJ16">(_xll.BDP(B16&amp;" Equity","SHORT_INT"))/((_xll.BDP(B16&amp;" Equity","EQY_FREE_FLOAT_PCT"))*(_xll.BDP(B16&amp;" Equity","EQY_SH_OUT_TOT_MULT_SH")))/100</f>
        <v>0.80025053597448659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1.2899166273399265E-2</v>
      </c>
      <c r="AN16" s="194">
        <f ca="1">IF(ISTEXT(B16),AP16/_xll.BDH(B16 &amp;  " Equity","BEST_EPS",$AN$3,$AN$3,"BEST_FPERIOD_OVERRIDE=1BF","CDR=US","Fill=p")-1,"")</f>
        <v>4.4896413696110971E-2</v>
      </c>
      <c r="AO16" s="196">
        <f t="shared" ca="1" si="7"/>
        <v>27.210747010405342</v>
      </c>
      <c r="AP16" s="196" cm="1">
        <f t="array" aca="1" ref="AP16" ca="1">IF(ISTEXT(B16),_xll.BDH(B16 &amp;  " Equity","BEST_EPS",$Q$3,$Q$3,"BEST_FPERIOD_OVERRIDE=1BF","CDR=US","Fill=p"),"")</f>
        <v>19.317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0</v>
      </c>
      <c r="E17" s="255">
        <f>SUMIF(Tabelad[Ticker],PAIR_Monitor!C17,Tabelad[Exp %])-E16-E15</f>
        <v>0</v>
      </c>
      <c r="F17" s="254"/>
      <c r="G17" s="187" cm="1">
        <f t="array" ref="G17">_xll.BDP(B17&amp;" Equity","LAST PRICE")</f>
        <v>53.14</v>
      </c>
      <c r="H17" s="188" cm="1">
        <f t="array" ref="H17">G17/_xll.BDP(B17&amp;" Equity", "PREV_CLOSE_VAL")-1</f>
        <v>-1.2451217245865065E-2</v>
      </c>
      <c r="I17" s="187" cm="1">
        <f t="array" ref="I17">_xll.BDP(C17&amp;" Equity","LAST PRICE")</f>
        <v>198.81</v>
      </c>
      <c r="J17" s="188" cm="1">
        <f t="array" ref="J17">I17/_xll.BDP(C17&amp;" Equity", "PREV_CLOSE_VAL")-1</f>
        <v>-4.2572373034157618E-3</v>
      </c>
      <c r="K17" s="189">
        <f t="shared" si="1"/>
        <v>0.26729037774759823</v>
      </c>
      <c r="L17" s="188" cm="1">
        <f t="array" ref="L17">K17/(_xll.BDP(B17&amp;" Equity", "PREV_CLOSE_VAL")/_xll.BDP(C17&amp;" Equity", "PREV_CLOSE_VAL"))-1</f>
        <v>-8.2290128027232567E-3</v>
      </c>
      <c r="M17" s="188"/>
      <c r="N17" s="190">
        <f t="shared" si="2"/>
        <v>1.1941307087478656</v>
      </c>
      <c r="O17" s="191">
        <f t="shared" si="3"/>
        <v>6.8912161310649032E-3</v>
      </c>
      <c r="P17" s="192" cm="1">
        <f t="array" ref="P17">_xll.BDP($A17&amp;" Index","VOLATILITY_30D")</f>
        <v>10.936360000000001</v>
      </c>
      <c r="Q17" s="192" cm="1">
        <f t="array" aca="1" ref="Q17" ca="1">(_xll.BDP(($B17&amp; " Equity"),"CORR_COEF", "BETA_OVERRIDE_REL_INDEX",($C17&amp; " Equity"),"BETA_OVERRIDE_END_DT",$Q$5,"BETA_OVERRIDE_START_DT",$Q$4))*100</f>
        <v>71.865539144763574</v>
      </c>
      <c r="R17" s="188"/>
      <c r="S17" s="188" cm="1">
        <f t="array" ref="S17">_xll.BDP($A17&amp;" Index","CHG_PCT_2D")/100</f>
        <v>3.5695060000000002E-4</v>
      </c>
      <c r="T17" s="188" cm="1">
        <f t="array" ref="T17">_xll.BDP($A17&amp;" Index","CHG_PCT_5D")/100</f>
        <v>-1.9375199999999999E-2</v>
      </c>
      <c r="U17" s="188" cm="1">
        <f t="array" ref="U17">K17/_xll.BDP($A17&amp;" Index","HIGH_52WEEK")-1</f>
        <v>-7.9102919043589237E-2</v>
      </c>
      <c r="V17" s="188" cm="1">
        <f t="array" ref="V17">K17/_xll.BDP($A17&amp;" Index","LOW_52WEEK")-1</f>
        <v>-3.0198517433859262E-3</v>
      </c>
      <c r="W17" s="188"/>
      <c r="X17" s="192" cm="1">
        <f t="array" ref="X17">_xll.BDP($A17&amp;" Index","RSI_14D")</f>
        <v>27.99785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-7.8309042249661176E-2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1.4518468417892905</v>
      </c>
      <c r="AI17" s="196" cm="1">
        <f t="array" ref="AI17">(_xll.BDP(C17&amp;" Equity","SHORT_INT")/_xll.BDP(C17&amp;" Equity","VOLUME_AVG_90D"))</f>
        <v>3.0859999814058297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53.14</v>
      </c>
      <c r="H18" s="188" cm="1">
        <f t="array" ref="H18">G18/_xll.BDP(B18&amp;" Equity", "PREV_CLOSE_VAL")-1</f>
        <v>-1.2451217245865065E-2</v>
      </c>
      <c r="I18" s="187" cm="1">
        <f t="array" ref="I18">_xll.BDP(C18&amp;" Equity","LAST PRICE")</f>
        <v>479.55</v>
      </c>
      <c r="J18" s="188" cm="1">
        <f t="array" ref="J18">I18/_xll.BDP(C18&amp;" Equity", "PREV_CLOSE_VAL")-1</f>
        <v>-1.0196288881091475E-2</v>
      </c>
      <c r="K18" s="189">
        <f t="shared" si="1"/>
        <v>0.11081221978938588</v>
      </c>
      <c r="L18" s="188" cm="1">
        <f t="array" ref="L18">K18/(_xll.BDP(B18&amp;" Equity", "PREV_CLOSE_VAL")/_xll.BDP(C18&amp;" Equity", "PREV_CLOSE_VAL"))-1</f>
        <v>-2.2781571128124289E-3</v>
      </c>
      <c r="M18" s="188"/>
      <c r="N18" s="190">
        <f t="shared" si="2"/>
        <v>0.25458140927700718</v>
      </c>
      <c r="O18" s="191">
        <f t="shared" si="3"/>
        <v>8.9486389413988669E-3</v>
      </c>
      <c r="P18" s="192" cm="1">
        <f t="array" ref="P18">_xll.BDP($A18&amp;" Index","VOLATILITY_30D")</f>
        <v>14.20149</v>
      </c>
      <c r="Q18" s="192" cm="1">
        <f t="array" aca="1" ref="Q18" ca="1">(_xll.BDP(($B18&amp; " Equity"),"CORR_COEF", "BETA_OVERRIDE_REL_INDEX",($C18&amp; " Equity"),"BETA_OVERRIDE_END_DT",$Q$5,"BETA_OVERRIDE_START_DT",$Q$4))*100</f>
        <v>46.681554095538687</v>
      </c>
      <c r="R18" s="188"/>
      <c r="S18" s="188" cm="1">
        <f t="array" ref="S18">_xll.BDP($A18&amp;" Index","CHG_PCT_2D")/100</f>
        <v>3.9513669999999999E-3</v>
      </c>
      <c r="T18" s="188" cm="1">
        <f t="array" ref="T18">_xll.BDP($A18&amp;" Index","CHG_PCT_5D")/100</f>
        <v>5.1558070000000001E-3</v>
      </c>
      <c r="U18" s="188" cm="1">
        <f t="array" ref="U18">K18/_xll.BDP($A18&amp;" Index","HIGH_52WEEK")-1</f>
        <v>-1.9967986297109053E-2</v>
      </c>
      <c r="V18" s="188" cm="1">
        <f t="array" ref="V18">K18/_xll.BDP($A18&amp;" Index","LOW_52WEEK")-1</f>
        <v>0.24494124019083108</v>
      </c>
      <c r="W18" s="188"/>
      <c r="X18" s="192" cm="1">
        <f t="array" ref="X18">_xll.BDP($A18&amp;" Index","RSI_14D")</f>
        <v>55.651890000000002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0.10812219789385868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1.4518468417892905</v>
      </c>
      <c r="AI18" s="196" cm="1">
        <f t="array" ref="AI18">(_xll.BDP(C18&amp;" Equity","SHORT_INT")/_xll.BDP(C18&amp;" Equity","VOLUME_AVG_90D"))</f>
        <v>2.4020327082976132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0.80829109816973665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2.6437541308659274E-3</v>
      </c>
      <c r="AS18" s="194">
        <f ca="1">IF(ISTEXT(C18),AU18/_xll.BDH(C18 &amp;  " Equity","BEST_EPS",$AN$3,$AN$3,"BEST_FPERIOD_OVERRIDE=1BF","CDR=US","Fill=p")-1,"")</f>
        <v>-1.2461638612480286E-2</v>
      </c>
      <c r="AT18" s="196">
        <f t="shared" ca="1" si="8"/>
        <v>22.579809774931729</v>
      </c>
      <c r="AU18" s="196" cm="1">
        <f t="array" aca="1" ref="AU18" ca="1">IF(ISTEXT(C18),_xll.BDH(C18 &amp;  " Equity","BEST_EPS",$Q$3,$Q$3,"BEST_FPERIOD_OVERRIDE=1BF","CDR=US","Fill=p"),"")</f>
        <v>21.238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1.0146028787896384E-3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1.1329331921601901E-3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36.435000000000002</v>
      </c>
      <c r="H29" s="188" cm="1">
        <f t="array" ref="H29">G29/_xll.BDP(B29&amp;" Equity", "PREV_CLOSE_VAL")-1</f>
        <v>2.8365791701947529E-2</v>
      </c>
      <c r="I29" s="187" cm="1">
        <f t="array" ref="I29">_xll.BDP(C29&amp;" Equity","LAST PRICE")</f>
        <v>68.405000000000001</v>
      </c>
      <c r="J29" s="188" cm="1">
        <f t="array" ref="J29">I29/_xll.BDP(C29&amp;" Equity", "PREV_CLOSE_VAL")-1</f>
        <v>1.9904577307291005E-2</v>
      </c>
      <c r="K29" s="189">
        <f t="shared" ref="K29:K41" si="9">G29/I29</f>
        <v>0.53263650317959221</v>
      </c>
      <c r="L29" s="188" cm="1">
        <f t="array" ref="L29">K29/(_xll.BDP(B29&amp;" Equity", "PREV_CLOSE_VAL")/_xll.BDP(C29&amp;" Equity", "PREV_CLOSE_VAL"))-1</f>
        <v>8.2960843425132769E-3</v>
      </c>
      <c r="M29" s="188"/>
      <c r="N29" s="190">
        <f t="shared" ref="N29:N41" si="10">ABS(L29/O29)</f>
        <v>0.75288744798727358</v>
      </c>
      <c r="O29" s="191">
        <f>P29/15.87/100</f>
        <v>1.1019023314429742E-2</v>
      </c>
      <c r="P29" s="192" cm="1">
        <f t="array" ref="P29">_xll.BDP($A29&amp;" Index","VOLATILITY_30D")</f>
        <v>17.487189999999998</v>
      </c>
      <c r="Q29" s="192" cm="1">
        <f t="array" aca="1" ref="Q29" ca="1">(_xll.BDP(($B29&amp; " Equity"),"CORR_COEF", "BETA_OVERRIDE_REL_INDEX",($C29&amp; " Equity"),"BETA_OVERRIDE_END_DT",$Q$5,"BETA_OVERRIDE_START_DT",$Q$4))*100</f>
        <v>56.190665538895715</v>
      </c>
      <c r="R29" s="188"/>
      <c r="S29" s="188" cm="1">
        <f t="array" ref="S29">_xll.BDP($A29&amp;" Index","CHG_PCT_2D")/100</f>
        <v>3.5077900000000002E-3</v>
      </c>
      <c r="T29" s="188" cm="1">
        <f t="array" ref="T29">_xll.BDP($A29&amp;" Index","CHG_PCT_5D")/100</f>
        <v>-3.2913409999999997E-3</v>
      </c>
      <c r="U29" s="188" cm="1">
        <f t="array" ref="U29">K29/_xll.BDP($A29&amp;" Index","HIGH_52WEEK")-1</f>
        <v>-0.10180856447683484</v>
      </c>
      <c r="V29" s="188" cm="1">
        <f t="array" ref="V29">K29/_xll.BDP($A29&amp;" Index","LOW_52WEEK")-1</f>
        <v>0.12901732450048153</v>
      </c>
      <c r="W29" s="188"/>
      <c r="X29" s="192" cm="1">
        <f t="array" ref="X29">_xll.BDP($A29&amp;" Index","RSI_14D")</f>
        <v>44.279789999999998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46064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1.5482791478044204</v>
      </c>
      <c r="AI29" s="196" cm="1">
        <f t="array" ref="AI29">(_xll.BDP(C29&amp;" Equity","SHORT_INT")/_xll.BDP(C29&amp;" Equity","VOLUME_AVG_90D"))</f>
        <v>12.65698192946738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0.26181691462546786</v>
      </c>
      <c r="AM29" s="194">
        <f ca="1">IF(ISTEXT(B29),AP29/_xll.BDH(B29 &amp;  " Equity","BEST_EPS",$AM$3,$AM$3,"BEST_FPERIOD_OVERRIDE=1BF","CDR=US","Fill=p")-1,"")</f>
        <v>-1.3076393668272623E-2</v>
      </c>
      <c r="AN29" s="194">
        <f ca="1">IF(ISTEXT(B29),AP29/_xll.BDH(B29 &amp;  " Equity","BEST_EPS",$AN$3,$AN$3,"BEST_FPERIOD_OVERRIDE=1BF","CDR=US","Fill=p")-1,"")</f>
        <v>3.1479538300105414E-3</v>
      </c>
      <c r="AO29" s="196">
        <f t="shared" ref="AO29:AO41" ca="1" si="14">G29/AP29</f>
        <v>12.70397489539749</v>
      </c>
      <c r="AP29" s="196" cm="1">
        <f t="array" aca="1" ref="AP29" ca="1">IF(ISTEXT(B29),_xll.BDH(B29 &amp;  " Equity","BEST_EPS",$Q$3,$Q$3,"BEST_FPERIOD_OVERRIDE=1BF","CDR=US","Fill=p"),"")</f>
        <v>2.8679999999999999</v>
      </c>
      <c r="AR29" s="194">
        <f ca="1">IF(ISTEXT(C29),AU29/_xll.BDH(C29 &amp;  " Equity","BEST_EPS",$AM$3,$AM$3,"BEST_FPERIOD_OVERRIDE=1BF","CDR=US","Fill=p")-1,"")</f>
        <v>-1.8670979123787124E-2</v>
      </c>
      <c r="AS29" s="194">
        <f ca="1">IF(ISTEXT(C29),AU29/_xll.BDH(C29 &amp;  " Equity","BEST_EPS",$AN$3,$AN$3,"BEST_FPERIOD_OVERRIDE=1BF","CDR=US","Fill=p")-1,"")</f>
        <v>-3.901526058162974E-2</v>
      </c>
      <c r="AT29" s="196">
        <f t="shared" ref="AT29:AT41" ca="1" si="15">I29/AU29</f>
        <v>10.247940074906367</v>
      </c>
      <c r="AU29" s="196" cm="1">
        <f t="array" aca="1" ref="AU29" ca="1">IF(ISTEXT(C29),_xll.BDH(C29 &amp;  " Equity","BEST_EPS",$Q$3,$Q$3,"BEST_FPERIOD_OVERRIDE=1BF","CDR=US","Fill=p"),"")</f>
        <v>6.6749999999999998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36.435000000000002</v>
      </c>
      <c r="H30" s="188" cm="1">
        <f t="array" ref="H30">G30/_xll.BDP(B30&amp;" Equity", "PREV_CLOSE_VAL")-1</f>
        <v>2.8365791701947529E-2</v>
      </c>
      <c r="I30" s="187" cm="1">
        <f t="array" ref="I30">_xll.BDP(C30&amp;" Equity","LAST PRICE")</f>
        <v>73.831900000000005</v>
      </c>
      <c r="J30" s="188" cm="1">
        <f t="array" ref="J30">I30/_xll.BDP(C30&amp;" Equity", "PREV_CLOSE_VAL")-1</f>
        <v>1.9495995581331194E-2</v>
      </c>
      <c r="K30" s="189">
        <f t="shared" si="9"/>
        <v>0.49348587805542049</v>
      </c>
      <c r="L30" s="188" cm="1">
        <f t="array" ref="L30">K30/(_xll.BDP(B30&amp;" Equity", "PREV_CLOSE_VAL")/_xll.BDP(C30&amp;" Equity", "PREV_CLOSE_VAL"))-1</f>
        <v>8.7001774985480118E-3</v>
      </c>
      <c r="M30" s="188"/>
      <c r="N30" s="190">
        <f>ABS(L30/O30)</f>
        <v>0.74506552034080853</v>
      </c>
      <c r="O30" s="191">
        <f>P30/15.87/100</f>
        <v>1.1677063642091999E-2</v>
      </c>
      <c r="P30" s="192" cm="1">
        <f t="array" ref="P30">_xll.BDP($A30&amp;" Index","VOLATILITY_30D")</f>
        <v>18.531500000000001</v>
      </c>
      <c r="Q30" s="192" cm="1">
        <f t="array" aca="1" ref="Q30" ca="1">(_xll.BDP(($B30&amp; " Equity"),"CORR_COEF", "BETA_OVERRIDE_REL_INDEX",($C30&amp; " Equity"),"BETA_OVERRIDE_END_DT",$Q$5,"BETA_OVERRIDE_START_DT",$Q$4))*100</f>
        <v>63.922639499392844</v>
      </c>
      <c r="R30" s="188"/>
      <c r="S30" s="188" cm="1">
        <f t="array" ref="S30">_xll.BDP($A30&amp;" Index","CHG_PCT_2D")/100</f>
        <v>1.4065609999999999E-2</v>
      </c>
      <c r="T30" s="188" cm="1">
        <f t="array" ref="T30">_xll.BDP($A30&amp;" Index","CHG_PCT_5D")/100</f>
        <v>3.5680509999999999E-2</v>
      </c>
      <c r="U30" s="188" cm="1">
        <f t="array" ref="U30">K30/_xll.BDP($A30&amp;" Index","HIGH_52WEEK")-1</f>
        <v>-5.3500559945873438E-2</v>
      </c>
      <c r="V30" s="188" cm="1">
        <f t="array" ref="V30">K30/_xll.BDP($A30&amp;" Index","LOW_52WEEK")-1</f>
        <v>0.16948095375363281</v>
      </c>
      <c r="W30" s="188"/>
      <c r="X30" s="192" cm="1">
        <f t="array" ref="X30">_xll.BDP($A30&amp;" Index","RSI_14D")</f>
        <v>59.427700000000002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46064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1.5482791478044204</v>
      </c>
      <c r="AI30" s="196" cm="1">
        <f t="array" ref="AI30">(_xll.BDP(C30&amp;" Equity","SHORT_INT")/_xll.BDP(C30&amp;" Equity","VOLUME_AVG_90D"))</f>
        <v>2.7512372527732318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-1.3076393668272623E-2</v>
      </c>
      <c r="AN30" s="194">
        <f ca="1">IF(ISTEXT(B30),AP30/_xll.BDH(B30 &amp;  " Equity","BEST_EPS",$AN$3,$AN$3,"BEST_FPERIOD_OVERRIDE=1BF","CDR=US","Fill=p")-1,"")</f>
        <v>3.1479538300105414E-3</v>
      </c>
      <c r="AO30" s="196">
        <f t="shared" ca="1" si="14"/>
        <v>12.70397489539749</v>
      </c>
      <c r="AP30" s="196" cm="1">
        <f t="array" aca="1" ref="AP30" ca="1">IF(ISTEXT(B30),_xll.BDH(B30 &amp;  " Equity","BEST_EPS",$Q$3,$Q$3,"BEST_FPERIOD_OVERRIDE=1BF","CDR=US","Fill=p"),"")</f>
        <v>2.8679999999999999</v>
      </c>
      <c r="AR30" s="194">
        <f ca="1">IF(ISTEXT(C30),AU30/_xll.BDH(C30 &amp;  " Equity","BEST_EPS",$AM$3,$AM$3,"BEST_FPERIOD_OVERRIDE=1BF","CDR=US","Fill=p")-1,"")</f>
        <v>9.5419847328244156E-3</v>
      </c>
      <c r="AS30" s="194">
        <f ca="1">IF(ISTEXT(C30),AU30/_xll.BDH(C30 &amp;  " Equity","BEST_EPS",$AN$3,$AN$3,"BEST_FPERIOD_OVERRIDE=1BF","CDR=US","Fill=p")-1,"")</f>
        <v>-9.9812850904553718E-3</v>
      </c>
      <c r="AT30" s="196">
        <f t="shared" ca="1" si="15"/>
        <v>11.630734089477002</v>
      </c>
      <c r="AU30" s="196" cm="1">
        <f t="array" aca="1" ref="AU30" ca="1">IF(ISTEXT(C30),_xll.BDH(C30 &amp;  " Equity","BEST_EPS",$Q$3,$Q$3,"BEST_FPERIOD_OVERRIDE=1BF","CDR=US","Fill=p"),"")</f>
        <v>6.3479999999999999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228.4</v>
      </c>
      <c r="H31" s="188" cm="1">
        <f t="array" ref="H31">G31/_xll.BDP(B31&amp;" Equity", "PREV_CLOSE_VAL")-1</f>
        <v>1.359112630979098E-3</v>
      </c>
      <c r="I31" s="187" cm="1">
        <f t="array" ref="I31">_xll.BDP(C31&amp;" Equity","LAST PRICE")</f>
        <v>623.66</v>
      </c>
      <c r="J31" s="188" cm="1">
        <f t="array" ref="J31">I31/_xll.BDP(C31&amp;" Equity", "PREV_CLOSE_VAL")-1</f>
        <v>4.6716927637089345E-3</v>
      </c>
      <c r="K31" s="189">
        <f t="shared" si="9"/>
        <v>0.36622518680050031</v>
      </c>
      <c r="L31" s="188" cm="1">
        <f t="array" ref="L31">K31/(_xll.BDP(B31&amp;" Equity", "PREV_CLOSE_VAL")/_xll.BDP(C31&amp;" Equity", "PREV_CLOSE_VAL"))-1</f>
        <v>-3.2971767360314708E-3</v>
      </c>
      <c r="M31" s="188"/>
      <c r="N31" s="190">
        <f t="shared" si="10"/>
        <v>0.15732976016011169</v>
      </c>
      <c r="O31" s="191">
        <f>P31/15.87/100</f>
        <v>2.0957107750472593E-2</v>
      </c>
      <c r="P31" s="192" cm="1">
        <f t="array" ref="P31">_xll.BDP($A31&amp;" Index","VOLATILITY_30D")</f>
        <v>33.258929999999999</v>
      </c>
      <c r="Q31" s="192" cm="1">
        <f t="array" aca="1" ref="Q31" ca="1">(_xll.BDP(($B31&amp; " Equity"),"CORR_COEF", "BETA_OVERRIDE_REL_INDEX",($C31&amp; " Equity"),"BETA_OVERRIDE_END_DT",$Q$5,"BETA_OVERRIDE_START_DT",$Q$4))*100</f>
        <v>36.779095452098964</v>
      </c>
      <c r="R31" s="188"/>
      <c r="S31" s="188" cm="1">
        <f t="array" ref="S31">_xll.BDP($A31&amp;" Index","CHG_PCT_2D")/100</f>
        <v>2.504725E-2</v>
      </c>
      <c r="T31" s="188" cm="1">
        <f t="array" ref="T31">_xll.BDP($A31&amp;" Index","CHG_PCT_5D")/100</f>
        <v>8.1695789999999997E-3</v>
      </c>
      <c r="U31" s="188" cm="1">
        <f t="array" ref="U31">K31/_xll.BDP($A31&amp;" Index","HIGH_52WEEK")-1</f>
        <v>-0.46909266783534553</v>
      </c>
      <c r="V31" s="188" cm="1">
        <f t="array" ref="V31">K31/_xll.BDP($A31&amp;" Index","LOW_52WEEK")-1</f>
        <v>1.8593721979474509E-2</v>
      </c>
      <c r="W31" s="188"/>
      <c r="X31" s="192" cm="1">
        <f t="array" ref="X31">_xll.BDP($A31&amp;" Index","RSI_14D")</f>
        <v>32.077399999999997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2.0067056463661297</v>
      </c>
      <c r="AI31" s="196" cm="1">
        <f t="array" ref="AI31">(_xll.BDP(C31&amp;" Equity","SHORT_INT")/_xll.BDP(C31&amp;" Equity","VOLUME_AVG_90D"))</f>
        <v>0.76721436084260075</v>
      </c>
      <c r="AJ31" s="196" cm="1">
        <f t="array" ref="AJ31">(_xll.BDP(B31&amp;" Equity","SHORT_INT"))/((_xll.BDP(B31&amp;" Equity","EQY_FREE_FLOAT_PCT"))*(_xll.BDP(B31&amp;" Equity","EQY_SH_OUT_TOT_MULT_SH")))/100</f>
        <v>1.8450467518064286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1.1577978837601588E-2</v>
      </c>
      <c r="AN31" s="194">
        <f ca="1">IF(ISTEXT(B31),AP31/_xll.BDH(B31 &amp;  " Equity","BEST_EPS",$AN$3,$AN$3,"BEST_FPERIOD_OVERRIDE=1BF","CDR=US","Fill=p")-1,"")</f>
        <v>6.713580846072964E-2</v>
      </c>
      <c r="AO31" s="196">
        <f t="shared" ca="1" si="14"/>
        <v>17.312211020995985</v>
      </c>
      <c r="AP31" s="196" cm="1">
        <f t="array" aca="1" ref="AP31" ca="1">IF(ISTEXT(B31),_xll.BDH(B31 &amp;  " Equity","BEST_EPS",$Q$3,$Q$3,"BEST_FPERIOD_OVERRIDE=1BF","CDR=US","Fill=p"),"")</f>
        <v>13.193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228.4</v>
      </c>
      <c r="H32" s="188" cm="1">
        <f t="array" ref="H32">G32/_xll.BDP(B32&amp;" Equity", "PREV_CLOSE_VAL")-1</f>
        <v>1.359112630979098E-3</v>
      </c>
      <c r="I32" s="187" cm="1">
        <f t="array" ref="I32">_xll.BDP(C32&amp;" Equity","LAST PRICE")</f>
        <v>97.77</v>
      </c>
      <c r="J32" s="188" cm="1">
        <f t="array" ref="J32">I32/_xll.BDP(C32&amp;" Equity", "PREV_CLOSE_VAL")-1</f>
        <v>8.561997111615316E-3</v>
      </c>
      <c r="K32" s="189">
        <f t="shared" si="9"/>
        <v>2.3360949166410965</v>
      </c>
      <c r="L32" s="188" cm="1">
        <f t="array" ref="L32">K32/(_xll.BDP(B32&amp;" Equity", "PREV_CLOSE_VAL")/_xll.BDP(C32&amp;" Equity", "PREV_CLOSE_VAL"))-1</f>
        <v>-7.1417369495029304E-3</v>
      </c>
      <c r="M32" s="188"/>
      <c r="N32" s="190">
        <f t="shared" si="10"/>
        <v>0.47973583223717342</v>
      </c>
      <c r="O32" s="191">
        <f t="shared" ref="O32:O55" si="17">P32/15.87/100</f>
        <v>1.48868115942029E-2</v>
      </c>
      <c r="P32" s="192" cm="1">
        <f t="array" ref="P32">_xll.BDP($A32&amp;" Index","VOLATILITY_30D")</f>
        <v>23.62537</v>
      </c>
      <c r="Q32" s="192" cm="1">
        <f t="array" aca="1" ref="Q32" ca="1">(_xll.BDP(($B32&amp; " Equity"),"CORR_COEF", "BETA_OVERRIDE_REL_INDEX",($C32&amp; " Equity"),"BETA_OVERRIDE_END_DT",$Q$5,"BETA_OVERRIDE_START_DT",$Q$4))*100</f>
        <v>73.774045147558041</v>
      </c>
      <c r="R32" s="188"/>
      <c r="S32" s="188" cm="1">
        <f t="array" ref="S32">_xll.BDP($A32&amp;" Index","CHG_PCT_2D")/100</f>
        <v>1.253659E-2</v>
      </c>
      <c r="T32" s="188" cm="1">
        <f t="array" ref="T32">_xll.BDP($A32&amp;" Index","CHG_PCT_5D")/100</f>
        <v>1.8015779999999999E-2</v>
      </c>
      <c r="U32" s="188" cm="1">
        <f t="array" ref="U32">K32/_xll.BDP($A32&amp;" Index","HIGH_52WEEK")-1</f>
        <v>-0.31860888787222785</v>
      </c>
      <c r="V32" s="188" cm="1">
        <f t="array" ref="V32">K32/_xll.BDP($A32&amp;" Index","LOW_52WEEK")-1</f>
        <v>0.14054325766202824</v>
      </c>
      <c r="W32" s="188"/>
      <c r="X32" s="192" cm="1">
        <f t="array" ref="X32">_xll.BDP($A32&amp;" Index","RSI_14D")</f>
        <v>45.285550000000001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2.0067056463661297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1.8450467518064286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1.1577978837601588E-2</v>
      </c>
      <c r="AN32" s="194">
        <f ca="1">IF(ISTEXT(B32),AP32/_xll.BDH(B32 &amp;  " Equity","BEST_EPS",$AN$3,$AN$3,"BEST_FPERIOD_OVERRIDE=1BF","CDR=US","Fill=p")-1,"")</f>
        <v>6.713580846072964E-2</v>
      </c>
      <c r="AO32" s="196">
        <f t="shared" ca="1" si="14"/>
        <v>17.312211020995985</v>
      </c>
      <c r="AP32" s="196" cm="1">
        <f t="array" aca="1" ref="AP32" ca="1">IF(ISTEXT(B32),_xll.BDH(B32 &amp;  " Equity","BEST_EPS",$Q$3,$Q$3,"BEST_FPERIOD_OVERRIDE=1BF","CDR=US","Fill=p"),"")</f>
        <v>13.193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657.13499999999999</v>
      </c>
      <c r="H33" s="188" cm="1">
        <f t="array" ref="H33">G33/_xll.BDP(B33&amp;" Equity", "PREV_CLOSE_VAL")-1</f>
        <v>1.4676590028256831E-2</v>
      </c>
      <c r="I33" s="187" cm="1">
        <f t="array" ref="I33">_xll.BDP(C33&amp;" Equity","LAST PRICE")</f>
        <v>623.66</v>
      </c>
      <c r="J33" s="188" cm="1">
        <f t="array" ref="J33">I33/_xll.BDP(C33&amp;" Equity", "PREV_CLOSE_VAL")-1</f>
        <v>4.6716927637089345E-3</v>
      </c>
      <c r="K33" s="189">
        <f t="shared" si="9"/>
        <v>1.0536750793701697</v>
      </c>
      <c r="L33" s="188" cm="1">
        <f t="array" ref="L33">K33/(_xll.BDP(B33&amp;" Equity", "PREV_CLOSE_VAL")/_xll.BDP(C33&amp;" Equity", "PREV_CLOSE_VAL"))-1</f>
        <v>9.9583747970701797E-3</v>
      </c>
      <c r="M33" s="188"/>
      <c r="N33" s="190">
        <f t="shared" si="10"/>
        <v>0.72550452698113765</v>
      </c>
      <c r="O33" s="191">
        <f t="shared" si="17"/>
        <v>1.372613736609956E-2</v>
      </c>
      <c r="P33" s="192" cm="1">
        <f t="array" ref="P33">_xll.BDP($A33&amp;" Index","VOLATILITY_30D")</f>
        <v>21.783380000000001</v>
      </c>
      <c r="Q33" s="192" cm="1">
        <f t="array" aca="1" ref="Q33" ca="1">(_xll.BDP(($B33&amp; " Equity"),"CORR_COEF", "BETA_OVERRIDE_REL_INDEX",($C33&amp; " Equity"),"BETA_OVERRIDE_END_DT",$Q$5,"BETA_OVERRIDE_START_DT",$Q$4))*100</f>
        <v>48.935155757600022</v>
      </c>
      <c r="R33" s="188"/>
      <c r="S33" s="188" cm="1">
        <f t="array" ref="S33">_xll.BDP($A33&amp;" Index","CHG_PCT_2D")/100</f>
        <v>6.6314449999999997E-2</v>
      </c>
      <c r="T33" s="188" cm="1">
        <f t="array" ref="T33">_xll.BDP($A33&amp;" Index","CHG_PCT_5D")/100</f>
        <v>6.2296980000000002E-2</v>
      </c>
      <c r="U33" s="188" cm="1">
        <f t="array" ref="U33">K33/_xll.BDP($A33&amp;" Index","HIGH_52WEEK")-1</f>
        <v>-0.23441467749024947</v>
      </c>
      <c r="V33" s="188" cm="1">
        <f t="array" ref="V33">K33/_xll.BDP($A33&amp;" Index","LOW_52WEEK")-1</f>
        <v>7.4553656924206901E-2</v>
      </c>
      <c r="W33" s="188"/>
      <c r="X33" s="192" cm="1">
        <f t="array" ref="X33">_xll.BDP($A33&amp;" Index","RSI_14D")</f>
        <v>52.592280000000002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46050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1.9734173815169422</v>
      </c>
      <c r="AI33" s="196" cm="1">
        <f t="array" ref="AI33">(_xll.BDP(C33&amp;" Equity","SHORT_INT")/_xll.BDP(C33&amp;" Equity","VOLUME_AVG_90D"))</f>
        <v>0.76721436084260075</v>
      </c>
      <c r="AJ33" s="196" cm="1">
        <f t="array" ref="AJ33">(_xll.BDP(B33&amp;" Equity","SHORT_INT"))/((_xll.BDP(B33&amp;" Equity","EQY_FREE_FLOAT_PCT"))*(_xll.BDP(B33&amp;" Equity","EQY_SH_OUT_TOT_MULT_SH")))/100</f>
        <v>1.315029992310595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2.0541157392113707E-2</v>
      </c>
      <c r="AN33" s="194">
        <f ca="1">IF(ISTEXT(B33),AP33/_xll.BDH(B33 &amp;  " Equity","BEST_EPS",$AN$3,$AN$3,"BEST_FPERIOD_OVERRIDE=1BF","CDR=US","Fill=p")-1,"")</f>
        <v>-1.9136408243375924E-2</v>
      </c>
      <c r="AO33" s="196">
        <f t="shared" ca="1" si="14"/>
        <v>19.337168584292147</v>
      </c>
      <c r="AP33" s="196" cm="1">
        <f t="array" aca="1" ref="AP33" ca="1">IF(ISTEXT(B33),_xll.BDH(B33 &amp;  " Equity","BEST_EPS",$Q$3,$Q$3,"BEST_FPERIOD_OVERRIDE=1BF","CDR=US","Fill=p"),"")</f>
        <v>33.982999999999997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335.92</v>
      </c>
      <c r="H34" s="188" cm="1">
        <f t="array" ref="H34">G34/_xll.BDP(B34&amp;" Equity", "PREV_CLOSE_VAL")-1</f>
        <v>2.6117237376668712E-2</v>
      </c>
      <c r="I34" s="187" cm="1">
        <f t="array" ref="I34">_xll.BDP(C34&amp;" Equity","LAST PRICE")</f>
        <v>402.17</v>
      </c>
      <c r="J34" s="188" cm="1">
        <f t="array" ref="J34">I34/_xll.BDP(C34&amp;" Equity", "PREV_CLOSE_VAL")-1</f>
        <v>-1.6136239511443939E-3</v>
      </c>
      <c r="K34" s="189">
        <f t="shared" si="9"/>
        <v>0.83526866747892681</v>
      </c>
      <c r="L34" s="188" cm="1">
        <f t="array" ref="L34">K34/(_xll.BDP(B34&amp;" Equity", "PREV_CLOSE_VAL")/_xll.BDP(C34&amp;" Equity", "PREV_CLOSE_VAL"))-1</f>
        <v>2.7775680831662264E-2</v>
      </c>
      <c r="M34" s="188"/>
      <c r="N34" s="190">
        <f t="shared" si="10"/>
        <v>1.9966799980906529</v>
      </c>
      <c r="O34" s="191">
        <f t="shared" si="17"/>
        <v>1.3910932577189667E-2</v>
      </c>
      <c r="P34" s="192" cm="1">
        <f t="array" ref="P34">_xll.BDP($A34&amp;" Index","VOLATILITY_30D")</f>
        <v>22.076650000000001</v>
      </c>
      <c r="Q34" s="192" cm="1">
        <f t="array" aca="1" ref="Q34" ca="1">(_xll.BDP(($B34&amp; " Equity"),"CORR_COEF", "BETA_OVERRIDE_REL_INDEX",($C34&amp; " Equity"),"BETA_OVERRIDE_END_DT",$Q$5,"BETA_OVERRIDE_START_DT",$Q$4))*100</f>
        <v>80.033623357474966</v>
      </c>
      <c r="R34" s="188"/>
      <c r="S34" s="188" cm="1">
        <f t="array" ref="S34">_xll.BDP($A34&amp;" Index","CHG_PCT_2D")/100</f>
        <v>2.8525170000000002E-2</v>
      </c>
      <c r="T34" s="188" cm="1">
        <f t="array" ref="T34">_xll.BDP($A34&amp;" Index","CHG_PCT_5D")/100</f>
        <v>-2.4131219999999998E-2</v>
      </c>
      <c r="U34" s="188" cm="1">
        <f t="array" ref="U34">K34/_xll.BDP($A34&amp;" Index","HIGH_52WEEK")-1</f>
        <v>-6.3117002625875718E-2</v>
      </c>
      <c r="V34" s="188" cm="1">
        <f t="array" ref="V34">K34/_xll.BDP($A34&amp;" Index","LOW_52WEEK")-1</f>
        <v>0.10928400153912032</v>
      </c>
      <c r="W34" s="188"/>
      <c r="X34" s="192" cm="1">
        <f t="array" ref="X34">_xll.BDP($A34&amp;" Index","RSI_14D")</f>
        <v>41.469110000000001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1.8185046045737401</v>
      </c>
      <c r="AI34" s="196" cm="1">
        <f t="array" ref="AI34">(_xll.BDP(C34&amp;" Equity","SHORT_INT")/_xll.BDP(C34&amp;" Equity","VOLUME_AVG_90D"))</f>
        <v>1.2318055053378627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0.14471285083420282</v>
      </c>
      <c r="AN34" s="194">
        <f ca="1">IF(ISTEXT(B34),AP34/_xll.BDH(B34 &amp;  " Equity","BEST_EPS",$AN$3,$AN$3,"BEST_FPERIOD_OVERRIDE=1BF","CDR=US","Fill=p")-1,"")</f>
        <v>0.17905712556551578</v>
      </c>
      <c r="AO34" s="196">
        <f t="shared" ca="1" si="14"/>
        <v>0.77321462276094155</v>
      </c>
      <c r="AP34" s="196" cm="1">
        <f t="array" aca="1" ref="AP34" ca="1">IF(ISTEXT(B34),_xll.BDH(B34 &amp;  " Equity","BEST_EPS",$Q$3,$Q$3,"BEST_FPERIOD_OVERRIDE=1BF","CDR=US","Fill=p"),"")</f>
        <v>434.44600000000003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187.655</v>
      </c>
      <c r="H35" s="188" cm="1">
        <f t="array" ref="H35">G35/_xll.BDP(B35&amp;" Equity", "PREV_CLOSE_VAL")-1</f>
        <v>1.5229387578446163E-2</v>
      </c>
      <c r="I35" s="187" cm="1">
        <f t="array" ref="I35">_xll.BDP(C35&amp;" Equity","LAST PRICE")</f>
        <v>402.17</v>
      </c>
      <c r="J35" s="188" cm="1">
        <f t="array" ref="J35">I35/_xll.BDP(C35&amp;" Equity", "PREV_CLOSE_VAL")-1</f>
        <v>-1.6136239511443939E-3</v>
      </c>
      <c r="K35" s="189">
        <f t="shared" si="9"/>
        <v>0.46660616157346396</v>
      </c>
      <c r="L35" s="188" cm="1">
        <f t="array" ref="L35">K35/(_xll.BDP(B35&amp;" Equity", "PREV_CLOSE_VAL")/_xll.BDP(C35&amp;" Equity", "PREV_CLOSE_VAL"))-1</f>
        <v>1.6870233742819485E-2</v>
      </c>
      <c r="M35" s="188"/>
      <c r="N35" s="190">
        <f t="shared" si="10"/>
        <v>1.2338015106167393</v>
      </c>
      <c r="O35" s="191">
        <f t="shared" si="17"/>
        <v>1.3673377441713925E-2</v>
      </c>
      <c r="P35" s="192" cm="1">
        <f t="array" ref="P35">_xll.BDP($A35&amp;" Index","VOLATILITY_30D")</f>
        <v>21.699649999999998</v>
      </c>
      <c r="Q35" s="192" cm="1">
        <f t="array" aca="1" ref="Q35" ca="1">(_xll.BDP(($B35&amp; " Equity"),"CORR_COEF", "BETA_OVERRIDE_REL_INDEX",($C35&amp; " Equity"),"BETA_OVERRIDE_END_DT",$Q$5,"BETA_OVERRIDE_START_DT",$Q$4))*100</f>
        <v>58.307591858137719</v>
      </c>
      <c r="R35" s="188"/>
      <c r="S35" s="188" cm="1">
        <f t="array" ref="S35">_xll.BDP($A35&amp;" Index","CHG_PCT_2D")/100</f>
        <v>2.7407849999999997E-2</v>
      </c>
      <c r="T35" s="188" cm="1">
        <f t="array" ref="T35">_xll.BDP($A35&amp;" Index","CHG_PCT_5D")/100</f>
        <v>7.4786909999999991E-3</v>
      </c>
      <c r="U35" s="188" cm="1">
        <f t="array" ref="U35">K35/_xll.BDP($A35&amp;" Index","HIGH_52WEEK")-1</f>
        <v>-0.25461083791520001</v>
      </c>
      <c r="V35" s="188" cm="1">
        <f t="array" ref="V35">K35/_xll.BDP($A35&amp;" Index","LOW_52WEEK")-1</f>
        <v>2.3034776525902023E-2</v>
      </c>
      <c r="W35" s="188"/>
      <c r="X35" s="192" cm="1">
        <f t="array" ref="X35">_xll.BDP($A35&amp;" Index","RSI_14D")</f>
        <v>28.624700000000001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1.3999642596986801</v>
      </c>
      <c r="AI35" s="196" cm="1">
        <f t="array" ref="AI35">(_xll.BDP(C35&amp;" Equity","SHORT_INT")/_xll.BDP(C35&amp;" Equity","VOLUME_AVG_90D"))</f>
        <v>1.2318055053378627</v>
      </c>
      <c r="AJ35" s="196" cm="1">
        <f t="array" ref="AJ35">(_xll.BDP(B35&amp;" Equity","SHORT_INT"))/((_xll.BDP(B35&amp;" Equity","EQY_FREE_FLOAT_PCT"))*(_xll.BDP(B35&amp;" Equity","EQY_SH_OUT_TOT_MULT_SH")))/100</f>
        <v>1.0985587192214339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4.0819094114456167E-2</v>
      </c>
      <c r="AN35" s="194">
        <f ca="1">IF(ISTEXT(B35),AP35/_xll.BDH(B35 &amp;  " Equity","BEST_EPS",$AN$3,$AN$3,"BEST_FPERIOD_OVERRIDE=1BF","CDR=US","Fill=p")-1,"")</f>
        <v>0.29339400067408139</v>
      </c>
      <c r="AO35" s="196">
        <f t="shared" ca="1" si="14"/>
        <v>24.450162866449514</v>
      </c>
      <c r="AP35" s="196" cm="1">
        <f t="array" aca="1" ref="AP35" ca="1">IF(ISTEXT(B35),_xll.BDH(B35 &amp;  " Equity","BEST_EPS",$Q$3,$Q$3,"BEST_FPERIOD_OVERRIDE=1BF","CDR=US","Fill=p"),"")</f>
        <v>7.6749999999999998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317.54000000000002</v>
      </c>
      <c r="H36" s="188" cm="1">
        <f t="array" ref="H36">G36/_xll.BDP(B36&amp;" Equity", "PREV_CLOSE_VAL")-1</f>
        <v>-2.4424713508863549E-2</v>
      </c>
      <c r="I36" s="187" cm="1">
        <f t="array" ref="I36">_xll.BDP(C36&amp;" Equity","LAST PRICE")</f>
        <v>402.17</v>
      </c>
      <c r="J36" s="188" cm="1">
        <f t="array" ref="J36">I36/_xll.BDP(C36&amp;" Equity", "PREV_CLOSE_VAL")-1</f>
        <v>-1.6136239511443939E-3</v>
      </c>
      <c r="K36" s="189">
        <f t="shared" si="9"/>
        <v>0.78956660118855215</v>
      </c>
      <c r="L36" s="188" cm="1">
        <f t="array" ref="L36">K36/(_xll.BDP(B36&amp;" Equity", "PREV_CLOSE_VAL")/_xll.BDP(C36&amp;" Equity", "PREV_CLOSE_VAL"))-1</f>
        <v>-2.2847957569287591E-2</v>
      </c>
      <c r="M36" s="188"/>
      <c r="N36" s="190">
        <f t="shared" si="10"/>
        <v>1.0416502176669837</v>
      </c>
      <c r="O36" s="191">
        <f t="shared" si="17"/>
        <v>2.1934385633270322E-2</v>
      </c>
      <c r="P36" s="192" cm="1">
        <f t="array" ref="P36">_xll.BDP($A36&amp;" Index","VOLATILITY_30D")</f>
        <v>34.809869999999997</v>
      </c>
      <c r="Q36" s="192" cm="1">
        <f t="array" aca="1" ref="Q36" ca="1">(_xll.BDP(($B36&amp; " Equity"),"CORR_COEF", "BETA_OVERRIDE_REL_INDEX",($C36&amp; " Equity"),"BETA_OVERRIDE_END_DT",$Q$5,"BETA_OVERRIDE_START_DT",$Q$4))*100</f>
        <v>59.530975967378176</v>
      </c>
      <c r="R36" s="188"/>
      <c r="S36" s="188" cm="1">
        <f t="array" ref="S36">_xll.BDP($A36&amp;" Index","CHG_PCT_2D")/100</f>
        <v>-3.6382610000000003E-2</v>
      </c>
      <c r="T36" s="188" cm="1">
        <f t="array" ref="T36">_xll.BDP($A36&amp;" Index","CHG_PCT_5D")/100</f>
        <v>-0.1026031</v>
      </c>
      <c r="U36" s="188" cm="1">
        <f t="array" ref="U36">K36/_xll.BDP($A36&amp;" Index","HIGH_52WEEK")-1</f>
        <v>-0.35729214392466246</v>
      </c>
      <c r="V36" s="188" cm="1">
        <f t="array" ref="V36">K36/_xll.BDP($A36&amp;" Index","LOW_52WEEK")-1</f>
        <v>2.6369873757789986E-3</v>
      </c>
      <c r="W36" s="188"/>
      <c r="X36" s="192" cm="1">
        <f t="array" ref="X36">_xll.BDP($A36&amp;" Index","RSI_14D")</f>
        <v>24.125969999999999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2.0166641591154266</v>
      </c>
      <c r="AI36" s="196" cm="1">
        <f t="array" ref="AI36">(_xll.BDP(C36&amp;" Equity","SHORT_INT")/_xll.BDP(C36&amp;" Equity","VOLUME_AVG_90D"))</f>
        <v>1.2318055053378627</v>
      </c>
      <c r="AJ36" s="196" cm="1">
        <f t="array" ref="AJ36">(_xll.BDP(B36&amp;" Equity","SHORT_INT"))/((_xll.BDP(B36&amp;" Equity","EQY_FREE_FLOAT_PCT"))*(_xll.BDP(B36&amp;" Equity","EQY_SH_OUT_TOT_MULT_SH")))/100</f>
        <v>1.1853579544365909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4.2634183479253851E-2</v>
      </c>
      <c r="AN36" s="194">
        <f ca="1">IF(ISTEXT(B36),AP36/_xll.BDH(B36 &amp;  " Equity","BEST_EPS",$AN$3,$AN$3,"BEST_FPERIOD_OVERRIDE=1BF","CDR=US","Fill=p")-1,"")</f>
        <v>0.18060344827586206</v>
      </c>
      <c r="AO36" s="196">
        <f t="shared" ca="1" si="14"/>
        <v>28.983205549470611</v>
      </c>
      <c r="AP36" s="196" cm="1">
        <f t="array" aca="1" ref="AP36" ca="1">IF(ISTEXT(B36),_xll.BDH(B36 &amp;  " Equity","BEST_EPS",$Q$3,$Q$3,"BEST_FPERIOD_OVERRIDE=1BF","CDR=US","Fill=p"),"")</f>
        <v>10.956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81.17</v>
      </c>
      <c r="H37" s="188" cm="1">
        <f t="array" ref="H37">G37/_xll.BDP(B37&amp;" Equity", "PREV_CLOSE_VAL")-1</f>
        <v>-2.322503008423582E-2</v>
      </c>
      <c r="I37" s="187" cm="1">
        <f t="array" ref="I37">_xll.BDP(C37&amp;" Equity","LAST PRICE")</f>
        <v>402.17</v>
      </c>
      <c r="J37" s="188" cm="1">
        <f t="array" ref="J37">I37/_xll.BDP(C37&amp;" Equity", "PREV_CLOSE_VAL")-1</f>
        <v>-1.6136239511443939E-3</v>
      </c>
      <c r="K37" s="189">
        <f t="shared" si="9"/>
        <v>0.20183007186015864</v>
      </c>
      <c r="L37" s="188" cm="1">
        <f t="array" ref="L37">K37/(_xll.BDP(B37&amp;" Equity", "PREV_CLOSE_VAL")/_xll.BDP(C37&amp;" Equity", "PREV_CLOSE_VAL"))-1</f>
        <v>-2.1646335177989084E-2</v>
      </c>
      <c r="M37" s="188"/>
      <c r="N37" s="190">
        <f t="shared" si="10"/>
        <v>1.2313558147797061</v>
      </c>
      <c r="O37" s="191">
        <f t="shared" si="17"/>
        <v>1.7579269061121613E-2</v>
      </c>
      <c r="P37" s="192" cm="1">
        <f t="array" ref="P37">_xll.BDP($A37&amp;" Index","VOLATILITY_30D")</f>
        <v>27.898299999999999</v>
      </c>
      <c r="Q37" s="192" cm="1">
        <f t="array" aca="1" ref="Q37" ca="1">(_xll.BDP(($B37&amp; " Equity"),"CORR_COEF", "BETA_OVERRIDE_REL_INDEX",($C37&amp; " Equity"),"BETA_OVERRIDE_END_DT",$Q$5,"BETA_OVERRIDE_START_DT",$Q$4))*100</f>
        <v>68.152511728428394</v>
      </c>
      <c r="R37" s="188"/>
      <c r="S37" s="188" cm="1">
        <f t="array" ref="S37">_xll.BDP($A37&amp;" Index","CHG_PCT_2D")/100</f>
        <v>-1.6914659999999998E-2</v>
      </c>
      <c r="T37" s="188" cm="1">
        <f t="array" ref="T37">_xll.BDP($A37&amp;" Index","CHG_PCT_5D")/100</f>
        <v>4.7568080000000004E-3</v>
      </c>
      <c r="U37" s="188" cm="1">
        <f t="array" ref="U37">K37/_xll.BDP($A37&amp;" Index","HIGH_52WEEK")-1</f>
        <v>-0.57963453260542219</v>
      </c>
      <c r="V37" s="188" cm="1">
        <f t="array" ref="V37">K37/_xll.BDP($A37&amp;" Index","LOW_52WEEK")-1</f>
        <v>4.3795564078559224E-3</v>
      </c>
      <c r="W37" s="188"/>
      <c r="X37" s="192" cm="1">
        <f t="array" ref="X37">_xll.BDP($A37&amp;" Index","RSI_14D")</f>
        <v>30.878260000000001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2.0928623037444263</v>
      </c>
      <c r="AI37" s="196" cm="1">
        <f t="array" ref="AI37">(_xll.BDP(C37&amp;" Equity","SHORT_INT")/_xll.BDP(C37&amp;" Equity","VOLUME_AVG_90D"))</f>
        <v>1.2318055053378627</v>
      </c>
      <c r="AJ37" s="196" cm="1">
        <f t="array" ref="AJ37">(_xll.BDP(B37&amp;" Equity","SHORT_INT"))/((_xll.BDP(B37&amp;" Equity","EQY_FREE_FLOAT_PCT"))*(_xll.BDP(B37&amp;" Equity","EQY_SH_OUT_TOT_MULT_SH")))/100</f>
        <v>4.5786413349114348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1.9417475728155331E-2</v>
      </c>
      <c r="AN37" s="194">
        <f ca="1">IF(ISTEXT(B37),AP37/_xll.BDH(B37 &amp;  " Equity","BEST_EPS",$AN$3,$AN$3,"BEST_FPERIOD_OVERRIDE=1BF","CDR=US","Fill=p")-1,"")</f>
        <v>0.10594795539033441</v>
      </c>
      <c r="AO37" s="196">
        <f t="shared" ca="1" si="14"/>
        <v>22.736694677871149</v>
      </c>
      <c r="AP37" s="196" cm="1">
        <f t="array" aca="1" ref="AP37" ca="1">IF(ISTEXT(B37),_xll.BDH(B37 &amp;  " Equity","BEST_EPS",$Q$3,$Q$3,"BEST_FPERIOD_OVERRIDE=1BF","CDR=US","Fill=p"),"")</f>
        <v>3.57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525.63</v>
      </c>
      <c r="H38" s="188" cm="1">
        <f t="array" ref="H38">G38/_xll.BDP(B38&amp;" Equity", "PREV_CLOSE_VAL")-1</f>
        <v>-1.3568291859024972E-2</v>
      </c>
      <c r="I38" s="187" cm="1">
        <f t="array" ref="I38">_xll.BDP(C38&amp;" Equity","LAST PRICE")</f>
        <v>198.81</v>
      </c>
      <c r="J38" s="188" cm="1">
        <f t="array" ref="J38">I38/_xll.BDP(C38&amp;" Equity", "PREV_CLOSE_VAL")-1</f>
        <v>-4.2572373034157618E-3</v>
      </c>
      <c r="K38" s="189">
        <f t="shared" si="9"/>
        <v>2.6438810925003771</v>
      </c>
      <c r="L38" s="188" cm="1">
        <f t="array" ref="L38">K38/(_xll.BDP(B38&amp;" Equity", "PREV_CLOSE_VAL")/_xll.BDP(C38&amp;" Equity", "PREV_CLOSE_VAL"))-1</f>
        <v>-9.3508634000951663E-3</v>
      </c>
      <c r="M38" s="188"/>
      <c r="N38" s="190">
        <f t="shared" si="10"/>
        <v>0.66505361795124374</v>
      </c>
      <c r="O38" s="191">
        <f t="shared" si="17"/>
        <v>1.4060315059861375E-2</v>
      </c>
      <c r="P38" s="192" cm="1">
        <f t="array" ref="P38">_xll.BDP($A38&amp;" Index","VOLATILITY_30D")</f>
        <v>22.31372</v>
      </c>
      <c r="Q38" s="192" cm="1">
        <f t="array" aca="1" ref="Q38" ca="1">(_xll.BDP(($B38&amp; " Equity"),"CORR_COEF", "BETA_OVERRIDE_REL_INDEX",($C38&amp; " Equity"),"BETA_OVERRIDE_END_DT",$Q$5,"BETA_OVERRIDE_START_DT",$Q$4))*100</f>
        <v>65.22392748230304</v>
      </c>
      <c r="R38" s="188"/>
      <c r="S38" s="188" cm="1">
        <f t="array" ref="S38">_xll.BDP($A38&amp;" Index","CHG_PCT_2D")/100</f>
        <v>4.8870149999999998E-4</v>
      </c>
      <c r="T38" s="188" cm="1">
        <f t="array" ref="T38">_xll.BDP($A38&amp;" Index","CHG_PCT_5D")/100</f>
        <v>-2.3334480000000001E-2</v>
      </c>
      <c r="U38" s="188" cm="1">
        <f t="array" ref="U38">K38/_xll.BDP($A38&amp;" Index","HIGH_52WEEK")-1</f>
        <v>-0.2034487362765347</v>
      </c>
      <c r="V38" s="188" cm="1">
        <f t="array" ref="V38">K38/_xll.BDP($A38&amp;" Index","LOW_52WEEK")-1</f>
        <v>-7.2148866675847412E-4</v>
      </c>
      <c r="W38" s="188"/>
      <c r="X38" s="192" cm="1">
        <f t="array" ref="X38">_xll.BDP($A38&amp;" Index","RSI_14D")</f>
        <v>25.722300000000001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46051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2.2187452718548379</v>
      </c>
      <c r="AI38" s="196" cm="1">
        <f t="array" ref="AI38">(_xll.BDP(C38&amp;" Equity","SHORT_INT")/_xll.BDP(C38&amp;" Equity","VOLUME_AVG_90D"))</f>
        <v>3.0859999814058297</v>
      </c>
      <c r="AJ38" s="196" cm="1">
        <f t="array" ref="AJ38">(_xll.BDP(B38&amp;" Equity","SHORT_INT"))/((_xll.BDP(B38&amp;" Equity","EQY_FREE_FLOAT_PCT"))*(_xll.BDP(B38&amp;" Equity","EQY_SH_OUT_TOT_MULT_SH")))/100</f>
        <v>0.80025053597448659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1.2899166273399265E-2</v>
      </c>
      <c r="AN38" s="194">
        <f ca="1">IF(ISTEXT(B38),AP38/_xll.BDH(B38 &amp;  " Equity","BEST_EPS",$AN$3,$AN$3,"BEST_FPERIOD_OVERRIDE=1BF","CDR=US","Fill=p")-1,"")</f>
        <v>4.4896413696110971E-2</v>
      </c>
      <c r="AO38" s="196">
        <f t="shared" ca="1" si="14"/>
        <v>27.210747010405342</v>
      </c>
      <c r="AP38" s="196" cm="1">
        <f t="array" aca="1" ref="AP38" ca="1">IF(ISTEXT(B38),_xll.BDH(B38 &amp;  " Equity","BEST_EPS",$Q$3,$Q$3,"BEST_FPERIOD_OVERRIDE=1BF","CDR=US","Fill=p"),"")</f>
        <v>19.317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325.89</v>
      </c>
      <c r="H39" s="188" cm="1">
        <f t="array" ref="H39">G39/_xll.BDP(B39&amp;" Equity", "PREV_CLOSE_VAL")-1</f>
        <v>-1.4401274666013819E-3</v>
      </c>
      <c r="I39" s="187" cm="1">
        <f t="array" ref="I39">_xll.BDP(C39&amp;" Equity","LAST PRICE")</f>
        <v>198.81</v>
      </c>
      <c r="J39" s="188" cm="1">
        <f t="array" ref="J39">I39/_xll.BDP(C39&amp;" Equity", "PREV_CLOSE_VAL")-1</f>
        <v>-4.2572373034157618E-3</v>
      </c>
      <c r="K39" s="189">
        <f t="shared" si="9"/>
        <v>1.6392032593933905</v>
      </c>
      <c r="L39" s="188" cm="1">
        <f t="array" ref="L39">K39/(_xll.BDP(B39&amp;" Equity", "PREV_CLOSE_VAL")/_xll.BDP(C39&amp;" Equity", "PREV_CLOSE_VAL"))-1</f>
        <v>2.8291542176870355E-3</v>
      </c>
      <c r="M39" s="188"/>
      <c r="N39" s="190">
        <f t="shared" si="10"/>
        <v>0.17694980560444229</v>
      </c>
      <c r="O39" s="191">
        <f>P39/15.87/100</f>
        <v>1.5988456206679269E-2</v>
      </c>
      <c r="P39" s="192" cm="1">
        <f t="array" ref="P39">_xll.BDP($A39&amp;" Index","VOLATILITY_30D")</f>
        <v>25.37368</v>
      </c>
      <c r="Q39" s="192" cm="1">
        <f t="array" aca="1" ref="Q39" ca="1">(_xll.BDP(($B39&amp; " Equity"),"CORR_COEF", "BETA_OVERRIDE_REL_INDEX",($C39&amp; " Equity"),"BETA_OVERRIDE_END_DT",$Q$5,"BETA_OVERRIDE_START_DT",$Q$4))*100</f>
        <v>46.866672631997581</v>
      </c>
      <c r="R39" s="188"/>
      <c r="S39" s="188" cm="1">
        <f t="array" ref="S39">_xll.BDP($A39&amp;" Index","CHG_PCT_2D")/100</f>
        <v>4.9322810000000002E-3</v>
      </c>
      <c r="T39" s="188" cm="1">
        <f t="array" ref="T39">_xll.BDP($A39&amp;" Index","CHG_PCT_5D")/100</f>
        <v>-6.0594150000000003E-3</v>
      </c>
      <c r="U39" s="188" cm="1">
        <f t="array" ref="U39">K39/_xll.BDP($A39&amp;" Index","HIGH_52WEEK")-1</f>
        <v>-0.21357376118760552</v>
      </c>
      <c r="V39" s="188" cm="1">
        <f t="array" ref="V39">K39/_xll.BDP($A39&amp;" Index","LOW_52WEEK")-1</f>
        <v>4.8509212913647737E-3</v>
      </c>
      <c r="W39" s="188"/>
      <c r="X39" s="192" cm="1">
        <f t="array" ref="X39">_xll.BDP($A39&amp;" Index","RSI_14D")</f>
        <v>27.590969999999999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46051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3.505232000246759</v>
      </c>
      <c r="AI39" s="196" cm="1">
        <f t="array" ref="AI39">(_xll.BDP(C39&amp;" Equity","SHORT_INT")/_xll.BDP(C39&amp;" Equity","VOLUME_AVG_90D"))</f>
        <v>3.0859999814058297</v>
      </c>
      <c r="AJ39" s="196" cm="1">
        <f t="array" ref="AJ39">(_xll.BDP(B39&amp;" Equity","SHORT_INT"))/((_xll.BDP(B39&amp;" Equity","EQY_FREE_FLOAT_PCT"))*(_xll.BDP(B39&amp;" Equity","EQY_SH_OUT_TOT_MULT_SH")))/100</f>
        <v>1.2834191718448422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1.0396903695833792E-2</v>
      </c>
      <c r="AN39" s="194">
        <f ca="1">IF(ISTEXT(B39),AP39/_xll.BDH(B39 &amp;  " Equity","BEST_EPS",$AN$3,$AN$3,"BEST_FPERIOD_OVERRIDE=1BF","CDR=US","Fill=p")-1,"")</f>
        <v>2.8346335058314631E-2</v>
      </c>
      <c r="AO39" s="196">
        <f t="shared" ca="1" si="14"/>
        <v>24.477242000901306</v>
      </c>
      <c r="AP39" s="196" cm="1">
        <f t="array" aca="1" ref="AP39" ca="1">IF(ISTEXT(B39),_xll.BDH(B39 &amp;  " Equity","BEST_EPS",$Q$3,$Q$3,"BEST_FPERIOD_OVERRIDE=1BF","CDR=US","Fill=p"),"")</f>
        <v>13.314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525.63</v>
      </c>
      <c r="H40" s="188" cm="1">
        <f t="array" ref="H40">G40/_xll.BDP(B40&amp;" Equity", "PREV_CLOSE_VAL")-1</f>
        <v>-1.3568291859024972E-2</v>
      </c>
      <c r="I40" s="187" cm="1">
        <f t="array" ref="I40">_xll.BDP(C40&amp;" Equity","LAST PRICE")</f>
        <v>325.89</v>
      </c>
      <c r="J40" s="188" cm="1">
        <f t="array" ref="J40">I40/_xll.BDP(C40&amp;" Equity", "PREV_CLOSE_VAL")-1</f>
        <v>-1.4401274666013819E-3</v>
      </c>
      <c r="K40" s="189">
        <f t="shared" si="9"/>
        <v>1.6129061953419865</v>
      </c>
      <c r="L40" s="188" cm="1">
        <f t="array" ref="L40">K40/(_xll.BDP(B40&amp;" Equity", "PREV_CLOSE_VAL")/_xll.BDP(C40&amp;" Equity", "PREV_CLOSE_VAL"))-1</f>
        <v>-1.2145655684775103E-2</v>
      </c>
      <c r="M40" s="188"/>
      <c r="N40" s="190">
        <f t="shared" si="10"/>
        <v>1.9409924500522564</v>
      </c>
      <c r="O40" s="191">
        <f>P40/15.87/100</f>
        <v>6.2574461247637062E-3</v>
      </c>
      <c r="P40" s="192" cm="1">
        <f t="array" ref="P40">_xll.BDP($A40&amp;" Index","VOLATILITY_30D")</f>
        <v>9.9305669999999999</v>
      </c>
      <c r="Q40" s="192" cm="1">
        <f t="array" aca="1" ref="Q40" ca="1">(_xll.BDP(($B40&amp; " Equity"),"CORR_COEF", "BETA_OVERRIDE_REL_INDEX",($C40&amp; " Equity"),"BETA_OVERRIDE_END_DT",$Q$5,"BETA_OVERRIDE_START_DT",$Q$4))*100</f>
        <v>87.581663391257791</v>
      </c>
      <c r="R40" s="188"/>
      <c r="S40" s="188" cm="1">
        <f t="array" ref="S40">_xll.BDP($A40&amp;" Index","CHG_PCT_2D")/100</f>
        <v>-4.4238380000000002E-3</v>
      </c>
      <c r="T40" s="188" cm="1">
        <f t="array" ref="T40">_xll.BDP($A40&amp;" Index","CHG_PCT_5D")/100</f>
        <v>-1.7382269999999998E-2</v>
      </c>
      <c r="U40" s="188" cm="1">
        <f t="array" ref="U40">K40/_xll.BDP($A40&amp;" Index","HIGH_52WEEK")-1</f>
        <v>-6.9271360776718027E-2</v>
      </c>
      <c r="V40" s="188" cm="1">
        <f t="array" ref="V40">K40/_xll.BDP($A40&amp;" Index","LOW_52WEEK")-1</f>
        <v>5.4938613353295196E-2</v>
      </c>
      <c r="W40" s="188"/>
      <c r="X40" s="192" cm="1">
        <f t="array" ref="X40">_xll.BDP($A40&amp;" Index","RSI_14D")</f>
        <v>46.954099999999997</v>
      </c>
      <c r="Y40" s="193">
        <v>1.67</v>
      </c>
      <c r="Z40" s="188">
        <f t="shared" si="11"/>
        <v>3.5398093716112022E-2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46051</v>
      </c>
      <c r="AG40" s="195">
        <f>IF(ISTEXT(C40),_xll.BDP(C40 &amp; " Equity","EXPECTED_REPORT_DT")*1,"")</f>
        <v>46051</v>
      </c>
      <c r="AH40" s="196" cm="1">
        <f t="array" ref="AH40">(_xll.BDP(B40&amp;" Equity","SHORT_INT")/_xll.BDP(B40&amp;" Equity","VOLUME_AVG_90D"))</f>
        <v>2.2187452718548379</v>
      </c>
      <c r="AI40" s="196" cm="1">
        <f t="array" ref="AI40">(_xll.BDP(C40&amp;" Equity","SHORT_INT")/_xll.BDP(C40&amp;" Equity","VOLUME_AVG_90D"))</f>
        <v>3.505232000246759</v>
      </c>
      <c r="AJ40" s="196" cm="1">
        <f t="array" ref="AJ40">(_xll.BDP(B40&amp;" Equity","SHORT_INT"))/((_xll.BDP(B40&amp;" Equity","EQY_FREE_FLOAT_PCT"))*(_xll.BDP(B40&amp;" Equity","EQY_SH_OUT_TOT_MULT_SH")))/100</f>
        <v>0.80025053597448659</v>
      </c>
      <c r="AK40" s="196" cm="1">
        <f t="array" ref="AK40">(_xll.BDP(C40&amp;" Equity","SHORT_INT"))/((_xll.BDP(C40&amp;" Equity","EQY_FREE_FLOAT_PCT"))*(_xll.BDP(C40&amp;" Equity","EQY_SH_OUT_TOT_MULT_SH")))/100</f>
        <v>1.2834191718448422</v>
      </c>
      <c r="AM40" s="194">
        <f ca="1">IF(ISTEXT(B40),AP40/_xll.BDH(B40 &amp;  " Equity","BEST_EPS",$AM$3,$AM$3,"BEST_FPERIOD_OVERRIDE=1BF","CDR=US","Fill=p")-1,"")</f>
        <v>1.2899166273399265E-2</v>
      </c>
      <c r="AN40" s="194">
        <f ca="1">IF(ISTEXT(B40),AP40/_xll.BDH(B40 &amp;  " Equity","BEST_EPS",$AN$3,$AN$3,"BEST_FPERIOD_OVERRIDE=1BF","CDR=US","Fill=p")-1,"")</f>
        <v>4.4896413696110971E-2</v>
      </c>
      <c r="AO40" s="196">
        <f t="shared" ca="1" si="14"/>
        <v>27.210747010405342</v>
      </c>
      <c r="AP40" s="196" cm="1">
        <f t="array" aca="1" ref="AP40" ca="1">IF(ISTEXT(B40),_xll.BDH(B40 &amp;  " Equity","BEST_EPS",$Q$3,$Q$3,"BEST_FPERIOD_OVERRIDE=1BF","CDR=US","Fill=p"),"")</f>
        <v>19.317</v>
      </c>
      <c r="AR40" s="194">
        <f ca="1">IF(ISTEXT(C40),AU40/_xll.BDH(C40 &amp;  " Equity","BEST_EPS",$AM$3,$AM$3,"BEST_FPERIOD_OVERRIDE=1BF","CDR=US","Fill=p")-1,"")</f>
        <v>1.0396903695833792E-2</v>
      </c>
      <c r="AS40" s="194">
        <f ca="1">IF(ISTEXT(C40),AU40/_xll.BDH(C40 &amp;  " Equity","BEST_EPS",$AN$3,$AN$3,"BEST_FPERIOD_OVERRIDE=1BF","CDR=US","Fill=p")-1,"")</f>
        <v>2.8346335058314631E-2</v>
      </c>
      <c r="AT40" s="196">
        <f t="shared" ca="1" si="15"/>
        <v>24.477242000901306</v>
      </c>
      <c r="AU40" s="196" cm="1">
        <f t="array" aca="1" ref="AU40" ca="1">IF(ISTEXT(C40),_xll.BDH(C40 &amp;  " Equity","BEST_EPS",$Q$3,$Q$3,"BEST_FPERIOD_OVERRIDE=1BF","CDR=US","Fill=p"),"")</f>
        <v>13.314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218.4</v>
      </c>
      <c r="H41" s="188" cm="1">
        <f t="array" ref="H41">G41/_xll.BDP(B41&amp;" Equity", "PREV_CLOSE_VAL")-1</f>
        <v>-7.3206442166906527E-4</v>
      </c>
      <c r="I41" s="187" cm="1">
        <f t="array" ref="I41">_xll.BDP(C41&amp;" Equity","LAST PRICE")</f>
        <v>623.66</v>
      </c>
      <c r="J41" s="188" cm="1">
        <f t="array" ref="J41">I41/_xll.BDP(C41&amp;" Equity", "PREV_CLOSE_VAL")-1</f>
        <v>4.6716927637089345E-3</v>
      </c>
      <c r="K41" s="189">
        <f t="shared" si="9"/>
        <v>0.35019080909469907</v>
      </c>
      <c r="L41" s="188" cm="1">
        <f t="array" ref="L41">K41/(_xll.BDP(B41&amp;" Equity", "PREV_CLOSE_VAL")/_xll.BDP(C41&amp;" Equity", "PREV_CLOSE_VAL"))-1</f>
        <v>-5.3786298790930998E-3</v>
      </c>
      <c r="M41" s="188"/>
      <c r="N41" s="190">
        <f t="shared" si="10"/>
        <v>0.43075811709958789</v>
      </c>
      <c r="O41" s="191">
        <f t="shared" si="17"/>
        <v>1.2486427221172023E-2</v>
      </c>
      <c r="P41" s="192" cm="1">
        <f t="array" ref="P41">_xll.BDP($A41&amp;" Index","VOLATILITY_30D")</f>
        <v>19.81596</v>
      </c>
      <c r="Q41" s="192" cm="1">
        <f t="array" aca="1" ref="Q41" ca="1">(_xll.BDP(($B41&amp; " Equity"),"CORR_COEF", "BETA_OVERRIDE_REL_INDEX",($C41&amp; " Equity"),"BETA_OVERRIDE_END_DT",$Q$5,"BETA_OVERRIDE_START_DT",$Q$4))*100</f>
        <v>49.707859999999997</v>
      </c>
      <c r="R41" s="188"/>
      <c r="S41" s="188" cm="1">
        <f t="array" ref="S41">_xll.BDP($A41&amp;" Index","CHG_PCT_2D")/100</f>
        <v>-1.729375E-2</v>
      </c>
      <c r="T41" s="188" cm="1">
        <f t="array" ref="T41">_xll.BDP($A41&amp;" Index","CHG_PCT_5D")/100</f>
        <v>-7.7704280000000002E-3</v>
      </c>
      <c r="U41" s="188" cm="1">
        <f t="array" ref="U41">K41/_xll.BDP($A41&amp;" Index","HIGH_52WEEK")-1</f>
        <v>-6.4111365934312214E-2</v>
      </c>
      <c r="V41" s="188" cm="1">
        <f t="array" ref="V41">K41/_xll.BDP($A41&amp;" Index","LOW_52WEEK")-1</f>
        <v>0.29695496127809751</v>
      </c>
      <c r="W41" s="188"/>
      <c r="X41" s="192" cm="1">
        <f t="array" ref="X41">_xll.BDP($A41&amp;" Index","RSI_14D")</f>
        <v>60.820529999999998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0.76721436084260075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-5.2276484518118949E-3</v>
      </c>
      <c r="AN41" s="194">
        <f ca="1">IF(ISTEXT(B41),AP41/_xll.BDH(B41 &amp;  " Equity","BEST_EPS",$AN$3,$AN$3,"BEST_FPERIOD_OVERRIDE=1BF","CDR=US","Fill=p")-1,"")</f>
        <v>4.9520352605652018E-2</v>
      </c>
      <c r="AO41" s="196">
        <f t="shared" ca="1" si="14"/>
        <v>24.523895077254764</v>
      </c>
      <c r="AP41" s="196" cm="1">
        <f t="array" aca="1" ref="AP41" ca="1">IF(ISTEXT(B41),_xll.BDH(B41 &amp;  " Equity","BEST_EPS",$Q$3,$Q$3,"BEST_FPERIOD_OVERRIDE=1BF","CDR=US","Fill=p"),"")</f>
        <v>8.9055999999999997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218.4</v>
      </c>
      <c r="H42" s="188" cm="1">
        <f t="array" ref="H42">G42/_xll.BDP(B42&amp;" Equity", "PREV_CLOSE_VAL")-1</f>
        <v>-7.3206442166906527E-4</v>
      </c>
      <c r="I42" s="187" cm="1">
        <f t="array" ref="I42">_xll.BDP(C42&amp;" Equity","LAST PRICE")</f>
        <v>42.5</v>
      </c>
      <c r="J42" s="188" cm="1">
        <f t="array" ref="J42">I42/_xll.BDP(C42&amp;" Equity", "PREV_CLOSE_VAL")-1</f>
        <v>-4.9168812924373917E-3</v>
      </c>
      <c r="K42" s="189">
        <f t="shared" ref="K42:K55" si="18">G42/I42</f>
        <v>5.1388235294117646</v>
      </c>
      <c r="L42" s="188" cm="1">
        <f t="array" ref="L42">K42/(_xll.BDP(B42&amp;" Equity", "PREV_CLOSE_VAL")/_xll.BDP(C42&amp;" Equity", "PREV_CLOSE_VAL"))-1</f>
        <v>4.2054947894238914E-3</v>
      </c>
      <c r="M42" s="188"/>
      <c r="N42" s="190">
        <f t="shared" ref="N42:N55" si="19">ABS(L42/O42)</f>
        <v>0.32846987329065935</v>
      </c>
      <c r="O42" s="191">
        <f t="shared" si="17"/>
        <v>1.2803289224952741E-2</v>
      </c>
      <c r="P42" s="192" cm="1">
        <f t="array" ref="P42">_xll.BDP($A42&amp;" Index","VOLATILITY_30D")</f>
        <v>20.318819999999999</v>
      </c>
      <c r="Q42" s="192" cm="1">
        <f t="array" aca="1" ref="Q42" ca="1">(_xll.BDP(($B42&amp; " Equity"),"CORR_COEF", "BETA_OVERRIDE_REL_INDEX",($C42&amp; " Equity"),"BETA_OVERRIDE_END_DT",$Q$5,"BETA_OVERRIDE_START_DT",$Q$4))*100</f>
        <v>61.299769999999995</v>
      </c>
      <c r="R42" s="188"/>
      <c r="S42" s="188" cm="1">
        <f t="array" ref="S42">_xll.BDP($A42&amp;" Index","CHG_PCT_2D")/100</f>
        <v>4.4507909999999999E-3</v>
      </c>
      <c r="T42" s="188" cm="1">
        <f t="array" ref="T42">_xll.BDP($A42&amp;" Index","CHG_PCT_5D")/100</f>
        <v>1.470804E-2</v>
      </c>
      <c r="U42" s="188" cm="1">
        <f t="array" ref="U42">K42/_xll.BDP($A42&amp;" Index","HIGH_52WEEK")-1</f>
        <v>4.2060323631141205E-3</v>
      </c>
      <c r="V42" s="188" cm="1">
        <f t="array" ref="V42">K42/_xll.BDP($A42&amp;" Index","LOW_52WEEK")-1</f>
        <v>0.57017078123545262</v>
      </c>
      <c r="W42" s="188"/>
      <c r="X42" s="192" cm="1">
        <f t="array" ref="X42">_xll.BDP($A42&amp;" Index","RSI_14D")</f>
        <v>65.507840000000002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1.1072404076153732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-5.2276484518118949E-3</v>
      </c>
      <c r="AN42" s="194">
        <f ca="1">IF(ISTEXT(B42),AP42/_xll.BDH(B42 &amp;  " Equity","BEST_EPS",$AN$3,$AN$3,"BEST_FPERIOD_OVERRIDE=1BF","CDR=US","Fill=p")-1,"")</f>
        <v>4.9520352605652018E-2</v>
      </c>
      <c r="AO42" s="196">
        <f t="shared" ref="AO42:AO55" ca="1" si="23">G42/AP42</f>
        <v>24.523895077254764</v>
      </c>
      <c r="AP42" s="196" cm="1">
        <f t="array" aca="1" ref="AP42" ca="1">IF(ISTEXT(B42),_xll.BDH(B42 &amp;  " Equity","BEST_EPS",$Q$3,$Q$3,"BEST_FPERIOD_OVERRIDE=1BF","CDR=US","Fill=p"),"")</f>
        <v>8.9055999999999997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689.65499999999997</v>
      </c>
      <c r="H44" s="188" cm="1">
        <f t="array" ref="H44">G44/_xll.BDP(B44&amp;" Equity", "PREV_CLOSE_VAL")-1</f>
        <v>9.7970913524325631E-4</v>
      </c>
      <c r="I44" s="187" cm="1">
        <f t="array" ref="I44">_xll.BDP(C44&amp;" Equity","LAST PRICE")</f>
        <v>198.81</v>
      </c>
      <c r="J44" s="188" cm="1">
        <f t="array" ref="J44">I44/_xll.BDP(C44&amp;" Equity", "PREV_CLOSE_VAL")-1</f>
        <v>-4.2572373034157618E-3</v>
      </c>
      <c r="K44" s="189">
        <f t="shared" si="18"/>
        <v>3.4689150445148633</v>
      </c>
      <c r="L44" s="188" cm="1">
        <f t="array" ref="L44">K44/(_xll.BDP(B44&amp;" Equity", "PREV_CLOSE_VAL")/_xll.BDP(C44&amp;" Equity", "PREV_CLOSE_VAL"))-1</f>
        <v>5.2593366829771782E-3</v>
      </c>
      <c r="M44" s="188"/>
      <c r="N44" s="190">
        <f t="shared" si="19"/>
        <v>1.1081852112717561</v>
      </c>
      <c r="O44" s="191">
        <f t="shared" si="17"/>
        <v>4.7459004410838066E-3</v>
      </c>
      <c r="P44" s="192" cm="1">
        <f t="array" ref="P44">_xll.BDP($A44&amp;" Index","VOLATILITY_30D")</f>
        <v>7.5317439999999998</v>
      </c>
      <c r="Q44" s="192" cm="1">
        <f t="array" aca="1" ref="Q44" ca="1">(_xll.BDP(($B44&amp; " Equity"),"CORR_COEF", "BETA_OVERRIDE_REL_INDEX",($C44&amp; " Equity"),"BETA_OVERRIDE_END_DT",$Q$5,"BETA_OVERRIDE_START_DT",$Q$4))*100</f>
        <v>73.657155422381962</v>
      </c>
      <c r="R44" s="188"/>
      <c r="S44" s="188" cm="1">
        <f t="array" ref="S44">_xll.BDP($A44&amp;" Index","CHG_PCT_2D")/100</f>
        <v>7.55765E-3</v>
      </c>
      <c r="T44" s="188" cm="1">
        <f t="array" ref="T44">_xll.BDP($A44&amp;" Index","CHG_PCT_5D")/100</f>
        <v>-3.3138550000000001E-3</v>
      </c>
      <c r="U44" s="188" cm="1">
        <f t="array" ref="U44">K44/_xll.BDP($A44&amp;" Index","HIGH_52WEEK")-1</f>
        <v>-4.9591485699723936E-2</v>
      </c>
      <c r="V44" s="188" cm="1">
        <f t="array" ref="V44">K44/_xll.BDP($A44&amp;" Index","LOW_52WEEK")-1</f>
        <v>7.9092359538757817E-2</v>
      </c>
      <c r="W44" s="188"/>
      <c r="X44" s="192" cm="1">
        <f t="array" ref="X44">_xll.BDP($A44&amp;" Index","RSI_14D")</f>
        <v>33.313189999999999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1.2575075329746292</v>
      </c>
      <c r="AI44" s="196" cm="1">
        <f t="array" ref="AI44">(_xll.BDP(C44&amp;" Equity","SHORT_INT")/_xll.BDP(C44&amp;" Equity","VOLUME_AVG_90D"))</f>
        <v>3.0859999814058297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623.66</v>
      </c>
      <c r="H45" s="188" cm="1">
        <f t="array" ref="H45">G45/_xll.BDP(B45&amp;" Equity", "PREV_CLOSE_VAL")-1</f>
        <v>4.6716927637089345E-3</v>
      </c>
      <c r="I45" s="187" cm="1">
        <f t="array" ref="I45">_xll.BDP(C45&amp;" Equity","LAST PRICE")</f>
        <v>105.09</v>
      </c>
      <c r="J45" s="188" cm="1">
        <f t="array" ref="J45">I45/_xll.BDP(C45&amp;" Equity", "PREV_CLOSE_VAL")-1</f>
        <v>-4.755564009891744E-4</v>
      </c>
      <c r="K45" s="189">
        <f t="shared" si="18"/>
        <v>5.9345323056427821</v>
      </c>
      <c r="L45" s="188" cm="1">
        <f t="array" ref="L45">K45/(_xll.BDP(B45&amp;" Equity", "PREV_CLOSE_VAL")/_xll.BDP(C45&amp;" Equity", "PREV_CLOSE_VAL"))-1</f>
        <v>5.149698136610148E-3</v>
      </c>
      <c r="M45" s="188"/>
      <c r="N45" s="190">
        <f t="shared" si="19"/>
        <v>1.1663472864411759</v>
      </c>
      <c r="O45" s="191">
        <f t="shared" si="17"/>
        <v>4.4152356647763078E-3</v>
      </c>
      <c r="P45" s="192" cm="1">
        <f t="array" ref="P45">_xll.BDP($A45&amp;" Index","VOLATILITY_30D")</f>
        <v>7.0069790000000003</v>
      </c>
      <c r="Q45" s="192" cm="1">
        <f t="array" aca="1" ref="Q45" ca="1">(_xll.BDP(($B45&amp; " Equity"),"CORR_COEF", "BETA_OVERRIDE_REL_INDEX",($C45&amp; " Equity"),"BETA_OVERRIDE_END_DT",$Q$5,"BETA_OVERRIDE_START_DT",$Q$4))*100</f>
        <v>86.70786322425333</v>
      </c>
      <c r="R45" s="188"/>
      <c r="S45" s="188" cm="1">
        <f t="array" ref="S45">_xll.BDP($A45&amp;" Index","CHG_PCT_2D")/100</f>
        <v>4.8163470000000003E-3</v>
      </c>
      <c r="T45" s="188" cm="1">
        <f t="array" ref="T45">_xll.BDP($A45&amp;" Index","CHG_PCT_5D")/100</f>
        <v>-5.3366999999999998E-3</v>
      </c>
      <c r="U45" s="188" cm="1">
        <f t="array" ref="U45">K45/_xll.BDP($A45&amp;" Index","HIGH_52WEEK")-1</f>
        <v>-2.9221777630463075E-2</v>
      </c>
      <c r="V45" s="188" cm="1">
        <f t="array" ref="V45">K45/_xll.BDP($A45&amp;" Index","LOW_52WEEK")-1</f>
        <v>0.10864499373109116</v>
      </c>
      <c r="W45" s="188"/>
      <c r="X45" s="192" cm="1">
        <f t="array" ref="X45">_xll.BDP($A45&amp;" Index","RSI_14D")</f>
        <v>38.809080000000002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0.76721436084260075</v>
      </c>
      <c r="AI45" s="196" cm="1">
        <f t="array" ref="AI45">(_xll.BDP(C45&amp;" Equity","SHORT_INT")/_xll.BDP(C45&amp;" Equity","VOLUME_AVG_90D"))</f>
        <v>4.2953937473527199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623.66</v>
      </c>
      <c r="H46" s="188" cm="1">
        <f t="array" ref="H46">G46/_xll.BDP(B46&amp;" Equity", "PREV_CLOSE_VAL")-1</f>
        <v>4.6716927637089345E-3</v>
      </c>
      <c r="I46" s="187" cm="1">
        <f t="array" ref="I46">_xll.BDP(C46&amp;" Equity","LAST PRICE")</f>
        <v>97.77</v>
      </c>
      <c r="J46" s="188" cm="1">
        <f t="array" ref="J46">I46/_xll.BDP(C46&amp;" Equity", "PREV_CLOSE_VAL")-1</f>
        <v>8.561997111615316E-3</v>
      </c>
      <c r="K46" s="189">
        <f>G46/I46</f>
        <v>6.3788483174797994</v>
      </c>
      <c r="L46" s="188" cm="1">
        <f t="array" ref="L46">K46/(_xll.BDP(B46&amp;" Equity", "PREV_CLOSE_VAL")/_xll.BDP(C46&amp;" Equity", "PREV_CLOSE_VAL"))-1</f>
        <v>-3.8572783418845402E-3</v>
      </c>
      <c r="M46" s="188"/>
      <c r="N46" s="190">
        <f>ABS(L46/O46)</f>
        <v>0.38826833728509452</v>
      </c>
      <c r="O46" s="191">
        <f>P46/15.87/100</f>
        <v>9.9345683679899176E-3</v>
      </c>
      <c r="P46" s="192" cm="1">
        <f t="array" ref="P46">_xll.BDP($A46&amp;" Index","VOLATILITY_30D")</f>
        <v>15.766159999999999</v>
      </c>
      <c r="Q46" s="192" cm="1">
        <f t="array" aca="1" ref="Q46" ca="1">(_xll.BDP(($B46&amp; " Equity"),"CORR_COEF", "BETA_OVERRIDE_REL_INDEX",($C46&amp; " Equity"),"BETA_OVERRIDE_END_DT",$Q$5,"BETA_OVERRIDE_START_DT",$Q$4))*100</f>
        <v>77.577117934486367</v>
      </c>
      <c r="R46" s="188"/>
      <c r="S46" s="188" cm="1">
        <f t="array" ref="S46">_xll.BDP($A46&amp;" Index","CHG_PCT_2D")/100</f>
        <v>-1.223816E-2</v>
      </c>
      <c r="T46" s="188" cm="1">
        <f t="array" ref="T46">_xll.BDP($A46&amp;" Index","CHG_PCT_5D")/100</f>
        <v>9.7322559999999999E-3</v>
      </c>
      <c r="U46" s="188" cm="1">
        <f t="array" ref="U46">K46/_xll.BDP($A46&amp;" Index","HIGH_52WEEK")-1</f>
        <v>-1.2556065752760137E-2</v>
      </c>
      <c r="V46" s="188" cm="1">
        <f t="array" ref="V46">K46/_xll.BDP($A46&amp;" Index","LOW_52WEEK")-1</f>
        <v>0.31172132147494502</v>
      </c>
      <c r="W46" s="188"/>
      <c r="X46" s="192" cm="1">
        <f t="array" ref="X46">_xll.BDP($A46&amp;" Index","RSI_14D")</f>
        <v>77.718779999999995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0.76721436084260075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689.65499999999997</v>
      </c>
      <c r="H47" s="188" cm="1">
        <f t="array" ref="H47">G47/_xll.BDP(B47&amp;" Equity", "PREV_CLOSE_VAL")-1</f>
        <v>9.7970913524325631E-4</v>
      </c>
      <c r="I47" s="187" cm="1">
        <f t="array" ref="I47">_xll.BDP(C47&amp;" Equity","LAST PRICE")</f>
        <v>623.66</v>
      </c>
      <c r="J47" s="188" cm="1">
        <f t="array" ref="J47">I47/_xll.BDP(C47&amp;" Equity", "PREV_CLOSE_VAL")-1</f>
        <v>4.6716927637089345E-3</v>
      </c>
      <c r="K47" s="189">
        <f t="shared" si="18"/>
        <v>1.1058188756694354</v>
      </c>
      <c r="L47" s="188" cm="1">
        <f t="array" ref="L47">K47/(_xll.BDP(B47&amp;" Equity", "PREV_CLOSE_VAL")/_xll.BDP(C47&amp;" Equity", "PREV_CLOSE_VAL"))-1</f>
        <v>-3.6748160170705368E-3</v>
      </c>
      <c r="M47" s="188"/>
      <c r="N47" s="190">
        <f t="shared" si="19"/>
        <v>0.10688480224510039</v>
      </c>
      <c r="O47" s="191">
        <f t="shared" si="17"/>
        <v>3.4381090107120357E-2</v>
      </c>
      <c r="P47" s="192" cm="1">
        <f t="array" ref="P47">_xll.BDP($A47&amp;" Index","VOLATILITY_30D")</f>
        <v>54.56279</v>
      </c>
      <c r="Q47" s="192" cm="1">
        <f t="array" aca="1" ref="Q47" ca="1">(_xll.BDP(($B47&amp; " Equity"),"CORR_COEF", "BETA_OVERRIDE_REL_INDEX",($C47&amp; " Equity"),"BETA_OVERRIDE_END_DT",$Q$5,"BETA_OVERRIDE_START_DT",$Q$4))*100</f>
        <v>94.481426141178815</v>
      </c>
      <c r="R47" s="188"/>
      <c r="S47" s="188" cm="1">
        <f t="array" ref="S47">_xll.BDP($A47&amp;" Index","CHG_PCT_2D")/100</f>
        <v>-2.3091360000000002E-2</v>
      </c>
      <c r="T47" s="188" cm="1">
        <f t="array" ref="T47">_xll.BDP($A47&amp;" Index","CHG_PCT_5D")/100</f>
        <v>-3.9994329999999995E-2</v>
      </c>
      <c r="U47" s="188" cm="1">
        <f t="array" ref="U47">K47/_xll.BDP($A47&amp;" Index","HIGH_52WEEK")-1</f>
        <v>-0.98775123088536287</v>
      </c>
      <c r="V47" s="188" cm="1">
        <f t="array" ref="V47">K47/_xll.BDP($A47&amp;" Index","LOW_52WEEK")-1</f>
        <v>-0.97837240610855791</v>
      </c>
      <c r="W47" s="188"/>
      <c r="X47" s="192" cm="1">
        <f t="array" ref="X47">_xll.BDP($A47&amp;" Index","RSI_14D")</f>
        <v>51.916600000000003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1.2575075329746292</v>
      </c>
      <c r="AI47" s="196" cm="1">
        <f t="array" ref="AI47">(_xll.BDP(C47&amp;" Equity","SHORT_INT")/_xll.BDP(C47&amp;" Equity","VOLUME_AVG_90D"))</f>
        <v>0.76721436084260075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689.65499999999997</v>
      </c>
      <c r="H48" s="188" cm="1">
        <f t="array" ref="H48">G48/_xll.BDP(B48&amp;" Equity", "PREV_CLOSE_VAL")-1</f>
        <v>9.7970913524325631E-4</v>
      </c>
      <c r="I48" s="187" cm="1">
        <f t="array" ref="I48">_xll.BDP(C48&amp;" Equity","LAST PRICE")</f>
        <v>267.10000000000002</v>
      </c>
      <c r="J48" s="188" cm="1">
        <f t="array" ref="J48">I48/_xll.BDP(C48&amp;" Equity", "PREV_CLOSE_VAL")-1</f>
        <v>-9.9707179658252709E-3</v>
      </c>
      <c r="K48" s="189">
        <f t="shared" si="18"/>
        <v>2.5820104829651811</v>
      </c>
      <c r="L48" s="188" cm="1">
        <f t="array" ref="L48">K48/(_xll.BDP(B48&amp;" Equity", "PREV_CLOSE_VAL")/_xll.BDP(C48&amp;" Equity", "PREV_CLOSE_VAL"))-1</f>
        <v>1.1060710324212852E-2</v>
      </c>
      <c r="M48" s="188"/>
      <c r="N48" s="190">
        <f t="shared" si="19"/>
        <v>1.7453061990329364</v>
      </c>
      <c r="O48" s="191">
        <f t="shared" si="17"/>
        <v>6.3374039067422812E-3</v>
      </c>
      <c r="P48" s="192" cm="1">
        <f t="array" ref="P48">_xll.BDP($A48&amp;" Index","VOLATILITY_30D")</f>
        <v>10.057460000000001</v>
      </c>
      <c r="Q48" s="192" cm="1">
        <f t="array" aca="1" ref="Q48" ca="1">(_xll.BDP(($B48&amp; " Equity"),"CORR_COEF", "BETA_OVERRIDE_REL_INDEX",($C48&amp; " Equity"),"BETA_OVERRIDE_END_DT",$Q$5,"BETA_OVERRIDE_START_DT",$Q$4))*100</f>
        <v>75.472630749620251</v>
      </c>
      <c r="R48" s="188"/>
      <c r="S48" s="188" cm="1">
        <f t="array" ref="S48">_xll.BDP($A48&amp;" Index","CHG_PCT_2D")/100</f>
        <v>7.725043E-3</v>
      </c>
      <c r="T48" s="188" cm="1">
        <f t="array" ref="T48">_xll.BDP($A48&amp;" Index","CHG_PCT_5D")/100</f>
        <v>-8.9657390000000003E-3</v>
      </c>
      <c r="U48" s="188" cm="1">
        <f t="array" ref="U48">K48/_xll.BDP($A48&amp;" Index","HIGH_52WEEK")-1</f>
        <v>-0.10847720688452345</v>
      </c>
      <c r="V48" s="188" cm="1">
        <f t="array" ref="V48">K48/_xll.BDP($A48&amp;" Index","LOW_52WEEK")-1</f>
        <v>1.1062309287161343E-2</v>
      </c>
      <c r="W48" s="188"/>
      <c r="X48" s="192" cm="1">
        <f t="array" ref="X48">_xll.BDP($A48&amp;" Index","RSI_14D")</f>
        <v>19.249780000000001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1.2575075329746292</v>
      </c>
      <c r="AI48" s="196" cm="1">
        <f t="array" ref="AI48">(_xll.BDP(C48&amp;" Equity","SHORT_INT")/_xll.BDP(C48&amp;" Equity","VOLUME_AVG_90D"))</f>
        <v>2.0086814162660129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623.66</v>
      </c>
      <c r="H49" s="188" cm="1">
        <f t="array" ref="H49">G49/_xll.BDP(B49&amp;" Equity", "PREV_CLOSE_VAL")-1</f>
        <v>4.6716927637089345E-3</v>
      </c>
      <c r="I49" s="187" cm="1">
        <f t="array" ref="I49">_xll.BDP(C49&amp;" Equity","LAST PRICE")</f>
        <v>267.10000000000002</v>
      </c>
      <c r="J49" s="188" cm="1">
        <f t="array" ref="J49">I49/_xll.BDP(C49&amp;" Equity", "PREV_CLOSE_VAL")-1</f>
        <v>-9.9707179658252709E-3</v>
      </c>
      <c r="K49" s="189">
        <f t="shared" si="18"/>
        <v>2.3349307375514785</v>
      </c>
      <c r="L49" s="188" cm="1">
        <f t="array" ref="L49">K49/(_xll.BDP(B49&amp;" Equity", "PREV_CLOSE_VAL")/_xll.BDP(C49&amp;" Equity", "PREV_CLOSE_VAL"))-1</f>
        <v>1.4789876416027914E-2</v>
      </c>
      <c r="M49" s="188"/>
      <c r="N49" s="190">
        <f t="shared" si="19"/>
        <v>1.8286903998264374</v>
      </c>
      <c r="O49" s="191">
        <f t="shared" si="17"/>
        <v>8.0876874606175177E-3</v>
      </c>
      <c r="P49" s="192" cm="1">
        <f t="array" ref="P49">_xll.BDP($A49&amp;" Index","VOLATILITY_30D")</f>
        <v>12.83516</v>
      </c>
      <c r="Q49" s="192" cm="1">
        <f t="array" aca="1" ref="Q49" ca="1">(_xll.BDP(($B49&amp; " Equity"),"CORR_COEF", "BETA_OVERRIDE_REL_INDEX",($C49&amp; " Equity"),"BETA_OVERRIDE_END_DT",$Q$5,"BETA_OVERRIDE_START_DT",$Q$4))*100</f>
        <v>63.473073861255102</v>
      </c>
      <c r="R49" s="188"/>
      <c r="S49" s="188" cm="1">
        <f t="array" ref="S49">_xll.BDP($A49&amp;" Index","CHG_PCT_2D")/100</f>
        <v>1.163836E-2</v>
      </c>
      <c r="T49" s="188" cm="1">
        <f t="array" ref="T49">_xll.BDP($A49&amp;" Index","CHG_PCT_5D")/100</f>
        <v>-4.0779869999999999E-3</v>
      </c>
      <c r="U49" s="188" cm="1">
        <f t="array" ref="U49">K49/_xll.BDP($A49&amp;" Index","HIGH_52WEEK")-1</f>
        <v>-0.10463580889965551</v>
      </c>
      <c r="V49" s="188" cm="1">
        <f t="array" ref="V49">K49/_xll.BDP($A49&amp;" Index","LOW_52WEEK")-1</f>
        <v>2.8495109570564559E-2</v>
      </c>
      <c r="W49" s="188"/>
      <c r="X49" s="192" cm="1">
        <f t="array" ref="X49">_xll.BDP($A49&amp;" Index","RSI_14D")</f>
        <v>22.792490000000001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0.76721436084260075</v>
      </c>
      <c r="AI49" s="196" cm="1">
        <f t="array" ref="AI49">(_xll.BDP(C49&amp;" Equity","SHORT_INT")/_xll.BDP(C49&amp;" Equity","VOLUME_AVG_90D"))</f>
        <v>2.0086814162660129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402.17</v>
      </c>
      <c r="H50" s="188" cm="1">
        <f t="array" ref="H50">G50/_xll.BDP(B50&amp;" Equity", "PREV_CLOSE_VAL")-1</f>
        <v>-1.6136239511443939E-3</v>
      </c>
      <c r="I50" s="187" cm="1">
        <f t="array" ref="I50">_xll.BDP(C50&amp;" Equity","LAST PRICE")</f>
        <v>97.77</v>
      </c>
      <c r="J50" s="188" cm="1">
        <f t="array" ref="J50">I50/_xll.BDP(C50&amp;" Equity", "PREV_CLOSE_VAL")-1</f>
        <v>8.561997111615316E-3</v>
      </c>
      <c r="K50" s="189">
        <f>G50/I50</f>
        <v>4.1134294773447895</v>
      </c>
      <c r="L50" s="188" cm="1">
        <f t="array" ref="L50">K50/(_xll.BDP(B50&amp;" Equity", "PREV_CLOSE_VAL")/_xll.BDP(C50&amp;" Equity", "PREV_CLOSE_VAL"))-1</f>
        <v>-1.0089237044327737E-2</v>
      </c>
      <c r="M50" s="188"/>
      <c r="N50" s="190">
        <f>ABS(L50/O50)</f>
        <v>0.51418090816643247</v>
      </c>
      <c r="O50" s="191">
        <f>P50/15.87/100</f>
        <v>1.9621959672337746E-2</v>
      </c>
      <c r="P50" s="192" cm="1">
        <f t="array" ref="P50">_xll.BDP($A50&amp;" Index","VOLATILITY_30D")</f>
        <v>31.140049999999999</v>
      </c>
      <c r="Q50" s="192" cm="1">
        <f t="array" aca="1" ref="Q50" ca="1">(_xll.BDP(($B50&amp; " Equity"),"CORR_COEF", "BETA_OVERRIDE_REL_INDEX",($C50&amp; " Equity"),"BETA_OVERRIDE_END_DT",$Q$5,"BETA_OVERRIDE_START_DT",$Q$4))*100</f>
        <v>61.0316066015031</v>
      </c>
      <c r="R50" s="188"/>
      <c r="S50" s="188" cm="1">
        <f t="array" ref="S50">_xll.BDP($A50&amp;" Index","CHG_PCT_2D")/100</f>
        <v>-2.4016269999999999E-2</v>
      </c>
      <c r="T50" s="188" cm="1">
        <f t="array" ref="T50">_xll.BDP($A50&amp;" Index","CHG_PCT_5D")/100</f>
        <v>9.6227859999999995E-3</v>
      </c>
      <c r="U50" s="188" cm="1">
        <f t="array" ref="U50">K50/_xll.BDP($A50&amp;" Index","HIGH_52WEEK")-1</f>
        <v>-2.3657288612947802E-2</v>
      </c>
      <c r="V50" s="188" cm="1">
        <f t="array" ref="V50">K50/_xll.BDP($A50&amp;" Index","LOW_52WEEK")-1</f>
        <v>0.87978899816509593</v>
      </c>
      <c r="W50" s="188"/>
      <c r="X50" s="192" cm="1">
        <f t="array" ref="X50">_xll.BDP($A50&amp;" Index","RSI_14D")</f>
        <v>81.010729999999995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1.2318055053378627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402.17</v>
      </c>
      <c r="H51" s="188" cm="1">
        <f t="array" ref="H51">G51/_xll.BDP(B51&amp;" Equity", "PREV_CLOSE_VAL")-1</f>
        <v>-1.6136239511443939E-3</v>
      </c>
      <c r="I51" s="187" cm="1">
        <f t="array" ref="I51">_xll.BDP(C51&amp;" Equity","LAST PRICE")</f>
        <v>623.66</v>
      </c>
      <c r="J51" s="188" cm="1">
        <f t="array" ref="J51">I51/_xll.BDP(C51&amp;" Equity", "PREV_CLOSE_VAL")-1</f>
        <v>4.6716927637089345E-3</v>
      </c>
      <c r="K51" s="189">
        <f>G51/I51</f>
        <v>0.64485456819420839</v>
      </c>
      <c r="L51" s="188" cm="1">
        <f t="array" ref="L51">K51/(_xll.BDP(B51&amp;" Equity", "PREV_CLOSE_VAL")/_xll.BDP(C51&amp;" Equity", "PREV_CLOSE_VAL"))-1</f>
        <v>-6.2560901836136162E-3</v>
      </c>
      <c r="M51" s="188"/>
      <c r="N51" s="190">
        <f>ABS(L51/O51)</f>
        <v>0.50391958339016951</v>
      </c>
      <c r="O51" s="191">
        <f>P51/15.87/100</f>
        <v>1.2414858223062384E-2</v>
      </c>
      <c r="P51" s="192" cm="1">
        <f t="array" ref="P51">_xll.BDP($A51&amp;" Index","VOLATILITY_30D")</f>
        <v>19.702380000000002</v>
      </c>
      <c r="Q51" s="192" cm="1">
        <f t="array" aca="1" ref="Q51" ca="1">(_xll.BDP(($B51&amp; " Equity"),"CORR_COEF", "BETA_OVERRIDE_REL_INDEX",($C51&amp; " Equity"),"BETA_OVERRIDE_END_DT",$Q$5,"BETA_OVERRIDE_START_DT",$Q$4))*100</f>
        <v>87.062276157847734</v>
      </c>
      <c r="R51" s="188"/>
      <c r="S51" s="188" cm="1">
        <f t="array" ref="S51">_xll.BDP($A51&amp;" Index","CHG_PCT_2D")/100</f>
        <v>-1.192495E-2</v>
      </c>
      <c r="T51" s="188" cm="1">
        <f t="array" ref="T51">_xll.BDP($A51&amp;" Index","CHG_PCT_5D")/100</f>
        <v>-1.095456E-4</v>
      </c>
      <c r="U51" s="188" cm="1">
        <f t="array" ref="U51">K51/_xll.BDP($A51&amp;" Index","HIGH_52WEEK")-1</f>
        <v>-1.124738466672548E-2</v>
      </c>
      <c r="V51" s="188" cm="1">
        <f t="array" ref="V51">K51/_xll.BDP($A51&amp;" Index","LOW_52WEEK")-1</f>
        <v>0.50751488730645322</v>
      </c>
      <c r="W51" s="188"/>
      <c r="X51" s="192" cm="1">
        <f t="array" ref="X51">_xll.BDP($A51&amp;" Index","RSI_14D")</f>
        <v>75.392120000000006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1.2318055053378627</v>
      </c>
      <c r="AI51" s="196" cm="1">
        <f t="array" ref="AI51">(_xll.BDP(C51&amp;" Equity","SHORT_INT")/_xll.BDP(C51&amp;" Equity","VOLUME_AVG_90D"))</f>
        <v>0.76721436084260075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85</v>
      </c>
      <c r="H52" s="188" cm="1">
        <f t="array" ref="H52">G52/_xll.BDP(B52&amp;" Equity", "PREV_CLOSE_VAL")-1</f>
        <v>-1.4949588596593011E-2</v>
      </c>
      <c r="I52" s="187" cm="1">
        <f t="array" ref="I52">_xll.BDP(C52&amp;" Equity","LAST PRICE")</f>
        <v>198.81</v>
      </c>
      <c r="J52" s="188" cm="1">
        <f t="array" ref="J52">I52/_xll.BDP(C52&amp;" Equity", "PREV_CLOSE_VAL")-1</f>
        <v>-4.2572373034157618E-3</v>
      </c>
      <c r="K52" s="189">
        <f>G52/I52</f>
        <v>0.42754388612242844</v>
      </c>
      <c r="L52" s="188" cm="1">
        <f t="array" ref="L52">K52/(_xll.BDP(B52&amp;" Equity", "PREV_CLOSE_VAL")/_xll.BDP(C52&amp;" Equity", "PREV_CLOSE_VAL"))-1</f>
        <v>-1.0738065787413875E-2</v>
      </c>
      <c r="M52" s="188"/>
      <c r="N52" s="190">
        <f>ABS(L52/O52)</f>
        <v>1.5810025610110419</v>
      </c>
      <c r="O52" s="191">
        <f>P52/15.87/100</f>
        <v>6.7919344675488351E-3</v>
      </c>
      <c r="P52" s="192" cm="1">
        <f t="array" ref="P52">_xll.BDP($A52&amp;" Index","VOLATILITY_30D")</f>
        <v>10.7788</v>
      </c>
      <c r="Q52" s="192" cm="1">
        <f t="array" aca="1" ref="Q52" ca="1">(_xll.BDP(($B52&amp; " Equity"),"CORR_COEF", "BETA_OVERRIDE_REL_INDEX",($C52&amp; " Equity"),"BETA_OVERRIDE_END_DT",$Q$5,"BETA_OVERRIDE_START_DT",$Q$4))*100</f>
        <v>66.035856560188549</v>
      </c>
      <c r="R52" s="188"/>
      <c r="S52" s="188" cm="1">
        <f t="array" ref="S52">_xll.BDP($A52&amp;" Index","CHG_PCT_2D")/100</f>
        <v>-6.8616449999999996E-3</v>
      </c>
      <c r="T52" s="188" cm="1">
        <f t="array" ref="T52">_xll.BDP($A52&amp;" Index","CHG_PCT_5D")/100</f>
        <v>-7.5691679999999994E-3</v>
      </c>
      <c r="U52" s="188" cm="1">
        <f t="array" ref="U52">K52/_xll.BDP($A52&amp;" Index","HIGH_52WEEK")-1</f>
        <v>-5.2681276871336391E-2</v>
      </c>
      <c r="V52" s="188" cm="1">
        <f t="array" ref="V52">K52/_xll.BDP($A52&amp;" Index","LOW_52WEEK")-1</f>
        <v>0.25611506925530581</v>
      </c>
      <c r="W52" s="188"/>
      <c r="X52" s="192" cm="1">
        <f t="array" ref="X52">_xll.BDP($A52&amp;" Index","RSI_14D")</f>
        <v>44.104810000000001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1.6361584261624873</v>
      </c>
      <c r="AI52" s="196" cm="1">
        <f t="array" ref="AI52">(_xll.BDP(C52&amp;" Equity","SHORT_INT")/_xll.BDP(C52&amp;" Equity","VOLUME_AVG_90D"))</f>
        <v>3.0859999814058297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85</v>
      </c>
      <c r="H53" s="188" cm="1">
        <f t="array" ref="H53">G53/_xll.BDP(B53&amp;" Equity", "PREV_CLOSE_VAL")-1</f>
        <v>-1.4949588596593011E-2</v>
      </c>
      <c r="I53" s="187" cm="1">
        <f t="array" ref="I53">_xll.BDP(C53&amp;" Equity","LAST PRICE")</f>
        <v>689.65499999999997</v>
      </c>
      <c r="J53" s="188" cm="1">
        <f t="array" ref="J53">I53/_xll.BDP(C53&amp;" Equity", "PREV_CLOSE_VAL")-1</f>
        <v>9.7970913524325631E-4</v>
      </c>
      <c r="K53" s="189">
        <f>G53/I53</f>
        <v>0.12325003081250771</v>
      </c>
      <c r="L53" s="188" cm="1">
        <f t="array" ref="L53">K53/(_xll.BDP(B53&amp;" Equity", "PREV_CLOSE_VAL")/_xll.BDP(C53&amp;" Equity", "PREV_CLOSE_VAL"))-1</f>
        <v>-1.59137069277836E-2</v>
      </c>
      <c r="M53" s="188"/>
      <c r="N53" s="190">
        <f>ABS(L53/O53)</f>
        <v>1.8648861535275163</v>
      </c>
      <c r="O53" s="191">
        <f>P53/15.87/100</f>
        <v>8.5333396345305609E-3</v>
      </c>
      <c r="P53" s="192" cm="1">
        <f t="array" ref="P53">_xll.BDP($A53&amp;" Index","VOLATILITY_30D")</f>
        <v>13.54241</v>
      </c>
      <c r="Q53" s="192" cm="1">
        <f t="array" aca="1" ref="Q53" ca="1">(_xll.BDP(($B53&amp; " Equity"),"CORR_COEF", "BETA_OVERRIDE_REL_INDEX",($C53&amp; " Equity"),"BETA_OVERRIDE_END_DT",$Q$5,"BETA_OVERRIDE_START_DT",$Q$4))*100</f>
        <v>58.087737593332378</v>
      </c>
      <c r="R53" s="188"/>
      <c r="S53" s="188" cm="1">
        <f t="array" ref="S53">_xll.BDP($A53&amp;" Index","CHG_PCT_2D")/100</f>
        <v>-1.446391E-2</v>
      </c>
      <c r="T53" s="188" cm="1">
        <f t="array" ref="T53">_xll.BDP($A53&amp;" Index","CHG_PCT_5D")/100</f>
        <v>-4.4242459999999997E-3</v>
      </c>
      <c r="U53" s="188" cm="1">
        <f t="array" ref="U53">K53/_xll.BDP($A53&amp;" Index","HIGH_52WEEK")-1</f>
        <v>-3.793590810625469E-2</v>
      </c>
      <c r="V53" s="188" cm="1">
        <f t="array" ref="V53">K53/_xll.BDP($A53&amp;" Index","LOW_52WEEK")-1</f>
        <v>0.18146118493584851</v>
      </c>
      <c r="W53" s="188"/>
      <c r="X53" s="192" cm="1">
        <f t="array" ref="X53">_xll.BDP($A53&amp;" Index","RSI_14D")</f>
        <v>54.84686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1.6361584261624873</v>
      </c>
      <c r="AI53" s="196" cm="1">
        <f t="array" ref="AI53">(_xll.BDP(C53&amp;" Equity","SHORT_INT")/_xll.BDP(C53&amp;" Equity","VOLUME_AVG_90D"))</f>
        <v>1.2575075329746292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85</v>
      </c>
      <c r="H54" s="188" cm="1">
        <f t="array" ref="H54">G54/_xll.BDP(B54&amp;" Equity", "PREV_CLOSE_VAL")-1</f>
        <v>-1.4949588596593011E-2</v>
      </c>
      <c r="I54" s="187" cm="1">
        <f t="array" ref="I54">_xll.BDP(C54&amp;" Equity","LAST PRICE")</f>
        <v>68.92</v>
      </c>
      <c r="J54" s="188" cm="1">
        <f t="array" ref="J54">I54/_xll.BDP(C54&amp;" Equity", "PREV_CLOSE_VAL")-1</f>
        <v>-1.4443014443014546E-2</v>
      </c>
      <c r="K54" s="189">
        <f>G54/I54</f>
        <v>1.2333139872315728</v>
      </c>
      <c r="L54" s="188" cm="1">
        <f t="array" ref="L54">K54/(_xll.BDP(B54&amp;" Equity", "PREV_CLOSE_VAL")/_xll.BDP(C54&amp;" Equity", "PREV_CLOSE_VAL"))-1</f>
        <v>-5.1399783168515345E-4</v>
      </c>
      <c r="M54" s="188"/>
      <c r="N54" s="190">
        <f>ABS(L54/O54)</f>
        <v>5.9802681716727764E-2</v>
      </c>
      <c r="O54" s="191">
        <f>P54/15.87/100</f>
        <v>8.5948960302457481E-3</v>
      </c>
      <c r="P54" s="192" cm="1">
        <f t="array" ref="P54">_xll.BDP($A54&amp;" Index","VOLATILITY_30D")</f>
        <v>13.6401</v>
      </c>
      <c r="Q54" s="192" cm="1">
        <f t="array" aca="1" ref="Q54" ca="1">(_xll.BDP(($B54&amp; " Equity"),"CORR_COEF", "BETA_OVERRIDE_REL_INDEX",($C54&amp; " Equity"),"BETA_OVERRIDE_END_DT",$Q$5,"BETA_OVERRIDE_START_DT",$Q$4))*100</f>
        <v>74.583055683537097</v>
      </c>
      <c r="R54" s="188"/>
      <c r="S54" s="188" cm="1">
        <f t="array" ref="S54">_xll.BDP($A54&amp;" Index","CHG_PCT_2D")/100</f>
        <v>5.1842779999999996E-3</v>
      </c>
      <c r="T54" s="188" cm="1">
        <f t="array" ref="T54">_xll.BDP($A54&amp;" Index","CHG_PCT_5D")/100</f>
        <v>-2.5784419999999999E-2</v>
      </c>
      <c r="U54" s="188" cm="1">
        <f t="array" ref="U54">K54/_xll.BDP($A54&amp;" Index","HIGH_52WEEK")-1</f>
        <v>-6.5572115806545539E-2</v>
      </c>
      <c r="V54" s="188" cm="1">
        <f t="array" ref="V54">K54/_xll.BDP($A54&amp;" Index","LOW_52WEEK")-1</f>
        <v>0.13557504325832848</v>
      </c>
      <c r="W54" s="188"/>
      <c r="X54" s="192" cm="1">
        <f t="array" ref="X54">_xll.BDP($A54&amp;" Index","RSI_14D")</f>
        <v>32.151719999999997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1.6361584261624873</v>
      </c>
      <c r="AI54" s="196" cm="1">
        <f t="array" ref="AI54">(_xll.BDP(C54&amp;" Equity","SHORT_INT")/_xll.BDP(C54&amp;" Equity","VOLUME_AVG_90D"))</f>
        <v>3.0682207320801225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40 R38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40 Z38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8 AI40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AI38 AI40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0.3553632665391625</v>
      </c>
      <c r="G5" s="153" cm="1">
        <f t="array" ref="G5">_xll.BDP($C5&amp;" Equity","volatility_30d")/100</f>
        <v>0.36223026496929411</v>
      </c>
      <c r="J5" t="s">
        <v>1740</v>
      </c>
      <c r="K5" s="276">
        <v>70</v>
      </c>
      <c r="L5" cm="1">
        <f t="array" ref="L5">_xll.BDP(J5&amp;" Equity","LAST PRICE")</f>
        <v>108.96</v>
      </c>
      <c r="M5" s="279">
        <f>L5/K5-1</f>
        <v>0.55657142857142849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0.3553632665391625</v>
      </c>
      <c r="G6" s="153" cm="1">
        <f t="array" ref="G6">_xll.BDP($C6&amp;" Equity","volatility_30d")/100</f>
        <v>0.36223026496929411</v>
      </c>
      <c r="J6" t="s">
        <v>1740</v>
      </c>
      <c r="K6" s="276">
        <v>70</v>
      </c>
      <c r="L6" cm="1">
        <f t="array" ref="L6">_xll.BDP(J6&amp;" Equity","LAST PRICE")</f>
        <v>108.96</v>
      </c>
      <c r="M6" s="279">
        <f>L6/K6-1</f>
        <v>0.55657142857142849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0.22170861118821514</v>
      </c>
      <c r="G7" s="153" cm="1">
        <f t="array" ref="G7">_xll.BDP($C7&amp;" Equity","volatility_30d")/100</f>
        <v>0.23055557267837062</v>
      </c>
      <c r="J7" t="s">
        <v>1743</v>
      </c>
      <c r="K7" s="276">
        <v>28.5</v>
      </c>
      <c r="L7" cm="1">
        <f t="array" ref="L7">_xll.BDP(J7&amp;" Equity","LAST PRICE")</f>
        <v>19.848600000000001</v>
      </c>
      <c r="M7" s="279">
        <f t="shared" ref="M7:M13" si="6">L7/K7-1</f>
        <v>-0.30355789473684203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0.27121492774970546</v>
      </c>
      <c r="G8" s="153" cm="1">
        <f t="array" ref="G8">_xll.BDP($C8&amp;" Equity","volatility_30d")/100</f>
        <v>0.37561377758378806</v>
      </c>
      <c r="J8" t="s">
        <v>400</v>
      </c>
      <c r="K8" s="276">
        <v>318.75</v>
      </c>
      <c r="L8" cm="1">
        <f t="array" ref="L8">_xll.BDP(J8&amp;" Equity","LAST PRICE")</f>
        <v>281.94499999999999</v>
      </c>
      <c r="M8" s="279">
        <f t="shared" si="6"/>
        <v>-0.11546666666666672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0.22562504716076887</v>
      </c>
      <c r="G9" s="153" cm="1">
        <f t="array" ref="G9">_xll.BDP($C9&amp;" Equity","volatility_30d")/100</f>
        <v>0.22088737304895331</v>
      </c>
      <c r="J9" t="s">
        <v>134</v>
      </c>
      <c r="K9" s="276">
        <v>265.95999999999998</v>
      </c>
      <c r="L9" cm="1">
        <f t="array" ref="L9">_xll.BDP(J9&amp;" Equity","LAST PRICE")</f>
        <v>228.4</v>
      </c>
      <c r="M9" s="279">
        <f t="shared" si="6"/>
        <v>-0.1412242442472551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0.23944959999999998</v>
      </c>
      <c r="G10" s="153" cm="1">
        <f t="array" ref="G10">_xll.BDP($C10&amp;" Equity","volatility_30d")/100</f>
        <v>0.24690359999999997</v>
      </c>
      <c r="J10" t="s">
        <v>1753</v>
      </c>
      <c r="K10" s="276">
        <v>251.52</v>
      </c>
      <c r="L10" cm="1">
        <f t="array" ref="L10">_xll.BDP(J10&amp;" Equity","LAST PRICE")</f>
        <v>188.64</v>
      </c>
      <c r="M10" s="279">
        <f t="shared" si="6"/>
        <v>-0.25000000000000011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0.17601825176944652</v>
      </c>
      <c r="G11" s="153" cm="1">
        <f t="array" ref="G11">_xll.BDP($C11&amp;" Equity","volatility_30d")/100</f>
        <v>0.15910882449402797</v>
      </c>
      <c r="J11" t="s">
        <v>353</v>
      </c>
      <c r="K11" s="276">
        <v>117.4</v>
      </c>
      <c r="L11" cm="1">
        <f t="array" ref="L11">_xll.BDP(J11&amp;" Equity","LAST PRICE")</f>
        <v>215.57</v>
      </c>
      <c r="M11" s="279">
        <f t="shared" si="6"/>
        <v>0.83620102214650749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0.2503639178685691</v>
      </c>
      <c r="G12" s="153" cm="1">
        <f t="array" ref="G12">_xll.BDP($C12&amp;" Equity","volatility_30d")/100</f>
        <v>0.26062888879173429</v>
      </c>
      <c r="J12" t="s">
        <v>1742</v>
      </c>
      <c r="K12" s="276">
        <v>5420</v>
      </c>
      <c r="L12" cm="1">
        <f t="array" ref="L12">_xll.BDP(J12&amp;" Index","LAST PRICE")</f>
        <v>5786</v>
      </c>
      <c r="M12" s="279">
        <f t="shared" si="6"/>
        <v>6.7527675276752852E-2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0.25402488338375684</v>
      </c>
      <c r="G13" s="153" cm="1">
        <f t="array" ref="G13">_xll.BDP($C13&amp;" Equity","volatility_30d")/100</f>
        <v>0.29191486540369849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0.17257463265334352</v>
      </c>
      <c r="G14" s="153" cm="1">
        <f t="array" ref="G14">_xll.BDP($C14&amp;" Equity","volatility_30d")/100</f>
        <v>0.15122329790718012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0.19795460877341803</v>
      </c>
      <c r="G15" s="153" cm="1">
        <f t="array" ref="G15">_xll.BDP($C15&amp;" Equity","volatility_30d")/100</f>
        <v>0.17283680641782323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0.31387065052326657</v>
      </c>
      <c r="G16" s="153" cm="1">
        <f t="array" ref="G16">_xll.BDP($C16&amp;" Equity","volatility_30d")/100</f>
        <v>0.20507868692040862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0.22761052764328624</v>
      </c>
      <c r="G17" s="153" cm="1">
        <f t="array" ref="G17">_xll.BDP($C17&amp;" Equity","volatility_30d")/100</f>
        <v>0.32250803285987117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0.2567724214123322</v>
      </c>
      <c r="G18" s="153" cm="1">
        <f t="array" ref="G18">_xll.BDP($C18&amp;" Equity","volatility_30d")/100</f>
        <v>0.30737699370014337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0.10180070222259972</v>
      </c>
      <c r="G19" s="153" cm="1">
        <f t="array" ref="G19">_xll.BDP($C19&amp;" Equity","volatility_30d")/100</f>
        <v>0.12481386584084736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0.17438099734369028</v>
      </c>
      <c r="G20" s="153" cm="1">
        <f t="array" ref="G20">_xll.BDP($C20&amp;" Equity","volatility_30d")/100</f>
        <v>0.16086483735184942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0.13552079642928253</v>
      </c>
      <c r="G21" s="153" cm="1">
        <f t="array" ref="G21">_xll.BDP($C21&amp;" Equity","volatility_30d")/100</f>
        <v>0.11177358880092428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0.14137130916840357</v>
      </c>
      <c r="G22" s="153" cm="1">
        <f t="array" ref="G22">_xll.BDP($C22&amp;" Equity","volatility_30d")/100</f>
        <v>0.10757041248721479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0.1636399248956745</v>
      </c>
      <c r="G23" s="153" cm="1">
        <f t="array" ref="G23">_xll.BDP($C23&amp;" Equity","volatility_30d")/100</f>
        <v>0.14864244599771551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0.15671868924843715</v>
      </c>
      <c r="G24" s="153" cm="1">
        <f t="array" ref="G24">_xll.BDP($C24&amp;" Equity","volatility_30d")/100</f>
        <v>0.15316698563646225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0.14871996478161315</v>
      </c>
      <c r="G25" s="153" cm="1">
        <f t="array" ref="G25">_xll.BDP($C25&amp;" Equity","volatility_30d")/100</f>
        <v>0.22765777643905216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1.2145662307739258</v>
      </c>
      <c r="F26" s="153" cm="1">
        <f t="array" ref="F26">_xll.BDP($C26&amp;" Equity","volatility_10d")/100</f>
        <v>0.42454184073809481</v>
      </c>
      <c r="G26" s="153" cm="1">
        <f t="array" ref="G26">_xll.BDP($C26&amp;" Equity","volatility_30d")/100</f>
        <v>0.27103244510353974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1.0606956481933594</v>
      </c>
      <c r="F27" s="153" cm="1">
        <f t="array" ref="F27">_xll.BDP($C27&amp;" Equity","volatility_10d")/100</f>
        <v>0.19978880693528256</v>
      </c>
      <c r="G27" s="153" cm="1">
        <f t="array" ref="G27">_xll.BDP($C27&amp;" Equity","volatility_30d")/100</f>
        <v>0.14251788415943978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1.1984794139862061</v>
      </c>
      <c r="F28" s="153" cm="1">
        <f t="array" ref="F28">_xll.BDP($C28&amp;" Equity","volatility_10d")/100</f>
        <v>0.17142099496497354</v>
      </c>
      <c r="G28" s="153" cm="1">
        <f t="array" ref="G28">_xll.BDP($C28&amp;" Equity","volatility_30d")/100</f>
        <v>0.29341156415144204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0.84171849489212036</v>
      </c>
      <c r="F29" s="153" cm="1">
        <f t="array" ref="F29">_xll.BDP($C29&amp;" Equity","volatility_10d")/100</f>
        <v>0.14057104780000851</v>
      </c>
      <c r="G29" s="153" cm="1">
        <f t="array" ref="G29">_xll.BDP($C29&amp;" Equity","volatility_30d")/100</f>
        <v>0.19145092211545367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1.0225951671600342</v>
      </c>
      <c r="F30" s="153" cm="1">
        <f t="array" ref="F30">_xll.BDP($C30&amp;" Equity","volatility_10d")/100</f>
        <v>0.2600442564176576</v>
      </c>
      <c r="G30" s="153" cm="1">
        <f t="array" ref="G30">_xll.BDP($C30&amp;" Equity","volatility_30d")/100</f>
        <v>0.18627989389780569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1.2045568227767944</v>
      </c>
      <c r="F31" s="153" cm="1">
        <f t="array" ref="F31">_xll.BDP($C31&amp;" Equity","volatility_10d")/100</f>
        <v>0.5060358229475852</v>
      </c>
      <c r="G31" s="153" cm="1">
        <f t="array" ref="G31">_xll.BDP($C31&amp;" Equity","volatility_30d")/100</f>
        <v>0.339902229403233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0.85003966093063354</v>
      </c>
      <c r="F32" s="153" cm="1">
        <f t="array" ref="F32">_xll.BDP($C32&amp;" Equity","volatility_10d")/100</f>
        <v>0.21846632822973505</v>
      </c>
      <c r="G32" s="153" cm="1">
        <f t="array" ref="G32">_xll.BDP($C32&amp;" Equity","volatility_30d")/100</f>
        <v>0.22943294779007067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0.83411502838134766</v>
      </c>
      <c r="F33" s="153" cm="1">
        <f t="array" ref="F33">_xll.BDP($C33&amp;" Equity","volatility_10d")/100</f>
        <v>0.2555527753676532</v>
      </c>
      <c r="G33" s="153" cm="1">
        <f t="array" ref="G33">_xll.BDP($C33&amp;" Equity","volatility_30d")/100</f>
        <v>0.26055876070953005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0.62634414434432983</v>
      </c>
      <c r="F34" s="153" cm="1">
        <f t="array" ref="F34">_xll.BDP($C34&amp;" Equity","volatility_10d")/100</f>
        <v>8.8829780657600305E-2</v>
      </c>
      <c r="G34" s="153" cm="1">
        <f t="array" ref="G34">_xll.BDP($C34&amp;" Equity","volatility_30d")/100</f>
        <v>0.12811871637393235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1.4717037677764893</v>
      </c>
      <c r="F35" s="153" cm="1">
        <f t="array" ref="F35">_xll.BDP($C35&amp;" Equity","volatility_10d")/100</f>
        <v>0.40811913841604341</v>
      </c>
      <c r="G35" s="153" cm="1">
        <f t="array" ref="G35">_xll.BDP($C35&amp;" Equity","volatility_30d")/100</f>
        <v>0.36568867992141529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1.8585629463195801</v>
      </c>
      <c r="F36" s="153" cm="1">
        <f t="array" ref="F36">_xll.BDP($C36&amp;" Equity","volatility_10d")/100</f>
        <v>0.35364221179355193</v>
      </c>
      <c r="G36" s="153" cm="1">
        <f t="array" ref="G36">_xll.BDP($C36&amp;" Equity","volatility_30d")/100</f>
        <v>0.31724335363117151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1.654245138168335</v>
      </c>
      <c r="F37" s="153" cm="1">
        <f t="array" ref="F37">_xll.BDP($C37&amp;" Equity","volatility_10d")/100</f>
        <v>0.44669982189726226</v>
      </c>
      <c r="G37" s="153" cm="1">
        <f t="array" ref="G37">_xll.BDP($C37&amp;" Equity","volatility_30d")/100</f>
        <v>0.71121773538842559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1.1732878684997559</v>
      </c>
      <c r="F38" s="153" cm="1">
        <f t="array" ref="F38">_xll.BDP($C38&amp;" Equity","volatility_10d")/100</f>
        <v>0.33894545922848818</v>
      </c>
      <c r="G38" s="153" cm="1">
        <f t="array" ref="G38">_xll.BDP($C38&amp;" Equity","volatility_30d")/100</f>
        <v>0.23920933475209735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1.0831750631332397</v>
      </c>
      <c r="F39" s="153" cm="1">
        <f t="array" ref="F39">_xll.BDP($C39&amp;" Equity","volatility_10d")/100</f>
        <v>0.24829261080019382</v>
      </c>
      <c r="G39" s="153" cm="1">
        <f t="array" ref="G39">_xll.BDP($C39&amp;" Equity","volatility_30d")/100</f>
        <v>0.20473452959803698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0.60224384069442749</v>
      </c>
      <c r="F40" s="153" cm="1">
        <f t="array" ref="F40">_xll.BDP($C40&amp;" Equity","volatility_10d")/100</f>
        <v>0.27894090828501683</v>
      </c>
      <c r="G40" s="153" cm="1">
        <f t="array" ref="G40">_xll.BDP($C40&amp;" Equity","volatility_30d")/100</f>
        <v>0.32371386581310657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0.5356372594833374</v>
      </c>
      <c r="F41" s="153" cm="1">
        <f t="array" ref="F41">_xll.BDP($C41&amp;" Equity","volatility_10d")/100</f>
        <v>0.25398989608074302</v>
      </c>
      <c r="G41" s="153" cm="1">
        <f t="array" ref="G41">_xll.BDP($C41&amp;" Equity","volatility_30d")/100</f>
        <v>0.23001127413918257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0.54939818382263184</v>
      </c>
      <c r="F42" s="153" cm="1">
        <f t="array" ref="F42">_xll.BDP($C42&amp;" Equity","volatility_10d")/100</f>
        <v>0.18424871963788741</v>
      </c>
      <c r="G42" s="153" cm="1">
        <f t="array" ref="G42">_xll.BDP($C42&amp;" Equity","volatility_30d")/100</f>
        <v>0.22658832647442043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0.74849462509155273</v>
      </c>
      <c r="F43" s="153" cm="1">
        <f t="array" ref="F43">_xll.BDP($C43&amp;" Equity","volatility_10d")/100</f>
        <v>0.21495549334173197</v>
      </c>
      <c r="G43" s="153" cm="1">
        <f t="array" ref="G43">_xll.BDP($C43&amp;" Equity","volatility_30d")/100</f>
        <v>0.20587401870934363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0.66748231649398804</v>
      </c>
      <c r="F44" s="153" cm="1">
        <f t="array" ref="F44">_xll.BDP($C44&amp;" Equity","volatility_10d")/100</f>
        <v>0.78717773794711343</v>
      </c>
      <c r="G44" s="153" cm="1">
        <f t="array" ref="G44">_xll.BDP($C44&amp;" Equity","volatility_30d")/100</f>
        <v>0.65228864327126113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0.56310278177261353</v>
      </c>
      <c r="F45" s="153" cm="1">
        <f t="array" ref="F45">_xll.BDP($C45&amp;" Equity","volatility_10d")/100</f>
        <v>0.67041334558483956</v>
      </c>
      <c r="G45" s="153" cm="1">
        <f t="array" ref="G45">_xll.BDP($C45&amp;" Equity","volatility_30d")/100</f>
        <v>0.5981277294999735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771" priority="6" operator="lessThan">
      <formula>0</formula>
    </cfRule>
  </conditionalFormatting>
  <conditionalFormatting sqref="L23:O59">
    <cfRule type="cellIs" dxfId="1770" priority="5" operator="lessThan">
      <formula>0</formula>
    </cfRule>
  </conditionalFormatting>
  <conditionalFormatting sqref="R23:R59">
    <cfRule type="cellIs" dxfId="1769" priority="4" operator="lessThan">
      <formula>0</formula>
    </cfRule>
  </conditionalFormatting>
  <conditionalFormatting sqref="Q45:Q48">
    <cfRule type="cellIs" dxfId="1768" priority="3" operator="lessThan">
      <formula>0</formula>
    </cfRule>
  </conditionalFormatting>
  <conditionalFormatting sqref="Q42:Q43">
    <cfRule type="cellIs" dxfId="1767" priority="2" operator="lessThan">
      <formula>0</formula>
    </cfRule>
  </conditionalFormatting>
  <conditionalFormatting sqref="Q39">
    <cfRule type="cellIs" dxfId="1766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9" zoomScale="80" zoomScaleNormal="80" zoomScaleSheetLayoutView="85" workbookViewId="0">
      <selection activeCell="G24" sqref="G24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1.8990987588288273</v>
      </c>
      <c r="F4" s="284">
        <f>'Master P&amp;L'!U5</f>
        <v>2.3620116455209964E-2</v>
      </c>
    </row>
    <row r="5" spans="1:28">
      <c r="A5" s="297" t="s">
        <v>65</v>
      </c>
      <c r="C5" s="298">
        <f>'Master P&amp;L'!V6</f>
        <v>1.0348080892251466E-2</v>
      </c>
      <c r="F5" s="284">
        <f>'Master P&amp;L'!U6</f>
        <v>-1.2911498964598262E-3</v>
      </c>
    </row>
    <row r="6" spans="1:28" s="304" customFormat="1">
      <c r="A6" s="299" t="s">
        <v>66</v>
      </c>
      <c r="B6" s="300"/>
      <c r="C6" s="301">
        <f>'Master P&amp;L'!V7</f>
        <v>1.9094468397210786</v>
      </c>
      <c r="D6" s="302"/>
      <c r="E6" s="302"/>
      <c r="F6" s="302">
        <f>'Master P&amp;L'!U7</f>
        <v>2.2328966558750139E-2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2.4911266351669788E-2</v>
      </c>
    </row>
    <row r="8" spans="1:28">
      <c r="A8" s="306" t="s">
        <v>68</v>
      </c>
      <c r="B8" s="307"/>
      <c r="C8" s="308">
        <f>'Master P&amp;L'!V7*'Master P&amp;L'!AD5/10000</f>
        <v>428868.45624953177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2268542.5861775232</v>
      </c>
      <c r="D9" s="312"/>
      <c r="E9" s="312"/>
      <c r="F9" s="312"/>
      <c r="G9" s="313"/>
      <c r="H9" s="312"/>
    </row>
    <row r="10" spans="1:28">
      <c r="A10" s="437" t="s">
        <v>2126</v>
      </c>
      <c r="B10" s="441">
        <f>Options!AI1</f>
        <v>-20.807726542602762</v>
      </c>
      <c r="H10" s="286"/>
    </row>
    <row r="11" spans="1:28">
      <c r="A11" s="314">
        <f ca="1">TODAY()</f>
        <v>46045</v>
      </c>
      <c r="H11" s="286"/>
      <c r="L11" s="284"/>
    </row>
    <row r="12" spans="1:28" s="365" customFormat="1" ht="47.25">
      <c r="A12" s="537" t="s">
        <v>72</v>
      </c>
      <c r="B12" s="530" t="s">
        <v>73</v>
      </c>
      <c r="C12" s="536" t="s">
        <v>74</v>
      </c>
      <c r="D12" s="536" t="s">
        <v>75</v>
      </c>
      <c r="E12" s="536" t="s">
        <v>76</v>
      </c>
      <c r="F12" s="536" t="s">
        <v>77</v>
      </c>
      <c r="G12" s="364"/>
      <c r="I12" s="366"/>
      <c r="L12" s="315"/>
      <c r="AA12" s="367"/>
      <c r="AB12" s="367"/>
    </row>
    <row r="13" spans="1:28">
      <c r="A13" s="531" t="s">
        <v>1907</v>
      </c>
      <c r="B13" s="532">
        <v>-1.1504644054903035E-2</v>
      </c>
      <c r="C13" s="535">
        <v>-0.12132319652421719</v>
      </c>
      <c r="D13" s="533">
        <v>4.8107086535249181E-4</v>
      </c>
      <c r="E13" s="533">
        <v>6.2343141117094422E-4</v>
      </c>
      <c r="F13" s="533">
        <v>1.1045022765234359E-3</v>
      </c>
      <c r="G13" s="316"/>
      <c r="H13" s="286"/>
      <c r="L13" s="316"/>
    </row>
    <row r="14" spans="1:28">
      <c r="A14" s="534" t="s">
        <v>38</v>
      </c>
      <c r="B14" s="532">
        <v>-7.1237756010683606E-3</v>
      </c>
      <c r="C14" s="535">
        <v>-5.3571159176905234E-2</v>
      </c>
      <c r="D14" s="533">
        <v>0</v>
      </c>
      <c r="E14" s="533">
        <v>6.2343141117094422E-4</v>
      </c>
      <c r="F14" s="533">
        <v>6.2343141117094422E-4</v>
      </c>
      <c r="G14" s="316"/>
      <c r="H14" s="286"/>
      <c r="I14" s="285"/>
      <c r="L14" s="316"/>
    </row>
    <row r="15" spans="1:28">
      <c r="A15" s="534" t="s">
        <v>2144</v>
      </c>
      <c r="B15" s="532">
        <v>-5.6608417425548785E-3</v>
      </c>
      <c r="C15" s="535">
        <v>-1.3476539406938498E-2</v>
      </c>
      <c r="D15" s="533">
        <v>2.3671834436535041E-4</v>
      </c>
      <c r="E15" s="533">
        <v>0</v>
      </c>
      <c r="F15" s="533">
        <v>2.3671834436535041E-4</v>
      </c>
      <c r="G15" s="316"/>
      <c r="H15" s="286"/>
      <c r="I15" s="285"/>
      <c r="L15" s="316"/>
    </row>
    <row r="16" spans="1:28">
      <c r="A16" s="534" t="s">
        <v>461</v>
      </c>
      <c r="B16" s="532">
        <v>-2.1729314821085866E-2</v>
      </c>
      <c r="C16" s="535">
        <v>-5.4275497940373459E-2</v>
      </c>
      <c r="D16" s="533">
        <v>2.4435252098714143E-4</v>
      </c>
      <c r="E16" s="533">
        <v>0</v>
      </c>
      <c r="F16" s="533">
        <v>2.4435252098714143E-4</v>
      </c>
      <c r="G16" s="316"/>
      <c r="H16" s="286"/>
      <c r="I16" s="285"/>
      <c r="L16" s="316"/>
    </row>
    <row r="17" spans="1:12">
      <c r="A17" s="531" t="s">
        <v>78</v>
      </c>
      <c r="B17" s="532">
        <v>1.8686771054834406E-3</v>
      </c>
      <c r="C17" s="535">
        <v>3.2343360709702632E-2</v>
      </c>
      <c r="D17" s="533">
        <v>0</v>
      </c>
      <c r="E17" s="533">
        <v>2.4168961205484757E-3</v>
      </c>
      <c r="F17" s="533">
        <v>2.4168961205484757E-3</v>
      </c>
      <c r="G17" s="316"/>
      <c r="H17" s="286"/>
      <c r="I17" s="285"/>
      <c r="L17" s="316"/>
    </row>
    <row r="18" spans="1:12">
      <c r="A18" s="534" t="s">
        <v>135</v>
      </c>
      <c r="B18" s="532">
        <v>1.8686771054834406E-3</v>
      </c>
      <c r="C18" s="535">
        <v>3.2343360709702632E-2</v>
      </c>
      <c r="D18" s="533">
        <v>0</v>
      </c>
      <c r="E18" s="533">
        <v>2.4168961205484757E-3</v>
      </c>
      <c r="F18" s="533">
        <v>2.4168961205484757E-3</v>
      </c>
      <c r="G18" s="316"/>
      <c r="H18" s="286"/>
      <c r="I18" s="285"/>
      <c r="L18" s="316"/>
    </row>
    <row r="19" spans="1:12">
      <c r="A19" s="531" t="s">
        <v>2139</v>
      </c>
      <c r="B19" s="532">
        <v>9.1280783493390416E-3</v>
      </c>
      <c r="C19" s="535">
        <v>0.37146036774828428</v>
      </c>
      <c r="D19" s="533">
        <v>6.555160375146693E-4</v>
      </c>
      <c r="E19" s="533">
        <v>4.9203237245399277E-4</v>
      </c>
      <c r="F19" s="533">
        <v>1.1475484099686621E-3</v>
      </c>
      <c r="G19" s="316"/>
      <c r="H19" s="286"/>
      <c r="I19" s="285"/>
      <c r="L19" s="316"/>
    </row>
    <row r="20" spans="1:12">
      <c r="A20" s="534" t="s">
        <v>131</v>
      </c>
      <c r="B20" s="532">
        <v>9.1280783493390416E-3</v>
      </c>
      <c r="C20" s="535">
        <v>0.37146036774828428</v>
      </c>
      <c r="D20" s="533">
        <v>6.555160375146693E-4</v>
      </c>
      <c r="E20" s="533">
        <v>4.9203237245399277E-4</v>
      </c>
      <c r="F20" s="533">
        <v>1.1475484099686621E-3</v>
      </c>
      <c r="G20" s="316"/>
      <c r="H20" s="286"/>
      <c r="L20" s="316"/>
    </row>
    <row r="21" spans="1:12">
      <c r="A21" s="531" t="s">
        <v>1880</v>
      </c>
      <c r="B21" s="532">
        <v>-2.140100905409914E-2</v>
      </c>
      <c r="C21" s="535">
        <v>0.64572221749155922</v>
      </c>
      <c r="D21" s="533">
        <v>2.9573684633100832E-3</v>
      </c>
      <c r="E21" s="533">
        <v>5.127205057794122E-3</v>
      </c>
      <c r="F21" s="533">
        <v>8.0845735211042043E-3</v>
      </c>
      <c r="G21" s="316"/>
      <c r="H21" s="286"/>
      <c r="I21" s="285"/>
      <c r="L21" s="316"/>
    </row>
    <row r="22" spans="1:12">
      <c r="A22" s="534" t="s">
        <v>94</v>
      </c>
      <c r="B22" s="532">
        <v>1.4769530404674214E-2</v>
      </c>
      <c r="C22" s="535">
        <v>0.26213496747872478</v>
      </c>
      <c r="D22" s="533">
        <v>1.8010496648346002E-3</v>
      </c>
      <c r="E22" s="533">
        <v>0</v>
      </c>
      <c r="F22" s="533">
        <v>1.8010496648346002E-3</v>
      </c>
      <c r="G22" s="316"/>
      <c r="H22" s="286"/>
      <c r="I22" s="285"/>
      <c r="L22" s="316"/>
    </row>
    <row r="23" spans="1:12">
      <c r="A23" s="534" t="s">
        <v>96</v>
      </c>
      <c r="B23" s="532">
        <v>1.9794116748633073E-2</v>
      </c>
      <c r="C23" s="535">
        <v>0.81064147281738919</v>
      </c>
      <c r="D23" s="533">
        <v>5.7124009018103537E-4</v>
      </c>
      <c r="E23" s="533">
        <v>4.6499722987713623E-3</v>
      </c>
      <c r="F23" s="533">
        <v>5.2212123889523974E-3</v>
      </c>
      <c r="G23" s="316"/>
      <c r="H23" s="286"/>
      <c r="I23" s="285"/>
      <c r="L23" s="316"/>
    </row>
    <row r="24" spans="1:12">
      <c r="A24" s="534" t="s">
        <v>137</v>
      </c>
      <c r="B24" s="532">
        <v>-2.666748594426871E-2</v>
      </c>
      <c r="C24" s="535">
        <v>-0.33183203020569774</v>
      </c>
      <c r="D24" s="533">
        <v>4.5349911438828639E-4</v>
      </c>
      <c r="E24" s="533">
        <v>7.2156808869295024E-4</v>
      </c>
      <c r="F24" s="533">
        <v>1.1750672030812366E-3</v>
      </c>
      <c r="G24" s="316"/>
      <c r="H24" s="291"/>
      <c r="I24" s="285"/>
      <c r="L24" s="316"/>
    </row>
    <row r="25" spans="1:12">
      <c r="A25" s="534" t="s">
        <v>138</v>
      </c>
      <c r="B25" s="532">
        <v>-2.166064981949456E-2</v>
      </c>
      <c r="C25" s="535">
        <v>4.1788456704308842E-2</v>
      </c>
      <c r="D25" s="533">
        <v>-1.6625322072160277E-6</v>
      </c>
      <c r="E25" s="533">
        <v>-2.4433532967019065E-4</v>
      </c>
      <c r="F25" s="533">
        <v>-2.4599786187740665E-4</v>
      </c>
      <c r="G25" s="316"/>
      <c r="H25" s="291"/>
      <c r="I25" s="285"/>
      <c r="L25" s="316"/>
    </row>
    <row r="26" spans="1:12">
      <c r="A26" s="534" t="s">
        <v>708</v>
      </c>
      <c r="B26" s="532">
        <v>-9.324055666003972E-2</v>
      </c>
      <c r="C26" s="535">
        <v>-0.13701064930316584</v>
      </c>
      <c r="D26" s="533">
        <v>1.3324212611337731E-4</v>
      </c>
      <c r="E26" s="533">
        <v>0</v>
      </c>
      <c r="F26" s="533">
        <v>1.3324212611337731E-4</v>
      </c>
      <c r="G26" s="316"/>
      <c r="H26" s="286"/>
      <c r="I26" s="285"/>
      <c r="L26" s="316"/>
    </row>
    <row r="27" spans="1:12">
      <c r="A27" s="531" t="s">
        <v>2138</v>
      </c>
      <c r="B27" s="532">
        <v>1.3687400663491278E-3</v>
      </c>
      <c r="C27" s="535">
        <v>3.473967754664941E-2</v>
      </c>
      <c r="D27" s="533">
        <v>2.5536037574858629E-3</v>
      </c>
      <c r="E27" s="533">
        <v>1.3507696552972874E-4</v>
      </c>
      <c r="F27" s="533">
        <v>2.6886807230155916E-3</v>
      </c>
      <c r="G27" s="316"/>
      <c r="H27" s="291"/>
      <c r="I27" s="285"/>
      <c r="L27" s="316"/>
    </row>
    <row r="28" spans="1:12">
      <c r="A28" s="534" t="s">
        <v>1754</v>
      </c>
      <c r="B28" s="532">
        <v>-1.3794292611432057E-3</v>
      </c>
      <c r="C28" s="535">
        <v>-2.8044823737960859E-2</v>
      </c>
      <c r="D28" s="533">
        <v>2.0302699584800474E-3</v>
      </c>
      <c r="E28" s="533">
        <v>0</v>
      </c>
      <c r="F28" s="533">
        <v>2.0302699584800474E-3</v>
      </c>
      <c r="G28" s="316"/>
      <c r="H28" s="286"/>
      <c r="I28" s="285"/>
      <c r="L28" s="316"/>
    </row>
    <row r="29" spans="1:12">
      <c r="A29" s="534" t="s">
        <v>2295</v>
      </c>
      <c r="B29" s="532">
        <v>1.5894039735099286E-2</v>
      </c>
      <c r="C29" s="535">
        <v>8.187751744549919E-2</v>
      </c>
      <c r="D29" s="533">
        <v>5.2333379900581568E-4</v>
      </c>
      <c r="E29" s="533">
        <v>0</v>
      </c>
      <c r="F29" s="533">
        <v>5.2333379900581568E-4</v>
      </c>
      <c r="G29" s="316"/>
      <c r="H29" s="286"/>
      <c r="I29" s="285"/>
      <c r="L29" s="316"/>
    </row>
    <row r="30" spans="1:12">
      <c r="A30" s="534" t="s">
        <v>2298</v>
      </c>
      <c r="B30" s="532">
        <v>-1.0408390274908697E-2</v>
      </c>
      <c r="C30" s="535">
        <v>-1.9093016160888925E-2</v>
      </c>
      <c r="D30" s="533">
        <v>0</v>
      </c>
      <c r="E30" s="533">
        <v>1.3507696552972874E-4</v>
      </c>
      <c r="F30" s="533">
        <v>1.3507696552972874E-4</v>
      </c>
      <c r="G30" s="316"/>
      <c r="H30" s="286"/>
      <c r="I30" s="285"/>
      <c r="L30" s="316"/>
    </row>
    <row r="31" spans="1:12">
      <c r="A31" s="531" t="s">
        <v>2065</v>
      </c>
      <c r="B31" s="532">
        <v>-2.1128945809472777E-2</v>
      </c>
      <c r="C31" s="535">
        <v>-0.14017403864741801</v>
      </c>
      <c r="D31" s="533">
        <v>1.7377774709058261E-4</v>
      </c>
      <c r="E31" s="533">
        <v>3.5615799303452349E-4</v>
      </c>
      <c r="F31" s="533">
        <v>5.299357401251061E-4</v>
      </c>
      <c r="G31" s="316"/>
      <c r="H31" s="286"/>
      <c r="I31" s="285"/>
      <c r="L31" s="316"/>
    </row>
    <row r="32" spans="1:12">
      <c r="A32" s="534" t="s">
        <v>2064</v>
      </c>
      <c r="B32" s="532">
        <v>-2.1128945809472777E-2</v>
      </c>
      <c r="C32" s="535">
        <v>-0.14017403864741801</v>
      </c>
      <c r="D32" s="533">
        <v>1.7377774709058261E-4</v>
      </c>
      <c r="E32" s="533">
        <v>3.5615799303452349E-4</v>
      </c>
      <c r="F32" s="533">
        <v>5.299357401251061E-4</v>
      </c>
      <c r="G32" s="316"/>
      <c r="H32" s="286"/>
      <c r="L32" s="316"/>
    </row>
    <row r="33" spans="1:28">
      <c r="A33" s="531" t="s">
        <v>2133</v>
      </c>
      <c r="B33" s="532">
        <v>-2.4297423887587821E-2</v>
      </c>
      <c r="C33" s="535">
        <v>-4.5203498261566805E-2</v>
      </c>
      <c r="D33" s="533">
        <v>1.8152199964554513E-4</v>
      </c>
      <c r="E33" s="533">
        <v>0</v>
      </c>
      <c r="F33" s="533">
        <v>1.8152199964554513E-4</v>
      </c>
      <c r="G33" s="316"/>
      <c r="H33" s="286"/>
      <c r="I33" s="285"/>
      <c r="L33" s="316"/>
    </row>
    <row r="34" spans="1:28">
      <c r="A34" s="534" t="s">
        <v>2132</v>
      </c>
      <c r="B34" s="532">
        <v>-2.4297423887587821E-2</v>
      </c>
      <c r="C34" s="535">
        <v>-4.5203498261566805E-2</v>
      </c>
      <c r="D34" s="533">
        <v>1.8152199964554513E-4</v>
      </c>
      <c r="E34" s="533">
        <v>0</v>
      </c>
      <c r="F34" s="533">
        <v>1.8152199964554513E-4</v>
      </c>
      <c r="G34" s="316"/>
      <c r="H34" s="286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531" t="s">
        <v>2259</v>
      </c>
      <c r="B35" s="532">
        <v>1.4311272822245341E-2</v>
      </c>
      <c r="C35" s="535">
        <v>0.9701039023910677</v>
      </c>
      <c r="D35" s="533">
        <v>4.2224508077995555E-3</v>
      </c>
      <c r="E35" s="533">
        <v>2.8903116386336698E-3</v>
      </c>
      <c r="F35" s="533">
        <v>7.1127624464332262E-3</v>
      </c>
      <c r="G35" s="286"/>
      <c r="H35" s="286"/>
      <c r="I35" s="285"/>
      <c r="L35" s="316"/>
    </row>
    <row r="36" spans="1:28">
      <c r="A36" s="534" t="s">
        <v>81</v>
      </c>
      <c r="B36" s="532">
        <v>1.8668066642990588E-2</v>
      </c>
      <c r="C36" s="535">
        <v>0.43028584620656191</v>
      </c>
      <c r="D36" s="533">
        <v>3.7030994570786714E-4</v>
      </c>
      <c r="E36" s="533">
        <v>1.8879308709520576E-3</v>
      </c>
      <c r="F36" s="533">
        <v>2.2582408166599249E-3</v>
      </c>
      <c r="G36" s="286"/>
      <c r="H36" s="286"/>
      <c r="I36" s="285"/>
      <c r="L36" s="316"/>
    </row>
    <row r="37" spans="1:28">
      <c r="A37" s="534" t="s">
        <v>90</v>
      </c>
      <c r="B37" s="532">
        <v>2.535798200115269E-2</v>
      </c>
      <c r="C37" s="535">
        <v>0.35724806905191153</v>
      </c>
      <c r="D37" s="533">
        <v>6.7567575857844858E-4</v>
      </c>
      <c r="E37" s="533">
        <v>7.4330036043924444E-4</v>
      </c>
      <c r="F37" s="533">
        <v>1.418976119017693E-3</v>
      </c>
      <c r="G37" s="286"/>
      <c r="H37" s="286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534" t="s">
        <v>399</v>
      </c>
      <c r="B38" s="532">
        <v>1.330972091832372E-2</v>
      </c>
      <c r="C38" s="535">
        <v>0.18442294870099349</v>
      </c>
      <c r="D38" s="533">
        <v>1.1332043820374295E-3</v>
      </c>
      <c r="E38" s="533">
        <v>2.5908040724236783E-4</v>
      </c>
      <c r="F38" s="533">
        <v>1.3922847892797975E-3</v>
      </c>
      <c r="G38" s="286"/>
      <c r="H38" s="286"/>
      <c r="I38" s="285"/>
      <c r="L38" s="316"/>
      <c r="AA38" s="319"/>
      <c r="AB38" s="319"/>
    </row>
    <row r="39" spans="1:28">
      <c r="A39" s="534" t="s">
        <v>2152</v>
      </c>
      <c r="B39" s="532">
        <v>-9.0678273485633731E-5</v>
      </c>
      <c r="C39" s="535">
        <v>-1.8529615683993397E-3</v>
      </c>
      <c r="D39" s="533">
        <v>2.0432607214758104E-3</v>
      </c>
      <c r="E39" s="533">
        <v>0</v>
      </c>
      <c r="F39" s="533">
        <v>2.0432607214758104E-3</v>
      </c>
      <c r="G39" s="286"/>
      <c r="H39" s="286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531" t="s">
        <v>2265</v>
      </c>
      <c r="B40" s="532">
        <v>-1.4435150169061679E-3</v>
      </c>
      <c r="C40" s="535">
        <v>-0.13027488360181841</v>
      </c>
      <c r="D40" s="533">
        <v>-2.4636668186531929E-5</v>
      </c>
      <c r="E40" s="533">
        <v>0</v>
      </c>
      <c r="F40" s="533">
        <v>-2.4636668186531929E-5</v>
      </c>
      <c r="G40" s="286"/>
      <c r="H40" s="286"/>
      <c r="L40" s="316"/>
    </row>
    <row r="41" spans="1:28">
      <c r="A41" s="534" t="s">
        <v>88</v>
      </c>
      <c r="B41" s="532">
        <v>-1.0778665675525101E-2</v>
      </c>
      <c r="C41" s="535">
        <v>-0.11073949373315689</v>
      </c>
      <c r="D41" s="533">
        <v>1.0163212502441183E-3</v>
      </c>
      <c r="E41" s="533">
        <v>0</v>
      </c>
      <c r="F41" s="533">
        <v>1.0163212502441183E-3</v>
      </c>
      <c r="G41" s="286"/>
      <c r="H41" s="286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534" t="s">
        <v>4</v>
      </c>
      <c r="B42" s="532">
        <v>1.5801628783276289E-3</v>
      </c>
      <c r="C42" s="535">
        <v>-1.4919679295121975E-2</v>
      </c>
      <c r="D42" s="533">
        <v>-9.4567813378304566E-4</v>
      </c>
      <c r="E42" s="533">
        <v>0</v>
      </c>
      <c r="F42" s="533">
        <v>-9.4567813378304566E-4</v>
      </c>
      <c r="G42" s="286"/>
      <c r="H42" s="286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534" t="s">
        <v>2284</v>
      </c>
      <c r="B43" s="532">
        <v>4.8679577464789681E-3</v>
      </c>
      <c r="C43" s="535">
        <v>-4.6157105735395564E-3</v>
      </c>
      <c r="D43" s="533">
        <v>-9.5279784647604601E-5</v>
      </c>
      <c r="E43" s="533">
        <v>0</v>
      </c>
      <c r="F43" s="533">
        <v>-9.5279784647604601E-5</v>
      </c>
      <c r="G43" s="286"/>
      <c r="H43" s="286"/>
      <c r="I43" s="285"/>
      <c r="L43" s="316"/>
    </row>
    <row r="44" spans="1:28">
      <c r="A44" s="531" t="s">
        <v>97</v>
      </c>
      <c r="B44" s="532">
        <v>-5.4058102381878493E-3</v>
      </c>
      <c r="C44" s="535">
        <v>1.6173939088522427</v>
      </c>
      <c r="D44" s="533">
        <v>1.120067301001226E-2</v>
      </c>
      <c r="E44" s="533">
        <v>1.2041111559165461E-2</v>
      </c>
      <c r="F44" s="533">
        <v>2.3241784569177717E-2</v>
      </c>
      <c r="G44" s="286"/>
      <c r="H44" s="286"/>
      <c r="I44" s="285"/>
      <c r="L44" s="316"/>
      <c r="S44" s="317"/>
      <c r="T44" s="317"/>
      <c r="U44" s="317"/>
    </row>
    <row r="45" spans="1:28">
      <c r="A45"/>
      <c r="B45"/>
      <c r="C45"/>
      <c r="D45"/>
      <c r="E45"/>
      <c r="F45"/>
      <c r="G45" s="286"/>
      <c r="H45" s="286"/>
      <c r="I45" s="285"/>
      <c r="L45" s="316"/>
    </row>
    <row r="46" spans="1:28">
      <c r="A46"/>
      <c r="B46"/>
      <c r="C46"/>
      <c r="D46"/>
      <c r="E46"/>
      <c r="F46"/>
      <c r="G46" s="286"/>
      <c r="H46" s="286"/>
      <c r="I46" s="285"/>
    </row>
    <row r="47" spans="1:28">
      <c r="A47"/>
      <c r="B47"/>
      <c r="C47"/>
      <c r="D47"/>
      <c r="E47"/>
      <c r="F47"/>
      <c r="G47" s="286"/>
      <c r="H47" s="286"/>
      <c r="I47" s="285"/>
    </row>
    <row r="48" spans="1:28">
      <c r="A48"/>
      <c r="B48"/>
      <c r="C48"/>
      <c r="D48"/>
      <c r="E48"/>
      <c r="F48"/>
      <c r="G48" s="286"/>
      <c r="H48" s="286"/>
      <c r="I48" s="285"/>
    </row>
    <row r="49" spans="1:35">
      <c r="A49"/>
      <c r="B49"/>
      <c r="C49"/>
      <c r="D49"/>
      <c r="E49"/>
      <c r="F49"/>
      <c r="G49" s="286"/>
      <c r="H49" s="286"/>
      <c r="I49" s="285"/>
    </row>
    <row r="50" spans="1:35">
      <c r="A50"/>
      <c r="B50"/>
      <c r="C50"/>
      <c r="D50"/>
      <c r="E50"/>
      <c r="F50"/>
      <c r="G50" s="286"/>
      <c r="H50" s="286"/>
      <c r="I50" s="285"/>
    </row>
    <row r="51" spans="1:35">
      <c r="A51"/>
      <c r="B51"/>
      <c r="C51"/>
      <c r="D51"/>
      <c r="E51"/>
      <c r="F51"/>
      <c r="G51" s="286"/>
      <c r="H51" s="286"/>
      <c r="I51" s="286"/>
    </row>
    <row r="52" spans="1:35">
      <c r="A52"/>
      <c r="B52"/>
      <c r="C52"/>
      <c r="D52"/>
      <c r="E52"/>
      <c r="F52"/>
      <c r="G52" s="286"/>
      <c r="H52" s="286"/>
      <c r="I52" s="285"/>
    </row>
    <row r="53" spans="1:35">
      <c r="A53"/>
      <c r="B53"/>
      <c r="C53"/>
      <c r="D53"/>
      <c r="E53"/>
      <c r="F53"/>
      <c r="G53" s="286"/>
      <c r="H53" s="286"/>
      <c r="I53" s="285"/>
    </row>
    <row r="54" spans="1:35">
      <c r="A54"/>
      <c r="B54"/>
      <c r="C54"/>
      <c r="D54"/>
      <c r="E54"/>
      <c r="F54"/>
      <c r="G54" s="286"/>
      <c r="H54" s="286"/>
      <c r="I54" s="285"/>
    </row>
    <row r="55" spans="1:35">
      <c r="A55"/>
      <c r="B55"/>
      <c r="C55"/>
      <c r="D55"/>
      <c r="E55"/>
      <c r="F55"/>
      <c r="G55" s="286"/>
      <c r="H55" s="286"/>
      <c r="I55" s="286"/>
    </row>
    <row r="56" spans="1:35">
      <c r="A56"/>
      <c r="B56"/>
      <c r="C56"/>
      <c r="D56"/>
      <c r="E56"/>
      <c r="F56"/>
      <c r="G56" s="286"/>
      <c r="H56" s="286"/>
      <c r="I56" s="286"/>
    </row>
    <row r="57" spans="1:35">
      <c r="A57"/>
      <c r="B57"/>
      <c r="C57"/>
      <c r="D57"/>
      <c r="E57"/>
      <c r="F57"/>
      <c r="G57" s="286"/>
      <c r="H57" s="286"/>
      <c r="I57" s="286"/>
    </row>
    <row r="58" spans="1:35">
      <c r="A58"/>
      <c r="B58"/>
      <c r="C58"/>
      <c r="D58"/>
      <c r="E58"/>
      <c r="F58"/>
      <c r="G58" s="286"/>
      <c r="H58" s="286"/>
      <c r="I58" s="286"/>
    </row>
    <row r="59" spans="1:35">
      <c r="A59"/>
      <c r="B59"/>
      <c r="C59"/>
      <c r="D59"/>
      <c r="E59"/>
      <c r="F59"/>
      <c r="G59" s="286"/>
      <c r="H59" s="286"/>
      <c r="I59" s="286"/>
    </row>
    <row r="60" spans="1:35">
      <c r="A60"/>
      <c r="B60"/>
      <c r="C60"/>
      <c r="D60"/>
      <c r="E60"/>
      <c r="F60"/>
      <c r="G60" s="286"/>
      <c r="H60" s="286"/>
      <c r="I60" s="286"/>
    </row>
    <row r="61" spans="1:35">
      <c r="A61"/>
      <c r="B61"/>
      <c r="C61"/>
      <c r="D61"/>
      <c r="E61"/>
      <c r="F61"/>
      <c r="G61" s="286"/>
      <c r="H61" s="286"/>
      <c r="I61" s="286"/>
      <c r="AI61" s="320"/>
    </row>
    <row r="62" spans="1:35">
      <c r="A62"/>
      <c r="B62"/>
      <c r="C62"/>
      <c r="D62"/>
      <c r="E62"/>
      <c r="F62"/>
      <c r="G62" s="286"/>
      <c r="H62" s="286"/>
      <c r="I62" s="286"/>
      <c r="AI62" s="320"/>
    </row>
    <row r="63" spans="1:35">
      <c r="A63"/>
      <c r="B63"/>
      <c r="C63"/>
      <c r="D63"/>
      <c r="E63"/>
      <c r="F63"/>
      <c r="G63" s="286"/>
      <c r="H63" s="286"/>
      <c r="I63" s="286"/>
      <c r="AI63" s="320"/>
    </row>
    <row r="64" spans="1:35">
      <c r="A64"/>
      <c r="B64"/>
      <c r="C64"/>
      <c r="D64"/>
      <c r="E64"/>
      <c r="F64"/>
      <c r="G64" s="286"/>
      <c r="H64" s="286"/>
      <c r="I64" s="286"/>
      <c r="AI64" s="320"/>
    </row>
    <row r="65" spans="1:9">
      <c r="A65"/>
      <c r="B65"/>
      <c r="C65"/>
      <c r="D65"/>
      <c r="E65"/>
      <c r="F65"/>
      <c r="G65" s="286"/>
      <c r="H65" s="286"/>
      <c r="I65" s="286"/>
    </row>
    <row r="66" spans="1:9">
      <c r="A66"/>
      <c r="B66"/>
      <c r="C66"/>
      <c r="D66"/>
      <c r="E66"/>
      <c r="F66"/>
      <c r="G66" s="286"/>
      <c r="H66" s="286"/>
      <c r="I66" s="286"/>
    </row>
    <row r="67" spans="1:9">
      <c r="A67"/>
      <c r="B67"/>
      <c r="C67"/>
      <c r="D67"/>
      <c r="E67"/>
      <c r="F67"/>
      <c r="G67" s="286"/>
      <c r="H67" s="286"/>
      <c r="I67" s="286"/>
    </row>
    <row r="68" spans="1:9">
      <c r="A68"/>
      <c r="B68"/>
      <c r="C68"/>
      <c r="D68"/>
      <c r="E68"/>
      <c r="F68"/>
      <c r="G68" s="286"/>
      <c r="H68" s="286"/>
      <c r="I68" s="286"/>
    </row>
    <row r="69" spans="1:9">
      <c r="A69"/>
      <c r="B69"/>
      <c r="C69"/>
      <c r="D69"/>
      <c r="E69"/>
      <c r="F69"/>
      <c r="G69" s="286"/>
      <c r="H69" s="286"/>
      <c r="I69" s="286"/>
    </row>
    <row r="70" spans="1:9">
      <c r="A70"/>
      <c r="B70"/>
      <c r="C70"/>
      <c r="D70"/>
      <c r="E70"/>
      <c r="F70"/>
      <c r="G70" s="286"/>
      <c r="H70" s="286"/>
      <c r="I70" s="286"/>
    </row>
    <row r="71" spans="1:9">
      <c r="A71"/>
      <c r="B71"/>
      <c r="C71"/>
      <c r="D71"/>
      <c r="E71"/>
      <c r="F71"/>
      <c r="G71" s="286"/>
      <c r="H71" s="286"/>
      <c r="I71" s="286"/>
    </row>
    <row r="72" spans="1:9">
      <c r="A72"/>
      <c r="B72"/>
      <c r="C72"/>
      <c r="D72"/>
      <c r="E72"/>
      <c r="F72"/>
      <c r="G72" s="286"/>
      <c r="H72" s="286"/>
      <c r="I72" s="286"/>
    </row>
    <row r="73" spans="1:9">
      <c r="A73"/>
      <c r="B73"/>
      <c r="C73"/>
      <c r="D73"/>
      <c r="E73"/>
      <c r="F73"/>
      <c r="G73" s="286"/>
      <c r="H73" s="286"/>
    </row>
    <row r="74" spans="1:9">
      <c r="A74"/>
      <c r="B74"/>
      <c r="C74"/>
      <c r="D74"/>
      <c r="E74"/>
      <c r="F74"/>
      <c r="G74" s="286"/>
      <c r="H74" s="286"/>
    </row>
    <row r="75" spans="1:9">
      <c r="A75"/>
      <c r="B75"/>
      <c r="C75"/>
      <c r="D75"/>
      <c r="E75"/>
      <c r="F75"/>
      <c r="G75" s="286"/>
      <c r="H75" s="286"/>
    </row>
    <row r="76" spans="1:9">
      <c r="A76"/>
      <c r="B76"/>
      <c r="C76"/>
      <c r="D76"/>
      <c r="E76"/>
      <c r="F76"/>
      <c r="G76" s="286"/>
      <c r="H76" s="286"/>
    </row>
    <row r="77" spans="1:9">
      <c r="A77"/>
      <c r="B77"/>
      <c r="C77"/>
      <c r="D77"/>
      <c r="E77"/>
      <c r="F77"/>
      <c r="G77" s="286"/>
      <c r="H77" s="286"/>
    </row>
    <row r="78" spans="1:9">
      <c r="A78"/>
      <c r="B78"/>
      <c r="C78"/>
      <c r="D78"/>
      <c r="E78"/>
      <c r="F78"/>
      <c r="G78" s="286"/>
      <c r="H78" s="286"/>
    </row>
    <row r="79" spans="1:9">
      <c r="A79"/>
      <c r="B79"/>
      <c r="C79"/>
      <c r="D79"/>
      <c r="E79"/>
      <c r="F79"/>
      <c r="G79" s="286"/>
      <c r="H79" s="286"/>
    </row>
    <row r="80" spans="1:9">
      <c r="A80"/>
      <c r="B80"/>
      <c r="C80"/>
      <c r="D80"/>
      <c r="E80"/>
      <c r="F80"/>
      <c r="G80" s="286"/>
      <c r="H80" s="286"/>
    </row>
    <row r="81" spans="1:8">
      <c r="A81"/>
      <c r="B81"/>
      <c r="C81"/>
      <c r="D81"/>
      <c r="E81"/>
      <c r="F81"/>
      <c r="G81" s="286"/>
      <c r="H81" s="286"/>
    </row>
    <row r="82" spans="1:8">
      <c r="A82"/>
      <c r="B82"/>
      <c r="C82"/>
      <c r="D82"/>
      <c r="E82"/>
      <c r="F82"/>
      <c r="G82" s="286"/>
      <c r="H82" s="286"/>
    </row>
    <row r="83" spans="1:8">
      <c r="A83"/>
      <c r="B83"/>
      <c r="C83"/>
      <c r="D83"/>
      <c r="E83"/>
      <c r="F83"/>
      <c r="G83" s="286"/>
      <c r="H83" s="286"/>
    </row>
    <row r="84" spans="1:8">
      <c r="A84"/>
      <c r="B84"/>
      <c r="C84"/>
      <c r="D84"/>
      <c r="E84"/>
      <c r="F84"/>
      <c r="G84" s="286"/>
      <c r="H84" s="286"/>
    </row>
    <row r="85" spans="1:8">
      <c r="A85"/>
      <c r="B85"/>
      <c r="C85"/>
      <c r="D85"/>
      <c r="E85"/>
      <c r="F85"/>
      <c r="G85" s="286"/>
      <c r="H85" s="286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765" priority="10111" operator="lessThan">
      <formula>0</formula>
    </cfRule>
  </conditionalFormatting>
  <conditionalFormatting sqref="H86:H1048576 F1:H9 F12:G12 G10:G11">
    <cfRule type="cellIs" dxfId="1764" priority="10108" operator="lessThan">
      <formula>0</formula>
    </cfRule>
    <cfRule type="cellIs" dxfId="1763" priority="10109" operator="lessThan">
      <formula>0</formula>
    </cfRule>
  </conditionalFormatting>
  <conditionalFormatting sqref="F136:G1048576 G86:G135">
    <cfRule type="cellIs" dxfId="1762" priority="5744" operator="lessThan">
      <formula>0</formula>
    </cfRule>
  </conditionalFormatting>
  <conditionalFormatting sqref="F136:G1048576 G86:G135">
    <cfRule type="cellIs" dxfId="1761" priority="5743" operator="lessThan">
      <formula>0</formula>
    </cfRule>
  </conditionalFormatting>
  <conditionalFormatting sqref="F136:G1048576 G86:G135">
    <cfRule type="cellIs" dxfId="1760" priority="5741" operator="lessThan">
      <formula>0</formula>
    </cfRule>
    <cfRule type="cellIs" dxfId="1759" priority="5742" operator="lessThan">
      <formula>0</formula>
    </cfRule>
  </conditionalFormatting>
  <conditionalFormatting sqref="F136:G1048576 G86:G135">
    <cfRule type="cellIs" dxfId="1758" priority="5740" operator="lessThan">
      <formula>0</formula>
    </cfRule>
  </conditionalFormatting>
  <conditionalFormatting sqref="F136:G1048576 G86:G135">
    <cfRule type="cellIs" dxfId="1757" priority="5739" operator="lessThan">
      <formula>0</formula>
    </cfRule>
  </conditionalFormatting>
  <conditionalFormatting sqref="F136:G1048576 G86:G135">
    <cfRule type="cellIs" dxfId="1756" priority="5738" operator="lessThan">
      <formula>0</formula>
    </cfRule>
  </conditionalFormatting>
  <conditionalFormatting sqref="F136:G1048576 G86:G135">
    <cfRule type="cellIs" dxfId="1755" priority="5737" operator="lessThan">
      <formula>0</formula>
    </cfRule>
  </conditionalFormatting>
  <conditionalFormatting sqref="F136:G1048576 G86:G135">
    <cfRule type="cellIs" dxfId="1754" priority="5736" operator="lessThan">
      <formula>0</formula>
    </cfRule>
  </conditionalFormatting>
  <conditionalFormatting sqref="F136:G1048576 G86:G135">
    <cfRule type="cellIs" dxfId="1753" priority="5735" operator="lessThan">
      <formula>0</formula>
    </cfRule>
  </conditionalFormatting>
  <conditionalFormatting sqref="F136:G1048576 G86:G135">
    <cfRule type="cellIs" dxfId="1752" priority="5734" operator="lessThan">
      <formula>0</formula>
    </cfRule>
  </conditionalFormatting>
  <conditionalFormatting sqref="F136:G1048576 G86:G135">
    <cfRule type="cellIs" dxfId="1751" priority="5733" operator="lessThan">
      <formula>0</formula>
    </cfRule>
  </conditionalFormatting>
  <conditionalFormatting sqref="F136:G1048576 G86:G135">
    <cfRule type="cellIs" dxfId="1750" priority="5732" operator="lessThan">
      <formula>0</formula>
    </cfRule>
  </conditionalFormatting>
  <conditionalFormatting sqref="F136:G1048576 G86:G135">
    <cfRule type="cellIs" dxfId="1749" priority="5731" operator="lessThan">
      <formula>0</formula>
    </cfRule>
  </conditionalFormatting>
  <conditionalFormatting sqref="F136:G1048576 G86:G135">
    <cfRule type="cellIs" dxfId="1748" priority="5730" operator="lessThan">
      <formula>0</formula>
    </cfRule>
  </conditionalFormatting>
  <conditionalFormatting sqref="F136:G1048576 G86:G135">
    <cfRule type="cellIs" dxfId="1747" priority="5729" operator="lessThan">
      <formula>0</formula>
    </cfRule>
  </conditionalFormatting>
  <conditionalFormatting sqref="F136:G1048576 G86:G135">
    <cfRule type="cellIs" dxfId="1746" priority="5728" operator="lessThan">
      <formula>0</formula>
    </cfRule>
  </conditionalFormatting>
  <conditionalFormatting sqref="F136:G1048576 G86:G135">
    <cfRule type="cellIs" dxfId="1745" priority="5727" operator="lessThan">
      <formula>0</formula>
    </cfRule>
  </conditionalFormatting>
  <conditionalFormatting sqref="F136:G1048576 G86:G135">
    <cfRule type="cellIs" dxfId="1744" priority="5726" operator="lessThan">
      <formula>0</formula>
    </cfRule>
  </conditionalFormatting>
  <conditionalFormatting sqref="F136:G1048576 G86:G135">
    <cfRule type="cellIs" dxfId="1743" priority="5725" operator="lessThan">
      <formula>0</formula>
    </cfRule>
  </conditionalFormatting>
  <conditionalFormatting sqref="F136:G1048576 G86:G135">
    <cfRule type="cellIs" dxfId="1742" priority="5724" operator="lessThan">
      <formula>0</formula>
    </cfRule>
  </conditionalFormatting>
  <conditionalFormatting sqref="F136:G1048576 G86:G135">
    <cfRule type="cellIs" dxfId="1741" priority="5723" operator="lessThan">
      <formula>0</formula>
    </cfRule>
  </conditionalFormatting>
  <conditionalFormatting sqref="F136:G1048576 G86:G135">
    <cfRule type="cellIs" dxfId="1740" priority="5722" operator="lessThan">
      <formula>0</formula>
    </cfRule>
  </conditionalFormatting>
  <conditionalFormatting sqref="F136:G1048576 G86:G135">
    <cfRule type="cellIs" dxfId="1739" priority="5721" operator="lessThan">
      <formula>0</formula>
    </cfRule>
  </conditionalFormatting>
  <conditionalFormatting sqref="F136:G1048576 G86:G135">
    <cfRule type="cellIs" dxfId="1738" priority="5720" operator="lessThan">
      <formula>0</formula>
    </cfRule>
  </conditionalFormatting>
  <conditionalFormatting sqref="F136:G1048576 G86:G135">
    <cfRule type="cellIs" dxfId="1737" priority="5719" operator="lessThan">
      <formula>0</formula>
    </cfRule>
  </conditionalFormatting>
  <conditionalFormatting sqref="F136:G1048576 G86:G135">
    <cfRule type="cellIs" dxfId="1736" priority="5718" operator="lessThan">
      <formula>0</formula>
    </cfRule>
  </conditionalFormatting>
  <conditionalFormatting sqref="F136:G1048576 G86:G135">
    <cfRule type="cellIs" dxfId="1735" priority="5717" operator="lessThan">
      <formula>0</formula>
    </cfRule>
  </conditionalFormatting>
  <conditionalFormatting sqref="F136:G1048576 G86:G135">
    <cfRule type="cellIs" dxfId="1734" priority="5716" operator="lessThan">
      <formula>0</formula>
    </cfRule>
  </conditionalFormatting>
  <conditionalFormatting sqref="F136:G1048576 G86:G135">
    <cfRule type="cellIs" dxfId="1733" priority="5715" operator="lessThan">
      <formula>0</formula>
    </cfRule>
  </conditionalFormatting>
  <conditionalFormatting sqref="F136:G1048576 G86:G135">
    <cfRule type="cellIs" dxfId="1732" priority="5714" operator="lessThan">
      <formula>0</formula>
    </cfRule>
  </conditionalFormatting>
  <conditionalFormatting sqref="F136:G1048576 G86:G135">
    <cfRule type="cellIs" dxfId="1731" priority="5713" operator="lessThan">
      <formula>0</formula>
    </cfRule>
  </conditionalFormatting>
  <conditionalFormatting sqref="F136:G1048576 G86:G135">
    <cfRule type="cellIs" dxfId="1730" priority="5712" operator="lessThan">
      <formula>0</formula>
    </cfRule>
  </conditionalFormatting>
  <conditionalFormatting sqref="F136:G1048576 G86:G135">
    <cfRule type="cellIs" dxfId="1729" priority="5711" operator="lessThan">
      <formula>0</formula>
    </cfRule>
  </conditionalFormatting>
  <conditionalFormatting sqref="F136:G1048576 G86:G135">
    <cfRule type="cellIs" dxfId="1728" priority="5710" operator="lessThan">
      <formula>0</formula>
    </cfRule>
  </conditionalFormatting>
  <conditionalFormatting sqref="F136:G1048576 G86:G135">
    <cfRule type="cellIs" dxfId="1727" priority="5709" operator="lessThan">
      <formula>0</formula>
    </cfRule>
  </conditionalFormatting>
  <conditionalFormatting sqref="F136:G1048576 G86:G135">
    <cfRule type="cellIs" dxfId="1726" priority="5708" operator="lessThan">
      <formula>0</formula>
    </cfRule>
  </conditionalFormatting>
  <conditionalFormatting sqref="F136:G1048576 G86:G135">
    <cfRule type="cellIs" dxfId="1725" priority="5707" operator="lessThan">
      <formula>0</formula>
    </cfRule>
  </conditionalFormatting>
  <conditionalFormatting sqref="F136:G1048576 G86:G135">
    <cfRule type="cellIs" dxfId="1724" priority="5706" operator="lessThan">
      <formula>0</formula>
    </cfRule>
  </conditionalFormatting>
  <conditionalFormatting sqref="F136:G1048576 G86:G135">
    <cfRule type="cellIs" dxfId="1723" priority="5705" operator="lessThan">
      <formula>0</formula>
    </cfRule>
  </conditionalFormatting>
  <conditionalFormatting sqref="F136:G1048576 G86:G135">
    <cfRule type="cellIs" dxfId="1722" priority="5704" operator="lessThan">
      <formula>0</formula>
    </cfRule>
  </conditionalFormatting>
  <conditionalFormatting sqref="F136:G1048576 G86:G135">
    <cfRule type="cellIs" dxfId="1721" priority="5703" operator="lessThan">
      <formula>0</formula>
    </cfRule>
  </conditionalFormatting>
  <conditionalFormatting sqref="F136:G1048576 G86:G135">
    <cfRule type="cellIs" dxfId="1720" priority="5702" operator="lessThan">
      <formula>0</formula>
    </cfRule>
  </conditionalFormatting>
  <conditionalFormatting sqref="F136:G1048576 G86:G135">
    <cfRule type="cellIs" dxfId="1719" priority="5701" operator="lessThan">
      <formula>0</formula>
    </cfRule>
  </conditionalFormatting>
  <conditionalFormatting sqref="F136:G1048576 G86:G135">
    <cfRule type="cellIs" dxfId="1718" priority="5700" operator="lessThan">
      <formula>0</formula>
    </cfRule>
  </conditionalFormatting>
  <conditionalFormatting sqref="F136:G1048576 G86:G135">
    <cfRule type="cellIs" dxfId="1717" priority="5699" operator="lessThan">
      <formula>0</formula>
    </cfRule>
  </conditionalFormatting>
  <conditionalFormatting sqref="F136:G1048576 G86:G135">
    <cfRule type="cellIs" dxfId="1716" priority="5698" operator="lessThan">
      <formula>0</formula>
    </cfRule>
  </conditionalFormatting>
  <conditionalFormatting sqref="F136:G1048576 G86:G135">
    <cfRule type="cellIs" dxfId="1715" priority="5697" operator="lessThan">
      <formula>0</formula>
    </cfRule>
  </conditionalFormatting>
  <conditionalFormatting sqref="F136:G1048576 G86:G135">
    <cfRule type="cellIs" dxfId="1714" priority="5696" operator="lessThan">
      <formula>0</formula>
    </cfRule>
  </conditionalFormatting>
  <conditionalFormatting sqref="F136:G1048576 G86:G135">
    <cfRule type="cellIs" dxfId="1713" priority="5695" operator="lessThan">
      <formula>0</formula>
    </cfRule>
  </conditionalFormatting>
  <conditionalFormatting sqref="F136:G1048576 G86:G135">
    <cfRule type="cellIs" dxfId="1712" priority="5694" operator="lessThan">
      <formula>0</formula>
    </cfRule>
  </conditionalFormatting>
  <conditionalFormatting sqref="F136:G1048576 G86:G135">
    <cfRule type="cellIs" dxfId="1711" priority="5693" operator="lessThan">
      <formula>0</formula>
    </cfRule>
  </conditionalFormatting>
  <conditionalFormatting sqref="F136:G1048576 G86:G135">
    <cfRule type="cellIs" dxfId="1710" priority="5692" operator="lessThan">
      <formula>0</formula>
    </cfRule>
  </conditionalFormatting>
  <conditionalFormatting sqref="F136:G1048576 G86:G135">
    <cfRule type="cellIs" dxfId="1709" priority="5691" operator="lessThan">
      <formula>0</formula>
    </cfRule>
  </conditionalFormatting>
  <conditionalFormatting sqref="F136:G1048576 G86:G135">
    <cfRule type="cellIs" dxfId="1708" priority="5690" operator="lessThan">
      <formula>0</formula>
    </cfRule>
  </conditionalFormatting>
  <conditionalFormatting sqref="F136:G1048576 G86:G135">
    <cfRule type="cellIs" dxfId="1707" priority="5689" operator="lessThan">
      <formula>0</formula>
    </cfRule>
  </conditionalFormatting>
  <conditionalFormatting sqref="F136:G1048576 G86:G135">
    <cfRule type="cellIs" dxfId="1706" priority="5688" operator="lessThan">
      <formula>0</formula>
    </cfRule>
  </conditionalFormatting>
  <conditionalFormatting sqref="F136:G1048576 G86:G135">
    <cfRule type="cellIs" dxfId="1705" priority="5687" operator="lessThan">
      <formula>0</formula>
    </cfRule>
  </conditionalFormatting>
  <conditionalFormatting sqref="F136:G1048576 G86:G135">
    <cfRule type="cellIs" dxfId="1704" priority="5686" operator="lessThan">
      <formula>0</formula>
    </cfRule>
  </conditionalFormatting>
  <conditionalFormatting sqref="F136:G1048576 G86:G135">
    <cfRule type="cellIs" dxfId="1703" priority="5685" operator="lessThan">
      <formula>0</formula>
    </cfRule>
  </conditionalFormatting>
  <conditionalFormatting sqref="F136:G1048576 G86:G135">
    <cfRule type="cellIs" dxfId="1702" priority="5684" operator="lessThan">
      <formula>0</formula>
    </cfRule>
  </conditionalFormatting>
  <conditionalFormatting sqref="F136:G1048576 G86:G135">
    <cfRule type="cellIs" dxfId="1701" priority="5683" operator="lessThan">
      <formula>0</formula>
    </cfRule>
  </conditionalFormatting>
  <conditionalFormatting sqref="F136:G1048576 G86:G135">
    <cfRule type="cellIs" dxfId="1700" priority="5682" operator="lessThan">
      <formula>0</formula>
    </cfRule>
  </conditionalFormatting>
  <conditionalFormatting sqref="F136:G1048576 G86:G135">
    <cfRule type="cellIs" dxfId="1699" priority="5681" operator="lessThan">
      <formula>0</formula>
    </cfRule>
  </conditionalFormatting>
  <conditionalFormatting sqref="F136:G1048576 G86:G135">
    <cfRule type="cellIs" dxfId="1698" priority="5680" operator="lessThan">
      <formula>0</formula>
    </cfRule>
  </conditionalFormatting>
  <conditionalFormatting sqref="F136:G1048576 G86:G135">
    <cfRule type="cellIs" dxfId="1697" priority="5679" operator="lessThan">
      <formula>0</formula>
    </cfRule>
  </conditionalFormatting>
  <conditionalFormatting sqref="F136:G1048576 G86:G135">
    <cfRule type="cellIs" dxfId="1696" priority="5678" operator="lessThan">
      <formula>0</formula>
    </cfRule>
  </conditionalFormatting>
  <conditionalFormatting sqref="F136:G1048576 G86:G135">
    <cfRule type="cellIs" dxfId="1695" priority="5677" operator="lessThan">
      <formula>0</formula>
    </cfRule>
  </conditionalFormatting>
  <conditionalFormatting sqref="F136:G1048576 G86:G135">
    <cfRule type="cellIs" dxfId="1694" priority="5676" operator="lessThan">
      <formula>0</formula>
    </cfRule>
  </conditionalFormatting>
  <conditionalFormatting sqref="F136:G1048576 G86:G135">
    <cfRule type="cellIs" dxfId="1693" priority="5675" operator="lessThan">
      <formula>0</formula>
    </cfRule>
  </conditionalFormatting>
  <conditionalFormatting sqref="F136:G1048576 G86:G135">
    <cfRule type="cellIs" dxfId="1692" priority="5674" operator="lessThan">
      <formula>0</formula>
    </cfRule>
  </conditionalFormatting>
  <conditionalFormatting sqref="F136:G1048576 G86:G135">
    <cfRule type="cellIs" dxfId="1691" priority="5673" operator="lessThan">
      <formula>0</formula>
    </cfRule>
  </conditionalFormatting>
  <conditionalFormatting sqref="F136:G1048576 G86:G135">
    <cfRule type="cellIs" dxfId="1690" priority="5672" operator="lessThan">
      <formula>0</formula>
    </cfRule>
  </conditionalFormatting>
  <conditionalFormatting sqref="F136:G1048576 G86:G135">
    <cfRule type="cellIs" dxfId="1689" priority="5671" operator="lessThan">
      <formula>0</formula>
    </cfRule>
  </conditionalFormatting>
  <conditionalFormatting sqref="F136:G1048576 G86:G135">
    <cfRule type="cellIs" dxfId="1688" priority="5670" operator="lessThan">
      <formula>0</formula>
    </cfRule>
  </conditionalFormatting>
  <conditionalFormatting sqref="F136:G1048576 G86:G135">
    <cfRule type="cellIs" dxfId="1687" priority="5669" operator="lessThan">
      <formula>0</formula>
    </cfRule>
  </conditionalFormatting>
  <conditionalFormatting sqref="F136:G1048576 G86:G135">
    <cfRule type="cellIs" dxfId="1686" priority="5668" operator="lessThan">
      <formula>0</formula>
    </cfRule>
  </conditionalFormatting>
  <conditionalFormatting sqref="F136:G1048576 G86:G135">
    <cfRule type="cellIs" dxfId="1685" priority="5667" operator="lessThan">
      <formula>0</formula>
    </cfRule>
  </conditionalFormatting>
  <conditionalFormatting sqref="F136:G1048576 G86:G135">
    <cfRule type="cellIs" dxfId="1684" priority="5666" operator="lessThan">
      <formula>0</formula>
    </cfRule>
  </conditionalFormatting>
  <conditionalFormatting sqref="F136:G1048576 G86:G135">
    <cfRule type="cellIs" dxfId="1683" priority="5665" operator="lessThan">
      <formula>0</formula>
    </cfRule>
  </conditionalFormatting>
  <conditionalFormatting sqref="F136:G1048576 G86:G135">
    <cfRule type="cellIs" dxfId="1682" priority="5664" operator="lessThan">
      <formula>0</formula>
    </cfRule>
  </conditionalFormatting>
  <conditionalFormatting sqref="F136:G1048576 G86:G135">
    <cfRule type="cellIs" dxfId="1681" priority="5663" operator="lessThan">
      <formula>0</formula>
    </cfRule>
  </conditionalFormatting>
  <conditionalFormatting sqref="F136:G1048576 G86:G135">
    <cfRule type="cellIs" dxfId="1680" priority="5662" operator="lessThan">
      <formula>0</formula>
    </cfRule>
  </conditionalFormatting>
  <conditionalFormatting sqref="F136:G1048576 G86:G135">
    <cfRule type="cellIs" dxfId="1679" priority="5661" operator="lessThan">
      <formula>0</formula>
    </cfRule>
  </conditionalFormatting>
  <conditionalFormatting sqref="F136:G1048576 G86:G135">
    <cfRule type="cellIs" dxfId="1678" priority="5660" operator="lessThan">
      <formula>0</formula>
    </cfRule>
  </conditionalFormatting>
  <conditionalFormatting sqref="F136:G1048576 G86:G135">
    <cfRule type="cellIs" dxfId="1677" priority="5659" operator="lessThan">
      <formula>0</formula>
    </cfRule>
  </conditionalFormatting>
  <conditionalFormatting sqref="F136:G1048576 G86:G135">
    <cfRule type="cellIs" dxfId="1676" priority="5658" operator="lessThan">
      <formula>0</formula>
    </cfRule>
  </conditionalFormatting>
  <conditionalFormatting sqref="F136:G1048576 G86:G135">
    <cfRule type="cellIs" dxfId="1675" priority="5657" operator="lessThan">
      <formula>0</formula>
    </cfRule>
  </conditionalFormatting>
  <conditionalFormatting sqref="F136:G1048576 G86:G135">
    <cfRule type="cellIs" dxfId="1674" priority="5656" operator="lessThan">
      <formula>0</formula>
    </cfRule>
  </conditionalFormatting>
  <conditionalFormatting sqref="F136:G1048576 G86:G135">
    <cfRule type="cellIs" dxfId="1673" priority="5655" operator="lessThan">
      <formula>0</formula>
    </cfRule>
  </conditionalFormatting>
  <conditionalFormatting sqref="F136:G1048576 G86:G135">
    <cfRule type="cellIs" dxfId="1672" priority="5654" operator="lessThan">
      <formula>0</formula>
    </cfRule>
  </conditionalFormatting>
  <conditionalFormatting sqref="F136:G1048576 G86:G135">
    <cfRule type="cellIs" dxfId="1671" priority="5653" operator="lessThan">
      <formula>0</formula>
    </cfRule>
  </conditionalFormatting>
  <conditionalFormatting sqref="F136:G1048576 G86:G135">
    <cfRule type="cellIs" dxfId="1670" priority="5652" operator="lessThan">
      <formula>0</formula>
    </cfRule>
  </conditionalFormatting>
  <conditionalFormatting sqref="F136:G1048576 G86:G135">
    <cfRule type="cellIs" dxfId="1669" priority="5651" operator="lessThan">
      <formula>0</formula>
    </cfRule>
  </conditionalFormatting>
  <conditionalFormatting sqref="F136:G1048576 G86:G135">
    <cfRule type="cellIs" dxfId="1668" priority="5650" operator="lessThan">
      <formula>0</formula>
    </cfRule>
  </conditionalFormatting>
  <conditionalFormatting sqref="F136:G1048576 G86:G135">
    <cfRule type="cellIs" dxfId="1667" priority="5649" operator="lessThan">
      <formula>0</formula>
    </cfRule>
  </conditionalFormatting>
  <conditionalFormatting sqref="F136:G1048576 G86:G135">
    <cfRule type="cellIs" dxfId="1666" priority="5648" operator="lessThan">
      <formula>0</formula>
    </cfRule>
  </conditionalFormatting>
  <conditionalFormatting sqref="F136:G1048576 G86:G135">
    <cfRule type="cellIs" dxfId="1665" priority="5647" operator="lessThan">
      <formula>0</formula>
    </cfRule>
  </conditionalFormatting>
  <conditionalFormatting sqref="F136:G1048576 G86:G135">
    <cfRule type="cellIs" dxfId="1664" priority="5646" operator="lessThan">
      <formula>0</formula>
    </cfRule>
  </conditionalFormatting>
  <conditionalFormatting sqref="F136:G1048576 G86:G135">
    <cfRule type="cellIs" dxfId="1663" priority="5645" operator="lessThan">
      <formula>0</formula>
    </cfRule>
  </conditionalFormatting>
  <conditionalFormatting sqref="F136:G1048576 G86:G135">
    <cfRule type="cellIs" dxfId="1662" priority="5644" operator="lessThan">
      <formula>0</formula>
    </cfRule>
  </conditionalFormatting>
  <conditionalFormatting sqref="F136:G1048576 G86:G135">
    <cfRule type="cellIs" dxfId="1661" priority="5643" operator="lessThan">
      <formula>0</formula>
    </cfRule>
  </conditionalFormatting>
  <conditionalFormatting sqref="F136:G1048576 G86:G135">
    <cfRule type="cellIs" dxfId="1660" priority="5642" operator="lessThan">
      <formula>0</formula>
    </cfRule>
  </conditionalFormatting>
  <conditionalFormatting sqref="F136:G1048576 G86:G135">
    <cfRule type="cellIs" dxfId="1659" priority="5641" operator="lessThan">
      <formula>0</formula>
    </cfRule>
  </conditionalFormatting>
  <conditionalFormatting sqref="F136:G1048576 G86:G135">
    <cfRule type="cellIs" dxfId="1658" priority="5640" operator="lessThan">
      <formula>0</formula>
    </cfRule>
  </conditionalFormatting>
  <conditionalFormatting sqref="F136:G1048576 G86:G135">
    <cfRule type="cellIs" dxfId="1657" priority="5639" operator="lessThan">
      <formula>0</formula>
    </cfRule>
  </conditionalFormatting>
  <conditionalFormatting sqref="F136:G1048576 G86:G135">
    <cfRule type="cellIs" dxfId="1656" priority="5638" operator="lessThan">
      <formula>0</formula>
    </cfRule>
  </conditionalFormatting>
  <conditionalFormatting sqref="F136:G1048576 G86:G135">
    <cfRule type="cellIs" dxfId="1655" priority="5637" operator="lessThan">
      <formula>0</formula>
    </cfRule>
  </conditionalFormatting>
  <conditionalFormatting sqref="F136:G1048576 G86:G135">
    <cfRule type="cellIs" dxfId="1654" priority="5636" operator="lessThan">
      <formula>0</formula>
    </cfRule>
  </conditionalFormatting>
  <conditionalFormatting sqref="F136:G1048576 G86:G135">
    <cfRule type="cellIs" dxfId="1653" priority="5635" operator="lessThan">
      <formula>0</formula>
    </cfRule>
  </conditionalFormatting>
  <conditionalFormatting sqref="F136:G1048576 G86:G135">
    <cfRule type="cellIs" dxfId="1652" priority="5634" operator="lessThan">
      <formula>0</formula>
    </cfRule>
  </conditionalFormatting>
  <conditionalFormatting sqref="F136:G1048576 G86:G135">
    <cfRule type="cellIs" dxfId="1651" priority="5633" operator="lessThan">
      <formula>0</formula>
    </cfRule>
  </conditionalFormatting>
  <conditionalFormatting sqref="F136:G1048576 G86:G135">
    <cfRule type="cellIs" dxfId="1650" priority="5632" operator="lessThan">
      <formula>0</formula>
    </cfRule>
  </conditionalFormatting>
  <conditionalFormatting sqref="F136:G1048576 G86:G135">
    <cfRule type="cellIs" dxfId="1649" priority="5631" operator="lessThan">
      <formula>0</formula>
    </cfRule>
  </conditionalFormatting>
  <conditionalFormatting sqref="F136:G1048576 G86:G135">
    <cfRule type="cellIs" dxfId="1648" priority="5630" operator="lessThan">
      <formula>0</formula>
    </cfRule>
  </conditionalFormatting>
  <conditionalFormatting sqref="F136:G1048576 G86:G135">
    <cfRule type="cellIs" dxfId="1647" priority="5629" operator="lessThan">
      <formula>0</formula>
    </cfRule>
  </conditionalFormatting>
  <conditionalFormatting sqref="F136:G1048576 G86:G135">
    <cfRule type="cellIs" dxfId="1646" priority="5628" operator="lessThan">
      <formula>0</formula>
    </cfRule>
  </conditionalFormatting>
  <conditionalFormatting sqref="F136:G1048576 G86:G135">
    <cfRule type="cellIs" dxfId="1645" priority="5627" operator="lessThan">
      <formula>0</formula>
    </cfRule>
  </conditionalFormatting>
  <conditionalFormatting sqref="F136:G1048576 G86:G135">
    <cfRule type="cellIs" dxfId="1644" priority="5626" operator="lessThan">
      <formula>0</formula>
    </cfRule>
  </conditionalFormatting>
  <conditionalFormatting sqref="F136:G1048576 G86:G135">
    <cfRule type="cellIs" dxfId="1643" priority="5625" operator="lessThan">
      <formula>0</formula>
    </cfRule>
  </conditionalFormatting>
  <conditionalFormatting sqref="F136:G1048576 G86:G135">
    <cfRule type="cellIs" dxfId="1642" priority="5624" operator="lessThan">
      <formula>0</formula>
    </cfRule>
  </conditionalFormatting>
  <conditionalFormatting sqref="F136:G1048576 G86:G135">
    <cfRule type="cellIs" dxfId="1641" priority="5623" operator="lessThan">
      <formula>0</formula>
    </cfRule>
  </conditionalFormatting>
  <conditionalFormatting sqref="F136:G1048576 G86:G135">
    <cfRule type="cellIs" dxfId="1640" priority="5622" operator="lessThan">
      <formula>0</formula>
    </cfRule>
  </conditionalFormatting>
  <conditionalFormatting sqref="F136:G1048576 G86:G135">
    <cfRule type="cellIs" dxfId="1639" priority="5621" operator="lessThan">
      <formula>0</formula>
    </cfRule>
  </conditionalFormatting>
  <conditionalFormatting sqref="F136:G1048576 G86:G135">
    <cfRule type="cellIs" dxfId="1638" priority="5620" operator="lessThan">
      <formula>0</formula>
    </cfRule>
  </conditionalFormatting>
  <conditionalFormatting sqref="F136:G1048576 G86:G135">
    <cfRule type="cellIs" dxfId="1637" priority="5619" operator="lessThan">
      <formula>0</formula>
    </cfRule>
  </conditionalFormatting>
  <conditionalFormatting sqref="F136:G1048576 G86:G135">
    <cfRule type="cellIs" dxfId="1636" priority="5618" operator="lessThan">
      <formula>0</formula>
    </cfRule>
  </conditionalFormatting>
  <conditionalFormatting sqref="F136:G1048576 G86:G135">
    <cfRule type="cellIs" dxfId="1635" priority="5617" operator="lessThan">
      <formula>0</formula>
    </cfRule>
  </conditionalFormatting>
  <conditionalFormatting sqref="F136:G1048576 G86:G135">
    <cfRule type="cellIs" dxfId="1634" priority="5616" operator="lessThan">
      <formula>0</formula>
    </cfRule>
  </conditionalFormatting>
  <conditionalFormatting sqref="F136:G1048576 G86:G135">
    <cfRule type="cellIs" dxfId="1633" priority="5615" operator="lessThan">
      <formula>0</formula>
    </cfRule>
  </conditionalFormatting>
  <conditionalFormatting sqref="F136:G1048576 G86:G135">
    <cfRule type="cellIs" dxfId="1632" priority="5614" operator="lessThan">
      <formula>0</formula>
    </cfRule>
  </conditionalFormatting>
  <conditionalFormatting sqref="F136:G1048576 G86:G135">
    <cfRule type="cellIs" dxfId="1631" priority="5613" operator="lessThan">
      <formula>0</formula>
    </cfRule>
  </conditionalFormatting>
  <conditionalFormatting sqref="F136:G1048576 G86:G135">
    <cfRule type="cellIs" dxfId="1630" priority="5612" operator="lessThan">
      <formula>0</formula>
    </cfRule>
  </conditionalFormatting>
  <conditionalFormatting sqref="F136:G1048576 G86:G135">
    <cfRule type="cellIs" dxfId="1629" priority="5611" operator="lessThan">
      <formula>0</formula>
    </cfRule>
  </conditionalFormatting>
  <conditionalFormatting sqref="F136:G1048576 G86:G135">
    <cfRule type="cellIs" dxfId="1628" priority="5610" operator="lessThan">
      <formula>0</formula>
    </cfRule>
  </conditionalFormatting>
  <conditionalFormatting sqref="F136:G1048576 G86:G135">
    <cfRule type="cellIs" dxfId="1627" priority="5609" operator="lessThan">
      <formula>0</formula>
    </cfRule>
  </conditionalFormatting>
  <conditionalFormatting sqref="F136:G1048576 G86:G135">
    <cfRule type="cellIs" dxfId="1626" priority="5608" operator="lessThan">
      <formula>0</formula>
    </cfRule>
  </conditionalFormatting>
  <conditionalFormatting sqref="F136:G1048576 G86:G135">
    <cfRule type="cellIs" dxfId="1625" priority="5607" operator="lessThan">
      <formula>0</formula>
    </cfRule>
  </conditionalFormatting>
  <conditionalFormatting sqref="F136:G1048576 G86:G135">
    <cfRule type="cellIs" dxfId="1624" priority="5606" operator="lessThan">
      <formula>0</formula>
    </cfRule>
  </conditionalFormatting>
  <conditionalFormatting sqref="F136:G1048576 G86:G135">
    <cfRule type="cellIs" dxfId="1623" priority="5605" operator="lessThan">
      <formula>0</formula>
    </cfRule>
  </conditionalFormatting>
  <conditionalFormatting sqref="F136:G1048576 G86:G135">
    <cfRule type="cellIs" dxfId="1622" priority="5604" operator="lessThan">
      <formula>0</formula>
    </cfRule>
  </conditionalFormatting>
  <conditionalFormatting sqref="F136:G1048576 G86:G135">
    <cfRule type="cellIs" dxfId="1621" priority="5603" operator="lessThan">
      <formula>0</formula>
    </cfRule>
  </conditionalFormatting>
  <conditionalFormatting sqref="F136:G1048576 G86:G135">
    <cfRule type="cellIs" dxfId="1620" priority="5602" operator="lessThan">
      <formula>0</formula>
    </cfRule>
  </conditionalFormatting>
  <conditionalFormatting sqref="F136:G1048576 G86:G135">
    <cfRule type="cellIs" dxfId="1619" priority="5601" operator="lessThan">
      <formula>0</formula>
    </cfRule>
  </conditionalFormatting>
  <conditionalFormatting sqref="F136:G1048576 G86:G135">
    <cfRule type="cellIs" dxfId="1618" priority="5600" operator="lessThan">
      <formula>0</formula>
    </cfRule>
  </conditionalFormatting>
  <conditionalFormatting sqref="F136:G1048576 G86:G135">
    <cfRule type="cellIs" dxfId="1617" priority="5599" operator="lessThan">
      <formula>0</formula>
    </cfRule>
  </conditionalFormatting>
  <conditionalFormatting sqref="F136:G1048576 G86:G135">
    <cfRule type="cellIs" dxfId="1616" priority="5598" operator="lessThan">
      <formula>0</formula>
    </cfRule>
  </conditionalFormatting>
  <conditionalFormatting sqref="F136:G1048576 G86:G135">
    <cfRule type="cellIs" dxfId="1615" priority="5597" operator="lessThan">
      <formula>0</formula>
    </cfRule>
  </conditionalFormatting>
  <conditionalFormatting sqref="F136:G1048576 G86:G135">
    <cfRule type="cellIs" dxfId="1614" priority="5596" operator="lessThan">
      <formula>0</formula>
    </cfRule>
  </conditionalFormatting>
  <conditionalFormatting sqref="F136:G1048576 G86:G135">
    <cfRule type="cellIs" dxfId="1613" priority="5595" operator="lessThan">
      <formula>0</formula>
    </cfRule>
  </conditionalFormatting>
  <conditionalFormatting sqref="F136:G1048576 G86:G135">
    <cfRule type="cellIs" dxfId="1612" priority="5594" operator="lessThan">
      <formula>0</formula>
    </cfRule>
  </conditionalFormatting>
  <conditionalFormatting sqref="F136:G1048576 G86:G135">
    <cfRule type="cellIs" dxfId="1611" priority="5593" operator="lessThan">
      <formula>0</formula>
    </cfRule>
  </conditionalFormatting>
  <conditionalFormatting sqref="F136:G1048576 G86:G135">
    <cfRule type="cellIs" dxfId="1610" priority="5592" operator="lessThan">
      <formula>0</formula>
    </cfRule>
  </conditionalFormatting>
  <conditionalFormatting sqref="F136:G1048576 G86:G135">
    <cfRule type="cellIs" dxfId="1609" priority="5591" operator="lessThan">
      <formula>0</formula>
    </cfRule>
  </conditionalFormatting>
  <conditionalFormatting sqref="F136:G1048576 G86:G135">
    <cfRule type="cellIs" dxfId="1608" priority="5590" operator="lessThan">
      <formula>0</formula>
    </cfRule>
  </conditionalFormatting>
  <conditionalFormatting sqref="F136:G1048576 G86:G135">
    <cfRule type="cellIs" dxfId="1607" priority="5589" operator="lessThan">
      <formula>0</formula>
    </cfRule>
  </conditionalFormatting>
  <conditionalFormatting sqref="F136:G1048576 G86:G135">
    <cfRule type="cellIs" dxfId="1606" priority="5588" operator="lessThan">
      <formula>0</formula>
    </cfRule>
  </conditionalFormatting>
  <conditionalFormatting sqref="F136:G1048576 G86:G135">
    <cfRule type="cellIs" dxfId="1605" priority="5587" operator="lessThan">
      <formula>0</formula>
    </cfRule>
  </conditionalFormatting>
  <conditionalFormatting sqref="F136:G1048576 G86:G135">
    <cfRule type="cellIs" dxfId="1604" priority="5586" operator="lessThan">
      <formula>0</formula>
    </cfRule>
  </conditionalFormatting>
  <conditionalFormatting sqref="F136:G1048576 G86:G135">
    <cfRule type="cellIs" dxfId="1603" priority="5585" operator="lessThan">
      <formula>0</formula>
    </cfRule>
  </conditionalFormatting>
  <conditionalFormatting sqref="F136:G1048576 G86:G135">
    <cfRule type="cellIs" dxfId="1602" priority="5584" operator="lessThan">
      <formula>0</formula>
    </cfRule>
  </conditionalFormatting>
  <conditionalFormatting sqref="F136:G1048576 G86:G135">
    <cfRule type="cellIs" dxfId="1601" priority="5583" operator="lessThan">
      <formula>0</formula>
    </cfRule>
  </conditionalFormatting>
  <conditionalFormatting sqref="F136:G1048576 G86:G135">
    <cfRule type="cellIs" dxfId="1600" priority="5582" operator="lessThan">
      <formula>0</formula>
    </cfRule>
  </conditionalFormatting>
  <conditionalFormatting sqref="F136:G1048576 G86:G135">
    <cfRule type="cellIs" dxfId="1599" priority="5581" operator="lessThan">
      <formula>0</formula>
    </cfRule>
  </conditionalFormatting>
  <conditionalFormatting sqref="F136:G1048576 G86:G135">
    <cfRule type="cellIs" dxfId="1598" priority="5580" operator="lessThan">
      <formula>0</formula>
    </cfRule>
  </conditionalFormatting>
  <conditionalFormatting sqref="F136:G1048576 G86:G135">
    <cfRule type="cellIs" dxfId="1597" priority="5579" operator="lessThan">
      <formula>0</formula>
    </cfRule>
  </conditionalFormatting>
  <conditionalFormatting sqref="F136:G1048576 G86:G135">
    <cfRule type="cellIs" dxfId="1596" priority="5578" operator="lessThan">
      <formula>0</formula>
    </cfRule>
  </conditionalFormatting>
  <conditionalFormatting sqref="F136:G1048576 G86:G135">
    <cfRule type="cellIs" dxfId="1595" priority="5577" operator="lessThan">
      <formula>0</formula>
    </cfRule>
  </conditionalFormatting>
  <conditionalFormatting sqref="F136:G1048576 G86:G135">
    <cfRule type="cellIs" dxfId="1594" priority="5576" operator="lessThan">
      <formula>0</formula>
    </cfRule>
  </conditionalFormatting>
  <conditionalFormatting sqref="F136:G1048576 G86:G135">
    <cfRule type="cellIs" dxfId="1593" priority="5575" operator="lessThan">
      <formula>0</formula>
    </cfRule>
  </conditionalFormatting>
  <conditionalFormatting sqref="F136:G1048576 G86:G135">
    <cfRule type="cellIs" dxfId="1592" priority="5574" operator="lessThan">
      <formula>0</formula>
    </cfRule>
  </conditionalFormatting>
  <conditionalFormatting sqref="F136:G1048576 G86:G135">
    <cfRule type="cellIs" dxfId="1591" priority="5573" operator="lessThan">
      <formula>0</formula>
    </cfRule>
  </conditionalFormatting>
  <conditionalFormatting sqref="F136:G1048576 G86:G135">
    <cfRule type="cellIs" dxfId="1590" priority="5572" operator="lessThan">
      <formula>0</formula>
    </cfRule>
  </conditionalFormatting>
  <conditionalFormatting sqref="F136:G1048576 G86:G135">
    <cfRule type="cellIs" dxfId="1589" priority="5571" operator="lessThan">
      <formula>0</formula>
    </cfRule>
  </conditionalFormatting>
  <conditionalFormatting sqref="F136:G1048576 G86:G135">
    <cfRule type="cellIs" dxfId="1588" priority="5570" operator="lessThan">
      <formula>0</formula>
    </cfRule>
  </conditionalFormatting>
  <conditionalFormatting sqref="F136:G1048576 G86:G135">
    <cfRule type="cellIs" dxfId="1587" priority="5569" operator="lessThan">
      <formula>0</formula>
    </cfRule>
  </conditionalFormatting>
  <conditionalFormatting sqref="F136:G1048576 G86:G135">
    <cfRule type="cellIs" dxfId="1586" priority="5568" operator="lessThan">
      <formula>0</formula>
    </cfRule>
  </conditionalFormatting>
  <conditionalFormatting sqref="F136:G1048576 G86:G135">
    <cfRule type="cellIs" dxfId="1585" priority="5567" operator="lessThan">
      <formula>0</formula>
    </cfRule>
  </conditionalFormatting>
  <conditionalFormatting sqref="F136:G1048576 G86:G135">
    <cfRule type="cellIs" dxfId="1584" priority="5566" operator="lessThan">
      <formula>0</formula>
    </cfRule>
  </conditionalFormatting>
  <conditionalFormatting sqref="F136:G1048576 G86:G135">
    <cfRule type="cellIs" dxfId="1583" priority="5565" operator="lessThan">
      <formula>0</formula>
    </cfRule>
  </conditionalFormatting>
  <conditionalFormatting sqref="F136:G1048576 G86:G135">
    <cfRule type="cellIs" dxfId="1582" priority="5564" operator="lessThan">
      <formula>0</formula>
    </cfRule>
  </conditionalFormatting>
  <conditionalFormatting sqref="F136:G1048576 G86:G135">
    <cfRule type="cellIs" dxfId="1581" priority="5563" operator="lessThan">
      <formula>0</formula>
    </cfRule>
  </conditionalFormatting>
  <conditionalFormatting sqref="F136:G1048576 G86:G135">
    <cfRule type="cellIs" dxfId="1580" priority="5562" operator="lessThan">
      <formula>0</formula>
    </cfRule>
  </conditionalFormatting>
  <conditionalFormatting sqref="F136:G1048576 G86:G135">
    <cfRule type="cellIs" dxfId="1579" priority="5561" operator="lessThan">
      <formula>0</formula>
    </cfRule>
  </conditionalFormatting>
  <conditionalFormatting sqref="F136:G1048576 G86:G135">
    <cfRule type="cellIs" dxfId="1578" priority="5560" operator="lessThan">
      <formula>0</formula>
    </cfRule>
  </conditionalFormatting>
  <conditionalFormatting sqref="F136:G1048576 G86:G135">
    <cfRule type="cellIs" dxfId="1577" priority="5559" operator="lessThan">
      <formula>0</formula>
    </cfRule>
  </conditionalFormatting>
  <conditionalFormatting sqref="F136:G1048576 G86:G135">
    <cfRule type="cellIs" dxfId="1576" priority="5558" operator="lessThan">
      <formula>0</formula>
    </cfRule>
  </conditionalFormatting>
  <conditionalFormatting sqref="F136:G1048576 G86:G135">
    <cfRule type="cellIs" dxfId="1575" priority="5557" operator="lessThan">
      <formula>0</formula>
    </cfRule>
  </conditionalFormatting>
  <conditionalFormatting sqref="F136:G1048576 G86:G135">
    <cfRule type="cellIs" dxfId="1574" priority="5556" operator="lessThan">
      <formula>0</formula>
    </cfRule>
  </conditionalFormatting>
  <conditionalFormatting sqref="F136:G1048576 G86:G135">
    <cfRule type="cellIs" dxfId="1573" priority="5555" operator="lessThan">
      <formula>0</formula>
    </cfRule>
  </conditionalFormatting>
  <conditionalFormatting sqref="F136:G1048576 G86:G135">
    <cfRule type="cellIs" dxfId="1572" priority="5554" operator="lessThan">
      <formula>0</formula>
    </cfRule>
  </conditionalFormatting>
  <conditionalFormatting sqref="F136:G1048576 G86:G135">
    <cfRule type="cellIs" dxfId="1571" priority="5553" operator="lessThan">
      <formula>0</formula>
    </cfRule>
  </conditionalFormatting>
  <conditionalFormatting sqref="F136:G1048576 G86:G135">
    <cfRule type="cellIs" dxfId="1570" priority="5552" operator="lessThan">
      <formula>0</formula>
    </cfRule>
  </conditionalFormatting>
  <conditionalFormatting sqref="F136:G1048576 G86:G135">
    <cfRule type="cellIs" dxfId="1569" priority="5551" operator="lessThan">
      <formula>0</formula>
    </cfRule>
  </conditionalFormatting>
  <conditionalFormatting sqref="F136:G1048576 G86:G135">
    <cfRule type="cellIs" dxfId="1568" priority="5550" operator="lessThan">
      <formula>0</formula>
    </cfRule>
  </conditionalFormatting>
  <conditionalFormatting sqref="F136:G1048576 G86:G135">
    <cfRule type="cellIs" dxfId="1567" priority="5549" operator="lessThan">
      <formula>0</formula>
    </cfRule>
  </conditionalFormatting>
  <conditionalFormatting sqref="F136:G1048576 G86:G135">
    <cfRule type="cellIs" dxfId="1566" priority="5548" operator="lessThan">
      <formula>0</formula>
    </cfRule>
  </conditionalFormatting>
  <conditionalFormatting sqref="F136:G1048576 G86:G135">
    <cfRule type="cellIs" dxfId="1565" priority="5547" operator="lessThan">
      <formula>0</formula>
    </cfRule>
  </conditionalFormatting>
  <conditionalFormatting sqref="F136:G1048576 G86:G135">
    <cfRule type="cellIs" dxfId="1564" priority="5546" operator="lessThan">
      <formula>0</formula>
    </cfRule>
  </conditionalFormatting>
  <conditionalFormatting sqref="F136:G1048576 G86:G135">
    <cfRule type="cellIs" dxfId="1563" priority="5545" operator="lessThan">
      <formula>0</formula>
    </cfRule>
  </conditionalFormatting>
  <conditionalFormatting sqref="F136:G1048576 G86:G135">
    <cfRule type="cellIs" dxfId="1562" priority="5544" operator="lessThan">
      <formula>0</formula>
    </cfRule>
  </conditionalFormatting>
  <conditionalFormatting sqref="F136:G1048576 G86:G135">
    <cfRule type="cellIs" dxfId="1561" priority="5543" operator="lessThan">
      <formula>0</formula>
    </cfRule>
  </conditionalFormatting>
  <conditionalFormatting sqref="F136:G1048576 G86:G135">
    <cfRule type="cellIs" dxfId="1560" priority="5542" operator="lessThan">
      <formula>0</formula>
    </cfRule>
  </conditionalFormatting>
  <conditionalFormatting sqref="F136:G1048576 G86:G135">
    <cfRule type="cellIs" dxfId="1559" priority="5541" operator="lessThan">
      <formula>0</formula>
    </cfRule>
  </conditionalFormatting>
  <conditionalFormatting sqref="F136:G1048576 G86:G135">
    <cfRule type="cellIs" dxfId="1558" priority="5540" operator="lessThan">
      <formula>0</formula>
    </cfRule>
  </conditionalFormatting>
  <conditionalFormatting sqref="F136:G1048576 G86:G135">
    <cfRule type="cellIs" dxfId="1557" priority="5539" operator="lessThan">
      <formula>0</formula>
    </cfRule>
  </conditionalFormatting>
  <conditionalFormatting sqref="F136:G1048576 G86:G135">
    <cfRule type="cellIs" dxfId="1556" priority="5538" operator="lessThan">
      <formula>0</formula>
    </cfRule>
  </conditionalFormatting>
  <conditionalFormatting sqref="F136:G1048576 G86:G135">
    <cfRule type="cellIs" dxfId="1555" priority="5537" operator="lessThan">
      <formula>0</formula>
    </cfRule>
  </conditionalFormatting>
  <conditionalFormatting sqref="F136:G1048576 G86:G135">
    <cfRule type="cellIs" dxfId="1554" priority="5536" operator="lessThan">
      <formula>0</formula>
    </cfRule>
  </conditionalFormatting>
  <conditionalFormatting sqref="F136:G1048576 G86:G135">
    <cfRule type="cellIs" dxfId="1553" priority="5535" operator="lessThan">
      <formula>0</formula>
    </cfRule>
  </conditionalFormatting>
  <conditionalFormatting sqref="F136:G1048576 G86:G135">
    <cfRule type="cellIs" dxfId="1552" priority="5534" operator="lessThan">
      <formula>0</formula>
    </cfRule>
  </conditionalFormatting>
  <conditionalFormatting sqref="F136:G1048576 G86:G135">
    <cfRule type="cellIs" dxfId="1551" priority="5533" operator="lessThan">
      <formula>0</formula>
    </cfRule>
  </conditionalFormatting>
  <conditionalFormatting sqref="F136:G1048576 G86:G135">
    <cfRule type="cellIs" dxfId="1550" priority="5532" operator="lessThan">
      <formula>0</formula>
    </cfRule>
  </conditionalFormatting>
  <conditionalFormatting sqref="F136:G1048576 G86:G135">
    <cfRule type="cellIs" dxfId="1549" priority="5531" operator="lessThan">
      <formula>0</formula>
    </cfRule>
  </conditionalFormatting>
  <conditionalFormatting sqref="F136:G1048576 G86:G135">
    <cfRule type="cellIs" dxfId="1548" priority="5530" operator="lessThan">
      <formula>0</formula>
    </cfRule>
  </conditionalFormatting>
  <conditionalFormatting sqref="F136:G1048576 G86:G135">
    <cfRule type="cellIs" dxfId="1547" priority="5529" operator="lessThan">
      <formula>0</formula>
    </cfRule>
  </conditionalFormatting>
  <conditionalFormatting sqref="F136:G1048576 G86:G135">
    <cfRule type="cellIs" dxfId="1546" priority="5528" operator="lessThan">
      <formula>0</formula>
    </cfRule>
  </conditionalFormatting>
  <conditionalFormatting sqref="F136:G1048576 G86:G135">
    <cfRule type="cellIs" dxfId="1545" priority="5527" operator="lessThan">
      <formula>0</formula>
    </cfRule>
  </conditionalFormatting>
  <conditionalFormatting sqref="F136:G1048576 G86:G135">
    <cfRule type="cellIs" dxfId="1544" priority="5526" operator="lessThan">
      <formula>0</formula>
    </cfRule>
  </conditionalFormatting>
  <conditionalFormatting sqref="F136:G1048576 G86:G135">
    <cfRule type="cellIs" dxfId="1543" priority="5525" operator="lessThan">
      <formula>0</formula>
    </cfRule>
  </conditionalFormatting>
  <conditionalFormatting sqref="F136:G1048576 G86:G135">
    <cfRule type="cellIs" dxfId="1542" priority="5524" operator="lessThan">
      <formula>0</formula>
    </cfRule>
  </conditionalFormatting>
  <conditionalFormatting sqref="F136:G1048576 G86:G135">
    <cfRule type="cellIs" dxfId="1541" priority="5523" operator="lessThan">
      <formula>0</formula>
    </cfRule>
  </conditionalFormatting>
  <conditionalFormatting sqref="F136:G1048576 G86:G135">
    <cfRule type="cellIs" dxfId="1540" priority="5522" operator="lessThan">
      <formula>0</formula>
    </cfRule>
  </conditionalFormatting>
  <conditionalFormatting sqref="F136:G1048576 G86:G135">
    <cfRule type="cellIs" dxfId="1539" priority="5521" operator="lessThan">
      <formula>0</formula>
    </cfRule>
  </conditionalFormatting>
  <conditionalFormatting sqref="F136:G1048576 G86:G135">
    <cfRule type="cellIs" dxfId="1538" priority="5520" operator="lessThan">
      <formula>0</formula>
    </cfRule>
  </conditionalFormatting>
  <conditionalFormatting sqref="F136:G1048576 G86:G135">
    <cfRule type="cellIs" dxfId="1537" priority="5519" operator="lessThan">
      <formula>0</formula>
    </cfRule>
  </conditionalFormatting>
  <conditionalFormatting sqref="F136:G1048576 G86:G135">
    <cfRule type="cellIs" dxfId="1536" priority="5518" operator="lessThan">
      <formula>0</formula>
    </cfRule>
  </conditionalFormatting>
  <conditionalFormatting sqref="F136:G1048576 G86:G135">
    <cfRule type="cellIs" dxfId="1535" priority="5517" operator="lessThan">
      <formula>0</formula>
    </cfRule>
  </conditionalFormatting>
  <conditionalFormatting sqref="F136:G1048576 G86:G135">
    <cfRule type="cellIs" dxfId="1534" priority="5516" operator="lessThan">
      <formula>0</formula>
    </cfRule>
  </conditionalFormatting>
  <conditionalFormatting sqref="F136:G1048576 G86:G135">
    <cfRule type="cellIs" dxfId="1533" priority="5515" operator="lessThan">
      <formula>0</formula>
    </cfRule>
  </conditionalFormatting>
  <conditionalFormatting sqref="F136:G1048576 G86:G135">
    <cfRule type="cellIs" dxfId="1532" priority="5514" operator="lessThan">
      <formula>0</formula>
    </cfRule>
  </conditionalFormatting>
  <conditionalFormatting sqref="F136:G1048576 G86:G135">
    <cfRule type="cellIs" dxfId="1531" priority="5513" operator="lessThan">
      <formula>0</formula>
    </cfRule>
  </conditionalFormatting>
  <conditionalFormatting sqref="F136:G1048576 G86:G135">
    <cfRule type="cellIs" dxfId="1530" priority="5512" operator="lessThan">
      <formula>0</formula>
    </cfRule>
  </conditionalFormatting>
  <conditionalFormatting sqref="F136:G1048576 G86:G135">
    <cfRule type="cellIs" dxfId="1529" priority="5511" operator="lessThan">
      <formula>0</formula>
    </cfRule>
  </conditionalFormatting>
  <conditionalFormatting sqref="F136:G1048576 G86:G135">
    <cfRule type="cellIs" dxfId="1528" priority="5510" operator="lessThan">
      <formula>0</formula>
    </cfRule>
  </conditionalFormatting>
  <conditionalFormatting sqref="F136:G1048576 G86:G135">
    <cfRule type="cellIs" dxfId="1527" priority="5509" operator="lessThan">
      <formula>0</formula>
    </cfRule>
  </conditionalFormatting>
  <conditionalFormatting sqref="F136:G1048576 G86:G135">
    <cfRule type="cellIs" dxfId="1526" priority="5508" operator="lessThan">
      <formula>0</formula>
    </cfRule>
  </conditionalFormatting>
  <conditionalFormatting sqref="F136:G1048576 G86:G135">
    <cfRule type="cellIs" dxfId="1525" priority="5507" operator="lessThan">
      <formula>0</formula>
    </cfRule>
  </conditionalFormatting>
  <conditionalFormatting sqref="F136:G1048576 G86:G135">
    <cfRule type="cellIs" dxfId="1524" priority="5506" operator="lessThan">
      <formula>0</formula>
    </cfRule>
  </conditionalFormatting>
  <conditionalFormatting sqref="F136:G1048576 G86:G135">
    <cfRule type="cellIs" dxfId="1523" priority="5505" operator="lessThan">
      <formula>0</formula>
    </cfRule>
  </conditionalFormatting>
  <conditionalFormatting sqref="F136:G1048576 G86:G135">
    <cfRule type="cellIs" dxfId="1522" priority="5504" operator="lessThan">
      <formula>0</formula>
    </cfRule>
  </conditionalFormatting>
  <conditionalFormatting sqref="F136:G1048576 G86:G135">
    <cfRule type="cellIs" dxfId="1521" priority="5503" operator="lessThan">
      <formula>0</formula>
    </cfRule>
  </conditionalFormatting>
  <conditionalFormatting sqref="F136:G1048576 G86:G135">
    <cfRule type="cellIs" dxfId="1520" priority="5502" operator="lessThan">
      <formula>0</formula>
    </cfRule>
  </conditionalFormatting>
  <conditionalFormatting sqref="F136:G1048576 G86:G135">
    <cfRule type="cellIs" dxfId="1519" priority="5501" operator="lessThan">
      <formula>0</formula>
    </cfRule>
  </conditionalFormatting>
  <conditionalFormatting sqref="F136:G1048576 G86:G135">
    <cfRule type="cellIs" dxfId="1518" priority="5500" operator="lessThan">
      <formula>0</formula>
    </cfRule>
  </conditionalFormatting>
  <conditionalFormatting sqref="F136:G1048576 G86:G135">
    <cfRule type="cellIs" dxfId="1517" priority="5499" operator="lessThan">
      <formula>0</formula>
    </cfRule>
  </conditionalFormatting>
  <conditionalFormatting sqref="F136:G1048576 G86:G135">
    <cfRule type="cellIs" dxfId="1516" priority="5498" operator="lessThan">
      <formula>0</formula>
    </cfRule>
  </conditionalFormatting>
  <conditionalFormatting sqref="F136:G1048576 G86:G135">
    <cfRule type="cellIs" dxfId="1515" priority="5497" operator="lessThan">
      <formula>0</formula>
    </cfRule>
  </conditionalFormatting>
  <conditionalFormatting sqref="F136:G1048576 G86:G135">
    <cfRule type="cellIs" dxfId="1514" priority="5496" operator="lessThan">
      <formula>0</formula>
    </cfRule>
  </conditionalFormatting>
  <conditionalFormatting sqref="F136:G1048576 G86:G135">
    <cfRule type="cellIs" dxfId="1513" priority="5495" operator="lessThan">
      <formula>0</formula>
    </cfRule>
  </conditionalFormatting>
  <conditionalFormatting sqref="F136:G1048576 G86:G135">
    <cfRule type="cellIs" dxfId="1512" priority="5494" operator="lessThan">
      <formula>0</formula>
    </cfRule>
  </conditionalFormatting>
  <conditionalFormatting sqref="F136:G1048576 G86:G135">
    <cfRule type="cellIs" dxfId="1511" priority="5493" operator="lessThan">
      <formula>0</formula>
    </cfRule>
  </conditionalFormatting>
  <conditionalFormatting sqref="F136:G1048576 G86:G135">
    <cfRule type="cellIs" dxfId="1510" priority="5492" operator="lessThan">
      <formula>0</formula>
    </cfRule>
  </conditionalFormatting>
  <conditionalFormatting sqref="F136:G1048576 G86:G135">
    <cfRule type="cellIs" dxfId="1509" priority="5491" operator="lessThan">
      <formula>0</formula>
    </cfRule>
  </conditionalFormatting>
  <conditionalFormatting sqref="F136:G1048576 G86:G135">
    <cfRule type="cellIs" dxfId="1508" priority="5490" operator="lessThan">
      <formula>0</formula>
    </cfRule>
  </conditionalFormatting>
  <conditionalFormatting sqref="F136:G1048576 G86:G135">
    <cfRule type="cellIs" dxfId="1507" priority="5489" operator="lessThan">
      <formula>0</formula>
    </cfRule>
  </conditionalFormatting>
  <conditionalFormatting sqref="F136:G1048576 G61:G135">
    <cfRule type="cellIs" dxfId="1506" priority="5488" operator="lessThan">
      <formula>0</formula>
    </cfRule>
  </conditionalFormatting>
  <conditionalFormatting sqref="F136:G1048576 G61:G135">
    <cfRule type="cellIs" dxfId="1505" priority="5487" operator="lessThan">
      <formula>0</formula>
    </cfRule>
  </conditionalFormatting>
  <conditionalFormatting sqref="F136:G1048576 G61:G135">
    <cfRule type="cellIs" dxfId="1504" priority="5486" operator="lessThan">
      <formula>0</formula>
    </cfRule>
  </conditionalFormatting>
  <conditionalFormatting sqref="F136:G1048576 G61:G135">
    <cfRule type="cellIs" dxfId="1503" priority="5485" operator="lessThan">
      <formula>0</formula>
    </cfRule>
  </conditionalFormatting>
  <conditionalFormatting sqref="F136:G1048576 G61:G135">
    <cfRule type="cellIs" dxfId="1502" priority="5484" operator="lessThan">
      <formula>0</formula>
    </cfRule>
  </conditionalFormatting>
  <conditionalFormatting sqref="F136:G1048576 G61:G135">
    <cfRule type="cellIs" dxfId="1501" priority="5483" operator="lessThan">
      <formula>0</formula>
    </cfRule>
  </conditionalFormatting>
  <conditionalFormatting sqref="F136:G1048576 G61:G135">
    <cfRule type="cellIs" dxfId="1500" priority="5482" operator="lessThan">
      <formula>0</formula>
    </cfRule>
  </conditionalFormatting>
  <conditionalFormatting sqref="F136:G1048576 G61:G135">
    <cfRule type="cellIs" dxfId="1499" priority="5481" operator="lessThan">
      <formula>0</formula>
    </cfRule>
  </conditionalFormatting>
  <conditionalFormatting sqref="F136:G1048576 G61:G135">
    <cfRule type="cellIs" dxfId="1498" priority="5480" operator="lessThan">
      <formula>0</formula>
    </cfRule>
  </conditionalFormatting>
  <conditionalFormatting sqref="F136:G1048576 G61:G135">
    <cfRule type="cellIs" dxfId="1497" priority="5479" operator="lessThan">
      <formula>0</formula>
    </cfRule>
  </conditionalFormatting>
  <conditionalFormatting sqref="F136:G1048576 G61:G135">
    <cfRule type="cellIs" dxfId="1496" priority="5478" operator="lessThan">
      <formula>0</formula>
    </cfRule>
  </conditionalFormatting>
  <conditionalFormatting sqref="F136:G1048576 G61:G135">
    <cfRule type="cellIs" dxfId="1495" priority="5477" operator="lessThan">
      <formula>0</formula>
    </cfRule>
  </conditionalFormatting>
  <conditionalFormatting sqref="F136:G1048576 G61:G135">
    <cfRule type="cellIs" dxfId="1494" priority="5476" operator="lessThan">
      <formula>0</formula>
    </cfRule>
  </conditionalFormatting>
  <conditionalFormatting sqref="F136:G1048576 G61:G135">
    <cfRule type="cellIs" dxfId="1493" priority="5475" operator="lessThan">
      <formula>0</formula>
    </cfRule>
  </conditionalFormatting>
  <conditionalFormatting sqref="F136:G1048576 G61:G135">
    <cfRule type="cellIs" dxfId="1492" priority="5474" operator="lessThan">
      <formula>0</formula>
    </cfRule>
  </conditionalFormatting>
  <conditionalFormatting sqref="F136:G1048576 G61:G135">
    <cfRule type="cellIs" dxfId="1491" priority="5473" operator="lessThan">
      <formula>0</formula>
    </cfRule>
  </conditionalFormatting>
  <conditionalFormatting sqref="F136:G1048576 G61:G135">
    <cfRule type="cellIs" dxfId="1490" priority="5472" operator="lessThan">
      <formula>0</formula>
    </cfRule>
  </conditionalFormatting>
  <conditionalFormatting sqref="F136:G1048576 G61:G135">
    <cfRule type="cellIs" dxfId="1489" priority="5471" operator="lessThan">
      <formula>0</formula>
    </cfRule>
  </conditionalFormatting>
  <conditionalFormatting sqref="F136:G1048576 G61:G135">
    <cfRule type="cellIs" dxfId="1488" priority="5470" operator="lessThan">
      <formula>0</formula>
    </cfRule>
  </conditionalFormatting>
  <conditionalFormatting sqref="F136:G1048576 G61:G135">
    <cfRule type="cellIs" dxfId="1487" priority="5469" operator="lessThan">
      <formula>0</formula>
    </cfRule>
  </conditionalFormatting>
  <conditionalFormatting sqref="F136:G1048576 G61:G135">
    <cfRule type="cellIs" dxfId="1486" priority="5468" operator="lessThan">
      <formula>0</formula>
    </cfRule>
  </conditionalFormatting>
  <conditionalFormatting sqref="F136:G1048576 G61:G135">
    <cfRule type="cellIs" dxfId="1485" priority="5467" operator="lessThan">
      <formula>0</formula>
    </cfRule>
  </conditionalFormatting>
  <conditionalFormatting sqref="F136:G1048576 G61:G135">
    <cfRule type="cellIs" dxfId="1484" priority="5466" operator="lessThan">
      <formula>0</formula>
    </cfRule>
  </conditionalFormatting>
  <conditionalFormatting sqref="F136:G1048576 G61:G135">
    <cfRule type="cellIs" dxfId="1483" priority="5465" operator="lessThan">
      <formula>0</formula>
    </cfRule>
  </conditionalFormatting>
  <conditionalFormatting sqref="F136:G1048576 G61:G135">
    <cfRule type="cellIs" dxfId="1482" priority="5464" operator="lessThan">
      <formula>0</formula>
    </cfRule>
  </conditionalFormatting>
  <conditionalFormatting sqref="F136:G1048576 G61:G135">
    <cfRule type="cellIs" dxfId="1481" priority="5463" operator="lessThan">
      <formula>0</formula>
    </cfRule>
  </conditionalFormatting>
  <conditionalFormatting sqref="F136:G1048576 G61:G135">
    <cfRule type="cellIs" dxfId="1480" priority="5462" operator="lessThan">
      <formula>0</formula>
    </cfRule>
  </conditionalFormatting>
  <conditionalFormatting sqref="F136:G1048576 G61:G135">
    <cfRule type="cellIs" dxfId="1479" priority="5461" operator="lessThan">
      <formula>0</formula>
    </cfRule>
  </conditionalFormatting>
  <conditionalFormatting sqref="F136:G1048576 G61:G135">
    <cfRule type="cellIs" dxfId="1478" priority="5460" operator="lessThan">
      <formula>0</formula>
    </cfRule>
  </conditionalFormatting>
  <conditionalFormatting sqref="F136:G1048576 G61:G135">
    <cfRule type="cellIs" dxfId="1477" priority="5459" operator="lessThan">
      <formula>0</formula>
    </cfRule>
  </conditionalFormatting>
  <conditionalFormatting sqref="F136:G1048576 G61:G135">
    <cfRule type="cellIs" dxfId="1476" priority="5458" operator="lessThan">
      <formula>0</formula>
    </cfRule>
  </conditionalFormatting>
  <conditionalFormatting sqref="F136:G1048576 G61:G135">
    <cfRule type="cellIs" dxfId="1475" priority="5457" operator="lessThan">
      <formula>0</formula>
    </cfRule>
  </conditionalFormatting>
  <conditionalFormatting sqref="F136:G1048576 G61:G135">
    <cfRule type="cellIs" dxfId="1474" priority="5456" operator="lessThan">
      <formula>0</formula>
    </cfRule>
  </conditionalFormatting>
  <conditionalFormatting sqref="F136:G1048576 G61:G135">
    <cfRule type="cellIs" dxfId="1473" priority="5455" operator="lessThan">
      <formula>0</formula>
    </cfRule>
  </conditionalFormatting>
  <conditionalFormatting sqref="F136:G1048576 G61:G135">
    <cfRule type="cellIs" dxfId="1472" priority="5454" operator="lessThan">
      <formula>0</formula>
    </cfRule>
  </conditionalFormatting>
  <conditionalFormatting sqref="F136:G1048576 G61:G135">
    <cfRule type="cellIs" dxfId="1471" priority="5453" operator="lessThan">
      <formula>0</formula>
    </cfRule>
  </conditionalFormatting>
  <conditionalFormatting sqref="F136:G1048576 G61:G135">
    <cfRule type="cellIs" dxfId="1470" priority="5452" operator="lessThan">
      <formula>0</formula>
    </cfRule>
  </conditionalFormatting>
  <conditionalFormatting sqref="F136:G1048576 G61:G135">
    <cfRule type="cellIs" dxfId="1469" priority="5451" operator="lessThan">
      <formula>0</formula>
    </cfRule>
  </conditionalFormatting>
  <conditionalFormatting sqref="F136:G1048576 G61:G135">
    <cfRule type="cellIs" dxfId="1468" priority="5450" operator="lessThan">
      <formula>0</formula>
    </cfRule>
  </conditionalFormatting>
  <conditionalFormatting sqref="F136:G1048576 G61:G135">
    <cfRule type="cellIs" dxfId="1467" priority="5449" operator="lessThan">
      <formula>0</formula>
    </cfRule>
  </conditionalFormatting>
  <conditionalFormatting sqref="F136:G1048576 G61:G135">
    <cfRule type="cellIs" dxfId="1466" priority="5448" operator="lessThan">
      <formula>0</formula>
    </cfRule>
  </conditionalFormatting>
  <conditionalFormatting sqref="F136:G1048576 G61:G135">
    <cfRule type="cellIs" dxfId="1465" priority="5447" operator="lessThan">
      <formula>0</formula>
    </cfRule>
  </conditionalFormatting>
  <conditionalFormatting sqref="F136:G1048576 G61:G135">
    <cfRule type="cellIs" dxfId="1464" priority="5446" operator="lessThan">
      <formula>0</formula>
    </cfRule>
  </conditionalFormatting>
  <conditionalFormatting sqref="F136:G1048576 G61:G135">
    <cfRule type="cellIs" dxfId="1463" priority="5445" operator="lessThan">
      <formula>0</formula>
    </cfRule>
  </conditionalFormatting>
  <conditionalFormatting sqref="F136:G1048576 G61:G135">
    <cfRule type="cellIs" dxfId="1462" priority="5444" operator="lessThan">
      <formula>0</formula>
    </cfRule>
  </conditionalFormatting>
  <conditionalFormatting sqref="F136:G1048576 G61:G135">
    <cfRule type="cellIs" dxfId="1461" priority="5443" operator="lessThan">
      <formula>0</formula>
    </cfRule>
  </conditionalFormatting>
  <conditionalFormatting sqref="F136:G1048576 G61:G135">
    <cfRule type="cellIs" dxfId="1460" priority="5442" operator="lessThan">
      <formula>0</formula>
    </cfRule>
  </conditionalFormatting>
  <conditionalFormatting sqref="F136:G1048576 G61:G135">
    <cfRule type="cellIs" dxfId="1459" priority="5441" operator="lessThan">
      <formula>0</formula>
    </cfRule>
  </conditionalFormatting>
  <conditionalFormatting sqref="F136:G1048576 G61:G135">
    <cfRule type="cellIs" dxfId="1458" priority="5440" operator="lessThan">
      <formula>0</formula>
    </cfRule>
  </conditionalFormatting>
  <conditionalFormatting sqref="F136:G1048576 G61:G135">
    <cfRule type="cellIs" dxfId="1457" priority="5439" operator="lessThan">
      <formula>0</formula>
    </cfRule>
  </conditionalFormatting>
  <conditionalFormatting sqref="F136:G1048576 G61:G135">
    <cfRule type="cellIs" dxfId="1456" priority="5438" operator="lessThan">
      <formula>0</formula>
    </cfRule>
  </conditionalFormatting>
  <conditionalFormatting sqref="F136:G1048576 G61:G135">
    <cfRule type="cellIs" dxfId="1455" priority="5437" operator="lessThan">
      <formula>0</formula>
    </cfRule>
  </conditionalFormatting>
  <conditionalFormatting sqref="F136:G1048576 G61:G135">
    <cfRule type="cellIs" dxfId="1454" priority="5436" operator="lessThan">
      <formula>0</formula>
    </cfRule>
  </conditionalFormatting>
  <conditionalFormatting sqref="F136:G1048576 G61:G135">
    <cfRule type="cellIs" dxfId="1453" priority="5435" operator="lessThan">
      <formula>0</formula>
    </cfRule>
  </conditionalFormatting>
  <conditionalFormatting sqref="F136:G1048576 G61:G135">
    <cfRule type="cellIs" dxfId="1452" priority="5434" operator="lessThan">
      <formula>0</formula>
    </cfRule>
  </conditionalFormatting>
  <conditionalFormatting sqref="F136:G1048576 G61:G135">
    <cfRule type="cellIs" dxfId="1451" priority="5433" operator="lessThan">
      <formula>0</formula>
    </cfRule>
  </conditionalFormatting>
  <conditionalFormatting sqref="F136:G1048576 G61:G135">
    <cfRule type="cellIs" dxfId="1450" priority="5432" operator="lessThan">
      <formula>0</formula>
    </cfRule>
  </conditionalFormatting>
  <conditionalFormatting sqref="F136:G1048576 G61:G135">
    <cfRule type="cellIs" dxfId="1449" priority="5431" operator="lessThan">
      <formula>0</formula>
    </cfRule>
  </conditionalFormatting>
  <conditionalFormatting sqref="F136:G1048576 G61:G135">
    <cfRule type="cellIs" dxfId="1448" priority="5430" operator="lessThan">
      <formula>0</formula>
    </cfRule>
  </conditionalFormatting>
  <conditionalFormatting sqref="F136:G1048576 G61:G135">
    <cfRule type="cellIs" dxfId="1447" priority="5429" operator="lessThan">
      <formula>0</formula>
    </cfRule>
  </conditionalFormatting>
  <conditionalFormatting sqref="F136:G1048576 G61:G135">
    <cfRule type="cellIs" dxfId="1446" priority="5428" operator="lessThan">
      <formula>0</formula>
    </cfRule>
  </conditionalFormatting>
  <conditionalFormatting sqref="F136:G1048576 G61:G135">
    <cfRule type="cellIs" dxfId="1445" priority="5427" operator="lessThan">
      <formula>0</formula>
    </cfRule>
  </conditionalFormatting>
  <conditionalFormatting sqref="F136:G1048576 G61:G135">
    <cfRule type="cellIs" dxfId="1444" priority="5426" operator="lessThan">
      <formula>0</formula>
    </cfRule>
  </conditionalFormatting>
  <conditionalFormatting sqref="F136:G1048576 G61:G135">
    <cfRule type="cellIs" dxfId="1443" priority="5425" operator="lessThan">
      <formula>0</formula>
    </cfRule>
  </conditionalFormatting>
  <conditionalFormatting sqref="F136:G1048576 G61:G135">
    <cfRule type="cellIs" dxfId="1442" priority="5424" operator="lessThan">
      <formula>0</formula>
    </cfRule>
  </conditionalFormatting>
  <conditionalFormatting sqref="F136:G1048576 G61:G135">
    <cfRule type="cellIs" dxfId="1441" priority="5423" operator="lessThan">
      <formula>0</formula>
    </cfRule>
  </conditionalFormatting>
  <conditionalFormatting sqref="F136:G1048576 G61:G135">
    <cfRule type="cellIs" dxfId="1440" priority="5422" operator="lessThan">
      <formula>0</formula>
    </cfRule>
  </conditionalFormatting>
  <conditionalFormatting sqref="F136:G1048576 G61:G135">
    <cfRule type="cellIs" dxfId="1439" priority="5421" operator="lessThan">
      <formula>0</formula>
    </cfRule>
  </conditionalFormatting>
  <conditionalFormatting sqref="F136:G1048576 G61:G135">
    <cfRule type="cellIs" dxfId="1438" priority="5420" operator="lessThan">
      <formula>0</formula>
    </cfRule>
  </conditionalFormatting>
  <conditionalFormatting sqref="F136:G1048576 G61:G135">
    <cfRule type="cellIs" dxfId="1437" priority="5419" operator="lessThan">
      <formula>0</formula>
    </cfRule>
  </conditionalFormatting>
  <conditionalFormatting sqref="F136:G1048576 G61:G135">
    <cfRule type="cellIs" dxfId="1436" priority="5418" operator="lessThan">
      <formula>0</formula>
    </cfRule>
  </conditionalFormatting>
  <conditionalFormatting sqref="F136:G1048576 G61:G135">
    <cfRule type="cellIs" dxfId="1435" priority="5417" operator="lessThan">
      <formula>0</formula>
    </cfRule>
  </conditionalFormatting>
  <conditionalFormatting sqref="F136:G1048576 G61:G135">
    <cfRule type="cellIs" dxfId="1434" priority="5416" operator="lessThan">
      <formula>0</formula>
    </cfRule>
  </conditionalFormatting>
  <conditionalFormatting sqref="F136:G1048576 G61:G135">
    <cfRule type="cellIs" dxfId="1433" priority="5415" operator="lessThan">
      <formula>0</formula>
    </cfRule>
  </conditionalFormatting>
  <conditionalFormatting sqref="F136:G1048576 G61:G135">
    <cfRule type="cellIs" dxfId="1432" priority="5414" operator="lessThan">
      <formula>0</formula>
    </cfRule>
  </conditionalFormatting>
  <conditionalFormatting sqref="F136:G1048576 G61:G135">
    <cfRule type="cellIs" dxfId="1431" priority="5413" operator="lessThan">
      <formula>0</formula>
    </cfRule>
  </conditionalFormatting>
  <conditionalFormatting sqref="F136:G1048576 G61:G135">
    <cfRule type="cellIs" dxfId="1430" priority="5412" operator="lessThan">
      <formula>0</formula>
    </cfRule>
  </conditionalFormatting>
  <conditionalFormatting sqref="F136:G1048576 G61:G135">
    <cfRule type="cellIs" dxfId="1429" priority="5411" operator="lessThan">
      <formula>0</formula>
    </cfRule>
  </conditionalFormatting>
  <conditionalFormatting sqref="F136:G1048576 G61:G135">
    <cfRule type="cellIs" dxfId="1428" priority="5410" operator="lessThan">
      <formula>0</formula>
    </cfRule>
  </conditionalFormatting>
  <conditionalFormatting sqref="F136:G1048576 G61:G135">
    <cfRule type="cellIs" dxfId="1427" priority="5409" operator="lessThan">
      <formula>0</formula>
    </cfRule>
  </conditionalFormatting>
  <conditionalFormatting sqref="F136:G1048576 G61:G135">
    <cfRule type="cellIs" dxfId="1426" priority="5408" operator="lessThan">
      <formula>0</formula>
    </cfRule>
  </conditionalFormatting>
  <conditionalFormatting sqref="F136:G1048576 G61:G135">
    <cfRule type="cellIs" dxfId="1425" priority="5407" operator="lessThan">
      <formula>0</formula>
    </cfRule>
  </conditionalFormatting>
  <conditionalFormatting sqref="F136:G1048576 G61:G135">
    <cfRule type="cellIs" dxfId="1424" priority="5406" operator="lessThan">
      <formula>0</formula>
    </cfRule>
  </conditionalFormatting>
  <conditionalFormatting sqref="F136:G1048576 G61:G135">
    <cfRule type="cellIs" dxfId="1423" priority="5405" operator="lessThan">
      <formula>0</formula>
    </cfRule>
  </conditionalFormatting>
  <conditionalFormatting sqref="F136:G1048576 G61:G135">
    <cfRule type="cellIs" dxfId="1422" priority="5404" operator="lessThan">
      <formula>0</formula>
    </cfRule>
  </conditionalFormatting>
  <conditionalFormatting sqref="F136:G1048576 G61:G135">
    <cfRule type="cellIs" dxfId="1421" priority="5403" operator="lessThan">
      <formula>0</formula>
    </cfRule>
  </conditionalFormatting>
  <conditionalFormatting sqref="F136:G1048576 G61:G135">
    <cfRule type="cellIs" dxfId="1420" priority="5402" operator="lessThan">
      <formula>0</formula>
    </cfRule>
  </conditionalFormatting>
  <conditionalFormatting sqref="F136:G1048576 G61:G135">
    <cfRule type="cellIs" dxfId="1419" priority="5401" operator="lessThan">
      <formula>0</formula>
    </cfRule>
  </conditionalFormatting>
  <conditionalFormatting sqref="F136:G1048576 G61:G135">
    <cfRule type="cellIs" dxfId="1418" priority="5400" operator="lessThan">
      <formula>0</formula>
    </cfRule>
  </conditionalFormatting>
  <conditionalFormatting sqref="F136:G1048576 G61:G135">
    <cfRule type="cellIs" dxfId="1417" priority="5399" operator="lessThan">
      <formula>0</formula>
    </cfRule>
  </conditionalFormatting>
  <conditionalFormatting sqref="F136:G1048576 G61:G135">
    <cfRule type="cellIs" dxfId="1416" priority="5398" operator="lessThan">
      <formula>0</formula>
    </cfRule>
  </conditionalFormatting>
  <conditionalFormatting sqref="F136:G1048576 G61:G135">
    <cfRule type="cellIs" dxfId="1415" priority="5397" operator="lessThan">
      <formula>0</formula>
    </cfRule>
  </conditionalFormatting>
  <conditionalFormatting sqref="F136:G1048576 G61:G135">
    <cfRule type="cellIs" dxfId="1414" priority="5396" operator="lessThan">
      <formula>0</formula>
    </cfRule>
  </conditionalFormatting>
  <conditionalFormatting sqref="F136:G1048576 G61:G135">
    <cfRule type="cellIs" dxfId="1413" priority="5395" operator="lessThan">
      <formula>0</formula>
    </cfRule>
  </conditionalFormatting>
  <conditionalFormatting sqref="F136:G1048576 G61:G135">
    <cfRule type="cellIs" dxfId="1412" priority="5394" operator="lessThan">
      <formula>0</formula>
    </cfRule>
  </conditionalFormatting>
  <conditionalFormatting sqref="F136:G1048576 G61:G135">
    <cfRule type="cellIs" dxfId="1411" priority="5393" operator="lessThan">
      <formula>0</formula>
    </cfRule>
  </conditionalFormatting>
  <conditionalFormatting sqref="F136:G1048576 G61:G135">
    <cfRule type="cellIs" dxfId="1410" priority="5392" operator="lessThan">
      <formula>0</formula>
    </cfRule>
  </conditionalFormatting>
  <conditionalFormatting sqref="F136:G1048576 G61:G135">
    <cfRule type="cellIs" dxfId="1409" priority="5391" operator="lessThan">
      <formula>0</formula>
    </cfRule>
  </conditionalFormatting>
  <conditionalFormatting sqref="F136:G1048576 G61:G135">
    <cfRule type="cellIs" dxfId="1408" priority="5390" operator="lessThan">
      <formula>0</formula>
    </cfRule>
  </conditionalFormatting>
  <conditionalFormatting sqref="F136:G1048576 G61:G135">
    <cfRule type="cellIs" dxfId="1407" priority="5389" operator="lessThan">
      <formula>0</formula>
    </cfRule>
  </conditionalFormatting>
  <conditionalFormatting sqref="F136:G1048576 G61:G135">
    <cfRule type="cellIs" dxfId="1406" priority="5388" operator="lessThan">
      <formula>0</formula>
    </cfRule>
  </conditionalFormatting>
  <conditionalFormatting sqref="F136:G1048576 G61:G135">
    <cfRule type="cellIs" dxfId="1405" priority="5387" operator="lessThan">
      <formula>0</formula>
    </cfRule>
  </conditionalFormatting>
  <conditionalFormatting sqref="F136:G1048576 G61:G135">
    <cfRule type="cellIs" dxfId="1404" priority="5386" operator="lessThan">
      <formula>0</formula>
    </cfRule>
  </conditionalFormatting>
  <conditionalFormatting sqref="F136:G1048576 G61:G135">
    <cfRule type="cellIs" dxfId="1403" priority="5385" operator="lessThan">
      <formula>0</formula>
    </cfRule>
  </conditionalFormatting>
  <conditionalFormatting sqref="F136:G1048576 G61:G135">
    <cfRule type="cellIs" dxfId="1402" priority="5384" operator="lessThan">
      <formula>0</formula>
    </cfRule>
  </conditionalFormatting>
  <conditionalFormatting sqref="F136:G1048576 G61:G135">
    <cfRule type="cellIs" dxfId="1401" priority="5383" operator="lessThan">
      <formula>0</formula>
    </cfRule>
  </conditionalFormatting>
  <conditionalFormatting sqref="F136:G1048576 G61:G135">
    <cfRule type="cellIs" dxfId="1400" priority="5382" operator="lessThan">
      <formula>0</formula>
    </cfRule>
  </conditionalFormatting>
  <conditionalFormatting sqref="F136:G1048576 G61:G135">
    <cfRule type="cellIs" dxfId="1399" priority="5381" operator="lessThan">
      <formula>0</formula>
    </cfRule>
  </conditionalFormatting>
  <conditionalFormatting sqref="F136:G1048576 G61:G135">
    <cfRule type="cellIs" dxfId="1398" priority="5380" operator="lessThan">
      <formula>0</formula>
    </cfRule>
  </conditionalFormatting>
  <conditionalFormatting sqref="F136:G1048576 G61:G135">
    <cfRule type="cellIs" dxfId="1397" priority="5379" operator="lessThan">
      <formula>0</formula>
    </cfRule>
  </conditionalFormatting>
  <conditionalFormatting sqref="F136:G1048576 G61:G135">
    <cfRule type="cellIs" dxfId="1396" priority="5378" operator="lessThan">
      <formula>0</formula>
    </cfRule>
  </conditionalFormatting>
  <conditionalFormatting sqref="F136:G1048576 G61:G135">
    <cfRule type="cellIs" dxfId="1395" priority="5377" operator="lessThan">
      <formula>0</formula>
    </cfRule>
  </conditionalFormatting>
  <conditionalFormatting sqref="F136:G1048576 G61:G135">
    <cfRule type="cellIs" dxfId="1394" priority="5376" operator="lessThan">
      <formula>0</formula>
    </cfRule>
  </conditionalFormatting>
  <conditionalFormatting sqref="F136:G1048576 G61:G135">
    <cfRule type="cellIs" dxfId="1393" priority="5375" operator="lessThan">
      <formula>0</formula>
    </cfRule>
  </conditionalFormatting>
  <conditionalFormatting sqref="F136:G1048576 G61:G135">
    <cfRule type="cellIs" dxfId="1392" priority="5374" operator="lessThan">
      <formula>0</formula>
    </cfRule>
  </conditionalFormatting>
  <conditionalFormatting sqref="F136:G1048576 G61:G135">
    <cfRule type="cellIs" dxfId="1391" priority="5373" operator="lessThan">
      <formula>0</formula>
    </cfRule>
  </conditionalFormatting>
  <conditionalFormatting sqref="F136:G1048576 G61:G135">
    <cfRule type="cellIs" dxfId="1390" priority="5372" operator="lessThan">
      <formula>0</formula>
    </cfRule>
  </conditionalFormatting>
  <conditionalFormatting sqref="F136:G1048576 G61:G135">
    <cfRule type="cellIs" dxfId="1389" priority="5371" operator="lessThan">
      <formula>0</formula>
    </cfRule>
  </conditionalFormatting>
  <conditionalFormatting sqref="F136:G1048576 G61:G135">
    <cfRule type="cellIs" dxfId="1388" priority="5370" operator="lessThan">
      <formula>0</formula>
    </cfRule>
  </conditionalFormatting>
  <conditionalFormatting sqref="F136:G1048576 G61:G135">
    <cfRule type="cellIs" dxfId="1387" priority="5369" operator="lessThan">
      <formula>0</formula>
    </cfRule>
  </conditionalFormatting>
  <conditionalFormatting sqref="F136:G1048576 G61:G135">
    <cfRule type="cellIs" dxfId="1386" priority="5368" operator="lessThan">
      <formula>0</formula>
    </cfRule>
  </conditionalFormatting>
  <conditionalFormatting sqref="F136:G1048576 G61:G135">
    <cfRule type="cellIs" dxfId="1385" priority="5367" operator="lessThan">
      <formula>0</formula>
    </cfRule>
  </conditionalFormatting>
  <conditionalFormatting sqref="F136:G1048576 G61:G135">
    <cfRule type="cellIs" dxfId="1384" priority="5366" operator="lessThan">
      <formula>0</formula>
    </cfRule>
  </conditionalFormatting>
  <conditionalFormatting sqref="F136:G1048576 G61:G135">
    <cfRule type="cellIs" dxfId="1383" priority="5365" operator="lessThan">
      <formula>0</formula>
    </cfRule>
  </conditionalFormatting>
  <conditionalFormatting sqref="F136:G1048576 G61:G135">
    <cfRule type="cellIs" dxfId="1382" priority="5364" operator="lessThan">
      <formula>0</formula>
    </cfRule>
  </conditionalFormatting>
  <conditionalFormatting sqref="F136:G1048576 G61:G135">
    <cfRule type="cellIs" dxfId="1381" priority="5363" operator="lessThan">
      <formula>0</formula>
    </cfRule>
  </conditionalFormatting>
  <conditionalFormatting sqref="F136:G1048576 G61:G135">
    <cfRule type="cellIs" dxfId="1380" priority="5362" operator="lessThan">
      <formula>0</formula>
    </cfRule>
  </conditionalFormatting>
  <conditionalFormatting sqref="F136:G1048576 G61:G135">
    <cfRule type="cellIs" dxfId="1379" priority="5361" operator="lessThan">
      <formula>0</formula>
    </cfRule>
  </conditionalFormatting>
  <conditionalFormatting sqref="F136:G1048576 G61:G135">
    <cfRule type="cellIs" dxfId="1378" priority="5360" operator="lessThan">
      <formula>0</formula>
    </cfRule>
  </conditionalFormatting>
  <conditionalFormatting sqref="F136:G1048576 G61:G135">
    <cfRule type="cellIs" dxfId="1377" priority="5359" operator="lessThan">
      <formula>0</formula>
    </cfRule>
  </conditionalFormatting>
  <conditionalFormatting sqref="F136:G1048576 G61:G135">
    <cfRule type="cellIs" dxfId="1376" priority="5358" operator="lessThan">
      <formula>0</formula>
    </cfRule>
  </conditionalFormatting>
  <conditionalFormatting sqref="F136:G1048576 G61:G135">
    <cfRule type="cellIs" dxfId="1375" priority="5357" operator="lessThan">
      <formula>0</formula>
    </cfRule>
  </conditionalFormatting>
  <conditionalFormatting sqref="F136:G1048576 G61:G135">
    <cfRule type="cellIs" dxfId="1374" priority="5356" operator="lessThan">
      <formula>0</formula>
    </cfRule>
  </conditionalFormatting>
  <conditionalFormatting sqref="F136:G1048576 G61:G135">
    <cfRule type="cellIs" dxfId="1373" priority="5355" operator="lessThan">
      <formula>0</formula>
    </cfRule>
  </conditionalFormatting>
  <conditionalFormatting sqref="F136:G1048576 G61:G135">
    <cfRule type="cellIs" dxfId="1372" priority="5354" operator="lessThan">
      <formula>0</formula>
    </cfRule>
  </conditionalFormatting>
  <conditionalFormatting sqref="F136:G1048576 G61:G135">
    <cfRule type="cellIs" dxfId="1371" priority="5353" operator="lessThan">
      <formula>0</formula>
    </cfRule>
  </conditionalFormatting>
  <conditionalFormatting sqref="F136:G1048576 G61:G135">
    <cfRule type="cellIs" dxfId="1370" priority="5352" operator="lessThan">
      <formula>0</formula>
    </cfRule>
  </conditionalFormatting>
  <conditionalFormatting sqref="F136:G1048576 G61:G135">
    <cfRule type="cellIs" dxfId="1369" priority="5351" operator="lessThan">
      <formula>0</formula>
    </cfRule>
  </conditionalFormatting>
  <conditionalFormatting sqref="F136:G1048576 G61:G135">
    <cfRule type="cellIs" dxfId="1368" priority="5350" operator="lessThan">
      <formula>0</formula>
    </cfRule>
  </conditionalFormatting>
  <conditionalFormatting sqref="F136:G1048576 G61:G135">
    <cfRule type="cellIs" dxfId="1367" priority="5349" operator="lessThan">
      <formula>0</formula>
    </cfRule>
  </conditionalFormatting>
  <conditionalFormatting sqref="F136:G1048576 G61:G135">
    <cfRule type="cellIs" dxfId="1366" priority="5348" operator="lessThan">
      <formula>0</formula>
    </cfRule>
  </conditionalFormatting>
  <conditionalFormatting sqref="F136:G1048576 G61:G135">
    <cfRule type="cellIs" dxfId="1365" priority="5347" operator="lessThan">
      <formula>0</formula>
    </cfRule>
  </conditionalFormatting>
  <conditionalFormatting sqref="F136:G1048576 G61:G135">
    <cfRule type="cellIs" dxfId="1364" priority="5346" operator="lessThan">
      <formula>0</formula>
    </cfRule>
  </conditionalFormatting>
  <conditionalFormatting sqref="F136:G1048576 G61:G135">
    <cfRule type="cellIs" dxfId="1363" priority="5345" operator="lessThan">
      <formula>0</formula>
    </cfRule>
  </conditionalFormatting>
  <conditionalFormatting sqref="F136:G1048576 G61:G135">
    <cfRule type="cellIs" dxfId="1362" priority="5344" operator="lessThan">
      <formula>0</formula>
    </cfRule>
  </conditionalFormatting>
  <conditionalFormatting sqref="F136:G1048576 G61:G135">
    <cfRule type="cellIs" dxfId="1361" priority="5343" operator="lessThan">
      <formula>0</formula>
    </cfRule>
  </conditionalFormatting>
  <conditionalFormatting sqref="F136:G1048576 G61:G135">
    <cfRule type="cellIs" dxfId="1360" priority="5342" operator="lessThan">
      <formula>0</formula>
    </cfRule>
  </conditionalFormatting>
  <conditionalFormatting sqref="F136:G1048576 G61:G135">
    <cfRule type="cellIs" dxfId="1359" priority="5341" operator="lessThan">
      <formula>0</formula>
    </cfRule>
  </conditionalFormatting>
  <conditionalFormatting sqref="F136:G1048576 G61:G135">
    <cfRule type="cellIs" dxfId="1358" priority="5340" operator="lessThan">
      <formula>0</formula>
    </cfRule>
  </conditionalFormatting>
  <conditionalFormatting sqref="F136:G1048576 G61:G135">
    <cfRule type="cellIs" dxfId="1357" priority="5339" operator="lessThan">
      <formula>0</formula>
    </cfRule>
  </conditionalFormatting>
  <conditionalFormatting sqref="F136:G1048576 G61:G135">
    <cfRule type="cellIs" dxfId="1356" priority="5338" operator="lessThan">
      <formula>0</formula>
    </cfRule>
  </conditionalFormatting>
  <conditionalFormatting sqref="F136:G1048576 G61:G135">
    <cfRule type="cellIs" dxfId="1355" priority="5337" operator="lessThan">
      <formula>0</formula>
    </cfRule>
  </conditionalFormatting>
  <conditionalFormatting sqref="F136:G1048576 G61:G135">
    <cfRule type="cellIs" dxfId="1354" priority="5336" operator="lessThan">
      <formula>0</formula>
    </cfRule>
  </conditionalFormatting>
  <conditionalFormatting sqref="F136:G1048576 G61:G135">
    <cfRule type="cellIs" dxfId="1353" priority="5335" operator="lessThan">
      <formula>0</formula>
    </cfRule>
  </conditionalFormatting>
  <conditionalFormatting sqref="F136:G1048576 G61:G135">
    <cfRule type="cellIs" dxfId="1352" priority="5334" operator="lessThan">
      <formula>0</formula>
    </cfRule>
  </conditionalFormatting>
  <conditionalFormatting sqref="F136:G1048576 G61:G135">
    <cfRule type="cellIs" dxfId="1351" priority="5333" operator="lessThan">
      <formula>0</formula>
    </cfRule>
  </conditionalFormatting>
  <conditionalFormatting sqref="F136:G1048576 G61:G135">
    <cfRule type="cellIs" dxfId="1350" priority="5332" operator="lessThan">
      <formula>0</formula>
    </cfRule>
  </conditionalFormatting>
  <conditionalFormatting sqref="F136:G1048576 G61:G135">
    <cfRule type="cellIs" dxfId="1349" priority="5331" operator="lessThan">
      <formula>0</formula>
    </cfRule>
  </conditionalFormatting>
  <conditionalFormatting sqref="F136:G1048576 G61:G135">
    <cfRule type="cellIs" dxfId="1348" priority="5330" operator="lessThan">
      <formula>0</formula>
    </cfRule>
  </conditionalFormatting>
  <conditionalFormatting sqref="F136:G1048576 G61:G135">
    <cfRule type="cellIs" dxfId="1347" priority="5329" operator="lessThan">
      <formula>0</formula>
    </cfRule>
  </conditionalFormatting>
  <conditionalFormatting sqref="F136:G1048576 G61:G135">
    <cfRule type="cellIs" dxfId="1346" priority="5328" operator="lessThan">
      <formula>0</formula>
    </cfRule>
  </conditionalFormatting>
  <conditionalFormatting sqref="G42">
    <cfRule type="cellIs" dxfId="1345" priority="4625" operator="lessThan">
      <formula>0</formula>
    </cfRule>
  </conditionalFormatting>
  <conditionalFormatting sqref="G42">
    <cfRule type="cellIs" dxfId="1344" priority="4624" operator="lessThan">
      <formula>0</formula>
    </cfRule>
  </conditionalFormatting>
  <conditionalFormatting sqref="G42">
    <cfRule type="cellIs" dxfId="1343" priority="4623" operator="lessThan">
      <formula>0</formula>
    </cfRule>
  </conditionalFormatting>
  <conditionalFormatting sqref="G42">
    <cfRule type="cellIs" dxfId="1342" priority="4622" operator="lessThan">
      <formula>0</formula>
    </cfRule>
  </conditionalFormatting>
  <conditionalFormatting sqref="G42">
    <cfRule type="cellIs" dxfId="1341" priority="4621" operator="lessThan">
      <formula>0</formula>
    </cfRule>
  </conditionalFormatting>
  <conditionalFormatting sqref="G42">
    <cfRule type="cellIs" dxfId="1340" priority="4620" operator="lessThan">
      <formula>0</formula>
    </cfRule>
  </conditionalFormatting>
  <conditionalFormatting sqref="G42">
    <cfRule type="cellIs" dxfId="1339" priority="4619" operator="lessThan">
      <formula>0</formula>
    </cfRule>
  </conditionalFormatting>
  <conditionalFormatting sqref="G42">
    <cfRule type="cellIs" dxfId="1338" priority="4618" operator="lessThan">
      <formula>0</formula>
    </cfRule>
  </conditionalFormatting>
  <conditionalFormatting sqref="G42">
    <cfRule type="cellIs" dxfId="1337" priority="4617" operator="lessThan">
      <formula>0</formula>
    </cfRule>
  </conditionalFormatting>
  <conditionalFormatting sqref="G42">
    <cfRule type="cellIs" dxfId="1336" priority="4616" operator="lessThan">
      <formula>0</formula>
    </cfRule>
  </conditionalFormatting>
  <conditionalFormatting sqref="G42">
    <cfRule type="cellIs" dxfId="1335" priority="4615" operator="lessThan">
      <formula>0</formula>
    </cfRule>
  </conditionalFormatting>
  <conditionalFormatting sqref="G42">
    <cfRule type="cellIs" dxfId="1334" priority="4614" operator="lessThan">
      <formula>0</formula>
    </cfRule>
  </conditionalFormatting>
  <conditionalFormatting sqref="G42">
    <cfRule type="cellIs" dxfId="1333" priority="4613" operator="lessThan">
      <formula>0</formula>
    </cfRule>
  </conditionalFormatting>
  <conditionalFormatting sqref="G42">
    <cfRule type="cellIs" dxfId="1332" priority="4612" operator="lessThan">
      <formula>0</formula>
    </cfRule>
  </conditionalFormatting>
  <conditionalFormatting sqref="G42">
    <cfRule type="cellIs" dxfId="1331" priority="4611" operator="lessThan">
      <formula>0</formula>
    </cfRule>
  </conditionalFormatting>
  <conditionalFormatting sqref="G42">
    <cfRule type="cellIs" dxfId="1330" priority="4610" operator="lessThan">
      <formula>0</formula>
    </cfRule>
  </conditionalFormatting>
  <conditionalFormatting sqref="G42">
    <cfRule type="cellIs" dxfId="1329" priority="4609" operator="lessThan">
      <formula>0</formula>
    </cfRule>
  </conditionalFormatting>
  <conditionalFormatting sqref="G42">
    <cfRule type="cellIs" dxfId="1328" priority="4608" operator="lessThan">
      <formula>0</formula>
    </cfRule>
  </conditionalFormatting>
  <conditionalFormatting sqref="G42">
    <cfRule type="cellIs" dxfId="1327" priority="4607" operator="lessThan">
      <formula>0</formula>
    </cfRule>
  </conditionalFormatting>
  <conditionalFormatting pivot="1" sqref="F13:F44">
    <cfRule type="cellIs" dxfId="1326" priority="3552" operator="lessThan">
      <formula>0</formula>
    </cfRule>
  </conditionalFormatting>
  <conditionalFormatting sqref="H86:H1048576">
    <cfRule type="cellIs" dxfId="1325" priority="3348" operator="lessThan">
      <formula>0</formula>
    </cfRule>
  </conditionalFormatting>
  <conditionalFormatting sqref="H86:H1048576">
    <cfRule type="cellIs" dxfId="1324" priority="3347" operator="lessThan">
      <formula>0</formula>
    </cfRule>
  </conditionalFormatting>
  <conditionalFormatting sqref="H86:H1048576">
    <cfRule type="cellIs" dxfId="1323" priority="3346" operator="lessThan">
      <formula>0</formula>
    </cfRule>
  </conditionalFormatting>
  <conditionalFormatting sqref="H86:H1048576">
    <cfRule type="cellIs" dxfId="1322" priority="3345" operator="lessThan">
      <formula>0</formula>
    </cfRule>
  </conditionalFormatting>
  <conditionalFormatting sqref="H86:H1048576">
    <cfRule type="cellIs" dxfId="1321" priority="3344" operator="lessThan">
      <formula>0</formula>
    </cfRule>
  </conditionalFormatting>
  <conditionalFormatting sqref="H86:H1048576">
    <cfRule type="cellIs" dxfId="1320" priority="3343" operator="lessThan">
      <formula>0</formula>
    </cfRule>
  </conditionalFormatting>
  <conditionalFormatting sqref="H86:H1048576">
    <cfRule type="cellIs" dxfId="1319" priority="3342" operator="lessThan">
      <formula>0</formula>
    </cfRule>
  </conditionalFormatting>
  <conditionalFormatting sqref="H86:H1048576">
    <cfRule type="cellIs" dxfId="1318" priority="3341" operator="lessThan">
      <formula>0</formula>
    </cfRule>
  </conditionalFormatting>
  <conditionalFormatting sqref="H86:H1048576">
    <cfRule type="cellIs" dxfId="1317" priority="3340" operator="lessThan">
      <formula>0</formula>
    </cfRule>
  </conditionalFormatting>
  <conditionalFormatting sqref="H86:H1048576">
    <cfRule type="cellIs" dxfId="1316" priority="3339" operator="lessThan">
      <formula>0</formula>
    </cfRule>
  </conditionalFormatting>
  <conditionalFormatting sqref="H86:H1048576">
    <cfRule type="cellIs" dxfId="1315" priority="3338" operator="lessThan">
      <formula>0</formula>
    </cfRule>
  </conditionalFormatting>
  <conditionalFormatting sqref="H86:H1048576">
    <cfRule type="cellIs" dxfId="1314" priority="3337" operator="lessThan">
      <formula>0</formula>
    </cfRule>
  </conditionalFormatting>
  <conditionalFormatting sqref="H86:H1048576">
    <cfRule type="cellIs" dxfId="1313" priority="3336" operator="lessThan">
      <formula>0</formula>
    </cfRule>
  </conditionalFormatting>
  <conditionalFormatting sqref="H86:H1048576">
    <cfRule type="cellIs" dxfId="1312" priority="3335" operator="lessThan">
      <formula>0</formula>
    </cfRule>
  </conditionalFormatting>
  <conditionalFormatting sqref="H86:H1048576">
    <cfRule type="cellIs" dxfId="1311" priority="3334" operator="lessThan">
      <formula>0</formula>
    </cfRule>
  </conditionalFormatting>
  <conditionalFormatting sqref="H86:H1048576">
    <cfRule type="cellIs" dxfId="1310" priority="3333" operator="lessThan">
      <formula>0</formula>
    </cfRule>
  </conditionalFormatting>
  <conditionalFormatting sqref="H86:H1048576">
    <cfRule type="cellIs" dxfId="1309" priority="3332" operator="lessThan">
      <formula>0</formula>
    </cfRule>
  </conditionalFormatting>
  <conditionalFormatting sqref="H86:H1048576">
    <cfRule type="cellIs" dxfId="1308" priority="3331" operator="lessThan">
      <formula>0</formula>
    </cfRule>
  </conditionalFormatting>
  <conditionalFormatting sqref="H86:H1048576">
    <cfRule type="cellIs" dxfId="1307" priority="3330" operator="lessThan">
      <formula>0</formula>
    </cfRule>
  </conditionalFormatting>
  <conditionalFormatting sqref="H86:H1048576">
    <cfRule type="cellIs" dxfId="1306" priority="3329" operator="lessThan">
      <formula>0</formula>
    </cfRule>
  </conditionalFormatting>
  <conditionalFormatting sqref="H86:H1048576">
    <cfRule type="cellIs" dxfId="1305" priority="3328" operator="lessThan">
      <formula>0</formula>
    </cfRule>
  </conditionalFormatting>
  <conditionalFormatting sqref="H86:H1048576">
    <cfRule type="cellIs" dxfId="1304" priority="3327" operator="lessThan">
      <formula>0</formula>
    </cfRule>
  </conditionalFormatting>
  <conditionalFormatting sqref="H86:H1048576">
    <cfRule type="cellIs" dxfId="1303" priority="3326" operator="lessThan">
      <formula>0</formula>
    </cfRule>
  </conditionalFormatting>
  <conditionalFormatting sqref="H86:H1048576">
    <cfRule type="cellIs" dxfId="1302" priority="3325" operator="lessThan">
      <formula>0</formula>
    </cfRule>
  </conditionalFormatting>
  <conditionalFormatting sqref="H86:H1048576">
    <cfRule type="cellIs" dxfId="1301" priority="3324" operator="lessThan">
      <formula>0</formula>
    </cfRule>
  </conditionalFormatting>
  <conditionalFormatting sqref="H86:H1048576">
    <cfRule type="cellIs" dxfId="1300" priority="3323" operator="lessThan">
      <formula>0</formula>
    </cfRule>
  </conditionalFormatting>
  <conditionalFormatting sqref="H86:H1048576">
    <cfRule type="cellIs" dxfId="1299" priority="3322" operator="lessThan">
      <formula>0</formula>
    </cfRule>
  </conditionalFormatting>
  <conditionalFormatting sqref="H86:H1048576">
    <cfRule type="cellIs" dxfId="1298" priority="3321" operator="lessThan">
      <formula>0</formula>
    </cfRule>
  </conditionalFormatting>
  <conditionalFormatting sqref="H86:H1048576">
    <cfRule type="cellIs" dxfId="1297" priority="3320" operator="lessThan">
      <formula>0</formula>
    </cfRule>
  </conditionalFormatting>
  <conditionalFormatting sqref="H86:H1048576">
    <cfRule type="cellIs" dxfId="1296" priority="3319" operator="lessThan">
      <formula>0</formula>
    </cfRule>
  </conditionalFormatting>
  <conditionalFormatting sqref="H86:H1048576">
    <cfRule type="cellIs" dxfId="1295" priority="3318" operator="lessThan">
      <formula>0</formula>
    </cfRule>
  </conditionalFormatting>
  <conditionalFormatting sqref="H86:H1048576">
    <cfRule type="cellIs" dxfId="1294" priority="3317" operator="lessThan">
      <formula>0</formula>
    </cfRule>
  </conditionalFormatting>
  <conditionalFormatting sqref="H86:H1048576">
    <cfRule type="cellIs" dxfId="1293" priority="3316" operator="lessThan">
      <formula>0</formula>
    </cfRule>
  </conditionalFormatting>
  <conditionalFormatting sqref="H86:H1048576">
    <cfRule type="cellIs" dxfId="1292" priority="3315" operator="lessThan">
      <formula>0</formula>
    </cfRule>
  </conditionalFormatting>
  <conditionalFormatting sqref="H86:H1048576">
    <cfRule type="cellIs" dxfId="1291" priority="3314" operator="lessThan">
      <formula>0</formula>
    </cfRule>
  </conditionalFormatting>
  <conditionalFormatting sqref="H86:H1048576">
    <cfRule type="cellIs" dxfId="1290" priority="3313" operator="lessThan">
      <formula>0</formula>
    </cfRule>
  </conditionalFormatting>
  <conditionalFormatting sqref="H86:H1048576">
    <cfRule type="cellIs" dxfId="1289" priority="3312" operator="lessThan">
      <formula>0</formula>
    </cfRule>
  </conditionalFormatting>
  <conditionalFormatting sqref="H86:H1048576">
    <cfRule type="cellIs" dxfId="1288" priority="3311" operator="lessThan">
      <formula>0</formula>
    </cfRule>
  </conditionalFormatting>
  <conditionalFormatting sqref="H86:H1048576">
    <cfRule type="cellIs" dxfId="1287" priority="3310" operator="lessThan">
      <formula>0</formula>
    </cfRule>
  </conditionalFormatting>
  <conditionalFormatting sqref="H86:H1048576">
    <cfRule type="cellIs" dxfId="1286" priority="3309" operator="lessThan">
      <formula>0</formula>
    </cfRule>
  </conditionalFormatting>
  <conditionalFormatting sqref="H86:H1048576">
    <cfRule type="cellIs" dxfId="1285" priority="3308" operator="lessThan">
      <formula>0</formula>
    </cfRule>
  </conditionalFormatting>
  <conditionalFormatting sqref="H86:H1048576">
    <cfRule type="cellIs" dxfId="1284" priority="3307" operator="lessThan">
      <formula>0</formula>
    </cfRule>
  </conditionalFormatting>
  <conditionalFormatting sqref="H86:H1048576">
    <cfRule type="cellIs" dxfId="1283" priority="3306" operator="lessThan">
      <formula>0</formula>
    </cfRule>
  </conditionalFormatting>
  <conditionalFormatting sqref="H86:H1048576">
    <cfRule type="cellIs" dxfId="1282" priority="3305" operator="lessThan">
      <formula>0</formula>
    </cfRule>
  </conditionalFormatting>
  <conditionalFormatting sqref="H86:H1048576">
    <cfRule type="cellIs" dxfId="1281" priority="3304" operator="lessThan">
      <formula>0</formula>
    </cfRule>
  </conditionalFormatting>
  <conditionalFormatting sqref="H86:H1048576">
    <cfRule type="cellIs" dxfId="1280" priority="3303" operator="lessThan">
      <formula>0</formula>
    </cfRule>
  </conditionalFormatting>
  <conditionalFormatting sqref="H86:H1048576">
    <cfRule type="cellIs" dxfId="1279" priority="3302" operator="lessThan">
      <formula>0</formula>
    </cfRule>
  </conditionalFormatting>
  <conditionalFormatting sqref="H86:H1048576">
    <cfRule type="cellIs" dxfId="1278" priority="3301" operator="lessThan">
      <formula>0</formula>
    </cfRule>
  </conditionalFormatting>
  <conditionalFormatting sqref="H86:H1048576">
    <cfRule type="cellIs" dxfId="1277" priority="3300" operator="lessThan">
      <formula>0</formula>
    </cfRule>
  </conditionalFormatting>
  <conditionalFormatting sqref="H86:H1048576">
    <cfRule type="cellIs" dxfId="1276" priority="3299" operator="lessThan">
      <formula>0</formula>
    </cfRule>
  </conditionalFormatting>
  <conditionalFormatting sqref="H86:H1048576">
    <cfRule type="cellIs" dxfId="1275" priority="3298" operator="lessThan">
      <formula>0</formula>
    </cfRule>
  </conditionalFormatting>
  <conditionalFormatting sqref="H86:H1048576">
    <cfRule type="cellIs" dxfId="1274" priority="3297" operator="lessThan">
      <formula>0</formula>
    </cfRule>
  </conditionalFormatting>
  <conditionalFormatting sqref="H86:H1048576">
    <cfRule type="cellIs" dxfId="1273" priority="3296" operator="lessThan">
      <formula>0</formula>
    </cfRule>
  </conditionalFormatting>
  <conditionalFormatting sqref="H86:H1048576">
    <cfRule type="cellIs" dxfId="1272" priority="3295" operator="lessThan">
      <formula>0</formula>
    </cfRule>
  </conditionalFormatting>
  <conditionalFormatting sqref="H86:H1048576">
    <cfRule type="cellIs" dxfId="1271" priority="3294" operator="lessThan">
      <formula>0</formula>
    </cfRule>
  </conditionalFormatting>
  <conditionalFormatting sqref="H86:H1048576">
    <cfRule type="cellIs" dxfId="1270" priority="3293" operator="lessThan">
      <formula>0</formula>
    </cfRule>
  </conditionalFormatting>
  <conditionalFormatting sqref="H86:H1048576">
    <cfRule type="cellIs" dxfId="1269" priority="3292" operator="lessThan">
      <formula>0</formula>
    </cfRule>
  </conditionalFormatting>
  <conditionalFormatting sqref="H86:H1048576">
    <cfRule type="cellIs" dxfId="1268" priority="3291" operator="lessThan">
      <formula>0</formula>
    </cfRule>
  </conditionalFormatting>
  <conditionalFormatting sqref="H86:H1048576">
    <cfRule type="cellIs" dxfId="1267" priority="3290" operator="lessThan">
      <formula>0</formula>
    </cfRule>
  </conditionalFormatting>
  <conditionalFormatting sqref="H86:H1048576">
    <cfRule type="cellIs" dxfId="1266" priority="3289" operator="lessThan">
      <formula>0</formula>
    </cfRule>
  </conditionalFormatting>
  <conditionalFormatting sqref="H86:H1048576">
    <cfRule type="cellIs" dxfId="1265" priority="3288" operator="lessThan">
      <formula>0</formula>
    </cfRule>
  </conditionalFormatting>
  <conditionalFormatting sqref="H86:H1048576">
    <cfRule type="cellIs" dxfId="1264" priority="3287" operator="lessThan">
      <formula>0</formula>
    </cfRule>
  </conditionalFormatting>
  <conditionalFormatting sqref="H86:H1048576">
    <cfRule type="cellIs" dxfId="1263" priority="3286" operator="lessThan">
      <formula>0</formula>
    </cfRule>
  </conditionalFormatting>
  <conditionalFormatting sqref="H86:H1048576">
    <cfRule type="cellIs" dxfId="1262" priority="3285" operator="lessThan">
      <formula>0</formula>
    </cfRule>
  </conditionalFormatting>
  <conditionalFormatting sqref="H86:H1048576">
    <cfRule type="cellIs" dxfId="1261" priority="3284" operator="lessThan">
      <formula>0</formula>
    </cfRule>
  </conditionalFormatting>
  <conditionalFormatting sqref="H86:H1048576">
    <cfRule type="cellIs" dxfId="1260" priority="3283" operator="lessThan">
      <formula>0</formula>
    </cfRule>
  </conditionalFormatting>
  <conditionalFormatting sqref="H86:H1048576">
    <cfRule type="cellIs" dxfId="1259" priority="3282" operator="lessThan">
      <formula>0</formula>
    </cfRule>
  </conditionalFormatting>
  <conditionalFormatting sqref="H86:H1048576">
    <cfRule type="cellIs" dxfId="1258" priority="3281" operator="lessThan">
      <formula>0</formula>
    </cfRule>
  </conditionalFormatting>
  <conditionalFormatting sqref="H86:H1048576">
    <cfRule type="cellIs" dxfId="1257" priority="3280" operator="lessThan">
      <formula>0</formula>
    </cfRule>
  </conditionalFormatting>
  <conditionalFormatting sqref="H86:H1048576">
    <cfRule type="cellIs" dxfId="1256" priority="3279" operator="lessThan">
      <formula>0</formula>
    </cfRule>
  </conditionalFormatting>
  <conditionalFormatting sqref="H86:H1048576">
    <cfRule type="cellIs" dxfId="1255" priority="3278" operator="lessThan">
      <formula>0</formula>
    </cfRule>
  </conditionalFormatting>
  <conditionalFormatting sqref="H86:H1048576">
    <cfRule type="cellIs" dxfId="1254" priority="3277" operator="lessThan">
      <formula>0</formula>
    </cfRule>
  </conditionalFormatting>
  <conditionalFormatting sqref="H86:H1048576">
    <cfRule type="cellIs" dxfId="1253" priority="3276" operator="lessThan">
      <formula>0</formula>
    </cfRule>
  </conditionalFormatting>
  <conditionalFormatting sqref="H86:H1048576">
    <cfRule type="cellIs" dxfId="1252" priority="3275" operator="lessThan">
      <formula>0</formula>
    </cfRule>
  </conditionalFormatting>
  <conditionalFormatting sqref="H86:H1048576">
    <cfRule type="cellIs" dxfId="1251" priority="3274" operator="lessThan">
      <formula>0</formula>
    </cfRule>
  </conditionalFormatting>
  <conditionalFormatting sqref="H86:H1048576">
    <cfRule type="cellIs" dxfId="1250" priority="3273" operator="lessThan">
      <formula>0</formula>
    </cfRule>
  </conditionalFormatting>
  <conditionalFormatting sqref="H86:H1048576">
    <cfRule type="cellIs" dxfId="1249" priority="3272" operator="lessThan">
      <formula>0</formula>
    </cfRule>
  </conditionalFormatting>
  <conditionalFormatting sqref="H86:H1048576">
    <cfRule type="cellIs" dxfId="1248" priority="3271" operator="lessThan">
      <formula>0</formula>
    </cfRule>
  </conditionalFormatting>
  <conditionalFormatting sqref="H86:H1048576">
    <cfRule type="cellIs" dxfId="1247" priority="3270" operator="lessThan">
      <formula>0</formula>
    </cfRule>
  </conditionalFormatting>
  <conditionalFormatting sqref="H86:H1048576">
    <cfRule type="cellIs" dxfId="1246" priority="3269" operator="lessThan">
      <formula>0</formula>
    </cfRule>
  </conditionalFormatting>
  <conditionalFormatting sqref="H86:H1048576">
    <cfRule type="cellIs" dxfId="1245" priority="3268" operator="lessThan">
      <formula>0</formula>
    </cfRule>
  </conditionalFormatting>
  <conditionalFormatting sqref="H86:H1048576">
    <cfRule type="cellIs" dxfId="1244" priority="3267" operator="lessThan">
      <formula>0</formula>
    </cfRule>
  </conditionalFormatting>
  <conditionalFormatting sqref="H86:H1048576">
    <cfRule type="cellIs" dxfId="1243" priority="3266" operator="lessThan">
      <formula>0</formula>
    </cfRule>
  </conditionalFormatting>
  <conditionalFormatting sqref="H86:H1048576">
    <cfRule type="cellIs" dxfId="1242" priority="3265" operator="lessThan">
      <formula>0</formula>
    </cfRule>
  </conditionalFormatting>
  <conditionalFormatting sqref="H86:H1048576">
    <cfRule type="cellIs" dxfId="1241" priority="3264" operator="lessThan">
      <formula>0</formula>
    </cfRule>
  </conditionalFormatting>
  <conditionalFormatting sqref="H86:H1048576">
    <cfRule type="cellIs" dxfId="1240" priority="3263" operator="lessThan">
      <formula>0</formula>
    </cfRule>
  </conditionalFormatting>
  <conditionalFormatting sqref="H86:H1048576">
    <cfRule type="cellIs" dxfId="1239" priority="3262" operator="lessThan">
      <formula>0</formula>
    </cfRule>
  </conditionalFormatting>
  <conditionalFormatting sqref="H86:H1048576">
    <cfRule type="cellIs" dxfId="1238" priority="3261" operator="lessThan">
      <formula>0</formula>
    </cfRule>
  </conditionalFormatting>
  <conditionalFormatting sqref="H86:H1048576">
    <cfRule type="cellIs" dxfId="1237" priority="3260" operator="lessThan">
      <formula>0</formula>
    </cfRule>
  </conditionalFormatting>
  <conditionalFormatting sqref="H86:H1048576">
    <cfRule type="cellIs" dxfId="1236" priority="3259" operator="lessThan">
      <formula>0</formula>
    </cfRule>
  </conditionalFormatting>
  <conditionalFormatting sqref="H86:H1048576">
    <cfRule type="cellIs" dxfId="1235" priority="3258" operator="lessThan">
      <formula>0</formula>
    </cfRule>
  </conditionalFormatting>
  <conditionalFormatting sqref="H86:H1048576">
    <cfRule type="cellIs" dxfId="1234" priority="3257" operator="lessThan">
      <formula>0</formula>
    </cfRule>
  </conditionalFormatting>
  <conditionalFormatting sqref="H86:H1048576">
    <cfRule type="cellIs" dxfId="1233" priority="3256" operator="lessThan">
      <formula>0</formula>
    </cfRule>
  </conditionalFormatting>
  <conditionalFormatting sqref="H86:H1048576">
    <cfRule type="cellIs" dxfId="1232" priority="3255" operator="lessThan">
      <formula>0</formula>
    </cfRule>
  </conditionalFormatting>
  <conditionalFormatting sqref="H86:H1048576">
    <cfRule type="cellIs" dxfId="1231" priority="3254" operator="lessThan">
      <formula>0</formula>
    </cfRule>
  </conditionalFormatting>
  <conditionalFormatting sqref="H86:H1048576">
    <cfRule type="cellIs" dxfId="1230" priority="3253" operator="lessThan">
      <formula>0</formula>
    </cfRule>
  </conditionalFormatting>
  <conditionalFormatting sqref="H86:H1048576">
    <cfRule type="cellIs" dxfId="1229" priority="3252" operator="lessThan">
      <formula>0</formula>
    </cfRule>
  </conditionalFormatting>
  <conditionalFormatting sqref="H86:H1048576">
    <cfRule type="cellIs" dxfId="1228" priority="3251" operator="lessThan">
      <formula>0</formula>
    </cfRule>
  </conditionalFormatting>
  <conditionalFormatting sqref="H86:H1048576">
    <cfRule type="cellIs" dxfId="1227" priority="3250" operator="lessThan">
      <formula>0</formula>
    </cfRule>
  </conditionalFormatting>
  <conditionalFormatting sqref="H86:H1048576">
    <cfRule type="cellIs" dxfId="1226" priority="3249" operator="lessThan">
      <formula>0</formula>
    </cfRule>
  </conditionalFormatting>
  <conditionalFormatting sqref="H86:H1048576">
    <cfRule type="cellIs" dxfId="1225" priority="3248" operator="lessThan">
      <formula>0</formula>
    </cfRule>
  </conditionalFormatting>
  <conditionalFormatting sqref="H86:H1048576">
    <cfRule type="cellIs" dxfId="1224" priority="3247" operator="lessThan">
      <formula>0</formula>
    </cfRule>
  </conditionalFormatting>
  <conditionalFormatting sqref="H86:H1048576">
    <cfRule type="cellIs" dxfId="1223" priority="3246" operator="lessThan">
      <formula>0</formula>
    </cfRule>
  </conditionalFormatting>
  <conditionalFormatting sqref="H86:H1048576">
    <cfRule type="cellIs" dxfId="1222" priority="3245" operator="lessThan">
      <formula>0</formula>
    </cfRule>
  </conditionalFormatting>
  <conditionalFormatting sqref="H86:H1048576">
    <cfRule type="cellIs" dxfId="1221" priority="3244" operator="lessThan">
      <formula>0</formula>
    </cfRule>
  </conditionalFormatting>
  <conditionalFormatting sqref="H86:H1048576">
    <cfRule type="cellIs" dxfId="1220" priority="3243" operator="lessThan">
      <formula>0</formula>
    </cfRule>
  </conditionalFormatting>
  <conditionalFormatting sqref="H86:H1048576">
    <cfRule type="cellIs" dxfId="1219" priority="3242" operator="lessThan">
      <formula>0</formula>
    </cfRule>
  </conditionalFormatting>
  <conditionalFormatting sqref="H86:H1048576">
    <cfRule type="cellIs" dxfId="1218" priority="3241" operator="lessThan">
      <formula>0</formula>
    </cfRule>
  </conditionalFormatting>
  <conditionalFormatting sqref="H86:H1048576">
    <cfRule type="cellIs" dxfId="1217" priority="3240" operator="lessThan">
      <formula>0</formula>
    </cfRule>
  </conditionalFormatting>
  <conditionalFormatting sqref="H86:H1048576">
    <cfRule type="cellIs" dxfId="1216" priority="3239" operator="lessThan">
      <formula>0</formula>
    </cfRule>
  </conditionalFormatting>
  <conditionalFormatting sqref="H86:H1048576">
    <cfRule type="cellIs" dxfId="1215" priority="3238" operator="lessThan">
      <formula>0</formula>
    </cfRule>
  </conditionalFormatting>
  <conditionalFormatting sqref="H86:H1048576">
    <cfRule type="cellIs" dxfId="1214" priority="3237" operator="lessThan">
      <formula>0</formula>
    </cfRule>
  </conditionalFormatting>
  <conditionalFormatting sqref="H86:H1048576">
    <cfRule type="cellIs" dxfId="1213" priority="3236" operator="lessThan">
      <formula>0</formula>
    </cfRule>
  </conditionalFormatting>
  <conditionalFormatting sqref="H86:H1048576">
    <cfRule type="cellIs" dxfId="1212" priority="3235" operator="lessThan">
      <formula>0</formula>
    </cfRule>
  </conditionalFormatting>
  <conditionalFormatting sqref="H86:H1048576">
    <cfRule type="cellIs" dxfId="1211" priority="3234" operator="lessThan">
      <formula>0</formula>
    </cfRule>
  </conditionalFormatting>
  <conditionalFormatting sqref="H86:H1048576">
    <cfRule type="cellIs" dxfId="1210" priority="3233" operator="lessThan">
      <formula>0</formula>
    </cfRule>
  </conditionalFormatting>
  <conditionalFormatting sqref="H86:H1048576">
    <cfRule type="cellIs" dxfId="1209" priority="3232" operator="lessThan">
      <formula>0</formula>
    </cfRule>
  </conditionalFormatting>
  <conditionalFormatting sqref="H86:H1048576">
    <cfRule type="cellIs" dxfId="1208" priority="3231" operator="lessThan">
      <formula>0</formula>
    </cfRule>
  </conditionalFormatting>
  <conditionalFormatting sqref="H86:H1048576">
    <cfRule type="cellIs" dxfId="1207" priority="3230" operator="lessThan">
      <formula>0</formula>
    </cfRule>
  </conditionalFormatting>
  <conditionalFormatting sqref="H86:H1048576">
    <cfRule type="cellIs" dxfId="1206" priority="3229" operator="lessThan">
      <formula>0</formula>
    </cfRule>
  </conditionalFormatting>
  <conditionalFormatting sqref="H86:H1048576">
    <cfRule type="cellIs" dxfId="1205" priority="3228" operator="lessThan">
      <formula>0</formula>
    </cfRule>
  </conditionalFormatting>
  <conditionalFormatting sqref="H86:H1048576">
    <cfRule type="cellIs" dxfId="1204" priority="3227" operator="lessThan">
      <formula>0</formula>
    </cfRule>
  </conditionalFormatting>
  <conditionalFormatting sqref="H86:H1048576">
    <cfRule type="cellIs" dxfId="1203" priority="3226" operator="lessThan">
      <formula>0</formula>
    </cfRule>
  </conditionalFormatting>
  <conditionalFormatting sqref="H86:H1048576">
    <cfRule type="cellIs" dxfId="1202" priority="3225" operator="lessThan">
      <formula>0</formula>
    </cfRule>
  </conditionalFormatting>
  <conditionalFormatting sqref="H86:H1048576">
    <cfRule type="cellIs" dxfId="1201" priority="3224" operator="lessThan">
      <formula>0</formula>
    </cfRule>
  </conditionalFormatting>
  <conditionalFormatting sqref="H86:H1048576">
    <cfRule type="cellIs" dxfId="1200" priority="3223" operator="lessThan">
      <formula>0</formula>
    </cfRule>
  </conditionalFormatting>
  <conditionalFormatting sqref="H86:H1048576">
    <cfRule type="cellIs" dxfId="1199" priority="3222" operator="lessThan">
      <formula>0</formula>
    </cfRule>
  </conditionalFormatting>
  <conditionalFormatting sqref="H86:H1048576">
    <cfRule type="cellIs" dxfId="1198" priority="3221" operator="lessThan">
      <formula>0</formula>
    </cfRule>
  </conditionalFormatting>
  <conditionalFormatting sqref="H86:H1048576">
    <cfRule type="cellIs" dxfId="1197" priority="3220" operator="lessThan">
      <formula>0</formula>
    </cfRule>
  </conditionalFormatting>
  <conditionalFormatting sqref="H86:H1048576">
    <cfRule type="cellIs" dxfId="1196" priority="3219" operator="lessThan">
      <formula>0</formula>
    </cfRule>
  </conditionalFormatting>
  <conditionalFormatting sqref="H86:H1048576">
    <cfRule type="cellIs" dxfId="1195" priority="3218" operator="lessThan">
      <formula>0</formula>
    </cfRule>
  </conditionalFormatting>
  <conditionalFormatting sqref="H86:H1048576">
    <cfRule type="cellIs" dxfId="1194" priority="3217" operator="lessThan">
      <formula>0</formula>
    </cfRule>
  </conditionalFormatting>
  <conditionalFormatting sqref="H86:H1048576">
    <cfRule type="cellIs" dxfId="1193" priority="3216" operator="lessThan">
      <formula>0</formula>
    </cfRule>
  </conditionalFormatting>
  <conditionalFormatting sqref="H86:H1048576">
    <cfRule type="cellIs" dxfId="1192" priority="3215" operator="lessThan">
      <formula>0</formula>
    </cfRule>
  </conditionalFormatting>
  <conditionalFormatting sqref="H86:H1048576">
    <cfRule type="cellIs" dxfId="1191" priority="3214" operator="lessThan">
      <formula>0</formula>
    </cfRule>
  </conditionalFormatting>
  <conditionalFormatting sqref="H86:H1048576">
    <cfRule type="cellIs" dxfId="1190" priority="3213" operator="lessThan">
      <formula>0</formula>
    </cfRule>
  </conditionalFormatting>
  <conditionalFormatting sqref="H86:H1048576">
    <cfRule type="cellIs" dxfId="1189" priority="3212" operator="lessThan">
      <formula>0</formula>
    </cfRule>
  </conditionalFormatting>
  <conditionalFormatting sqref="H86:H1048576">
    <cfRule type="cellIs" dxfId="1188" priority="3211" operator="lessThan">
      <formula>0</formula>
    </cfRule>
  </conditionalFormatting>
  <conditionalFormatting sqref="H86:H1048576">
    <cfRule type="cellIs" dxfId="1187" priority="3210" operator="lessThan">
      <formula>0</formula>
    </cfRule>
  </conditionalFormatting>
  <conditionalFormatting sqref="H86:H1048576">
    <cfRule type="cellIs" dxfId="1186" priority="3209" operator="lessThan">
      <formula>0</formula>
    </cfRule>
  </conditionalFormatting>
  <conditionalFormatting sqref="H86:H1048576">
    <cfRule type="cellIs" dxfId="1185" priority="3208" operator="lessThan">
      <formula>0</formula>
    </cfRule>
  </conditionalFormatting>
  <conditionalFormatting sqref="H86:H1048576">
    <cfRule type="cellIs" dxfId="1184" priority="3207" operator="lessThan">
      <formula>0</formula>
    </cfRule>
  </conditionalFormatting>
  <conditionalFormatting sqref="H86:H1048576">
    <cfRule type="cellIs" dxfId="1183" priority="3206" operator="lessThan">
      <formula>0</formula>
    </cfRule>
  </conditionalFormatting>
  <conditionalFormatting sqref="H86:H1048576">
    <cfRule type="cellIs" dxfId="1182" priority="3205" operator="lessThan">
      <formula>0</formula>
    </cfRule>
  </conditionalFormatting>
  <conditionalFormatting sqref="H86:H1048576">
    <cfRule type="cellIs" dxfId="1181" priority="3204" operator="lessThan">
      <formula>0</formula>
    </cfRule>
  </conditionalFormatting>
  <conditionalFormatting sqref="H86:H1048576">
    <cfRule type="cellIs" dxfId="1180" priority="3203" operator="lessThan">
      <formula>0</formula>
    </cfRule>
  </conditionalFormatting>
  <conditionalFormatting sqref="H86:H1048576">
    <cfRule type="cellIs" dxfId="1179" priority="3202" operator="lessThan">
      <formula>0</formula>
    </cfRule>
  </conditionalFormatting>
  <conditionalFormatting sqref="H86:H1048576">
    <cfRule type="cellIs" dxfId="1178" priority="3201" operator="lessThan">
      <formula>0</formula>
    </cfRule>
  </conditionalFormatting>
  <conditionalFormatting sqref="H86:H1048576">
    <cfRule type="cellIs" dxfId="1177" priority="3200" operator="lessThan">
      <formula>0</formula>
    </cfRule>
  </conditionalFormatting>
  <conditionalFormatting sqref="H86:H1048576">
    <cfRule type="cellIs" dxfId="1176" priority="3199" operator="lessThan">
      <formula>0</formula>
    </cfRule>
  </conditionalFormatting>
  <conditionalFormatting sqref="H86:H1048576">
    <cfRule type="cellIs" dxfId="1175" priority="3198" operator="lessThan">
      <formula>0</formula>
    </cfRule>
  </conditionalFormatting>
  <conditionalFormatting sqref="H86:H1048576">
    <cfRule type="cellIs" dxfId="1174" priority="3197" operator="lessThan">
      <formula>0</formula>
    </cfRule>
  </conditionalFormatting>
  <conditionalFormatting sqref="H86:H1048576">
    <cfRule type="cellIs" dxfId="1173" priority="3196" operator="lessThan">
      <formula>0</formula>
    </cfRule>
  </conditionalFormatting>
  <conditionalFormatting sqref="H86:H1048576">
    <cfRule type="cellIs" dxfId="1172" priority="3195" operator="lessThan">
      <formula>0</formula>
    </cfRule>
  </conditionalFormatting>
  <conditionalFormatting sqref="H86:H1048576">
    <cfRule type="cellIs" dxfId="1171" priority="3194" operator="lessThan">
      <formula>0</formula>
    </cfRule>
  </conditionalFormatting>
  <conditionalFormatting sqref="H86:H1048576">
    <cfRule type="cellIs" dxfId="1170" priority="3193" operator="lessThan">
      <formula>0</formula>
    </cfRule>
  </conditionalFormatting>
  <conditionalFormatting sqref="H86:H1048576">
    <cfRule type="cellIs" dxfId="1169" priority="3192" operator="lessThan">
      <formula>0</formula>
    </cfRule>
  </conditionalFormatting>
  <conditionalFormatting sqref="H86:H1048576">
    <cfRule type="cellIs" dxfId="1168" priority="3191" operator="lessThan">
      <formula>0</formula>
    </cfRule>
  </conditionalFormatting>
  <conditionalFormatting sqref="H86:H1048576">
    <cfRule type="cellIs" dxfId="1167" priority="3190" operator="lessThan">
      <formula>0</formula>
    </cfRule>
  </conditionalFormatting>
  <conditionalFormatting sqref="H86:H1048576">
    <cfRule type="cellIs" dxfId="1166" priority="3189" operator="lessThan">
      <formula>0</formula>
    </cfRule>
  </conditionalFormatting>
  <conditionalFormatting sqref="H86:H1048576">
    <cfRule type="cellIs" dxfId="1165" priority="3188" operator="lessThan">
      <formula>0</formula>
    </cfRule>
  </conditionalFormatting>
  <conditionalFormatting sqref="H86:H1048576">
    <cfRule type="cellIs" dxfId="1164" priority="3187" operator="lessThan">
      <formula>0</formula>
    </cfRule>
  </conditionalFormatting>
  <conditionalFormatting sqref="H86:H1048576">
    <cfRule type="cellIs" dxfId="1163" priority="3186" operator="lessThan">
      <formula>0</formula>
    </cfRule>
  </conditionalFormatting>
  <conditionalFormatting sqref="H86:H1048576">
    <cfRule type="cellIs" dxfId="1162" priority="3185" operator="lessThan">
      <formula>0</formula>
    </cfRule>
  </conditionalFormatting>
  <conditionalFormatting sqref="H86:H1048576">
    <cfRule type="cellIs" dxfId="1161" priority="3184" operator="lessThan">
      <formula>0</formula>
    </cfRule>
  </conditionalFormatting>
  <conditionalFormatting sqref="H86:H1048576">
    <cfRule type="cellIs" dxfId="1160" priority="3183" operator="lessThan">
      <formula>0</formula>
    </cfRule>
  </conditionalFormatting>
  <conditionalFormatting sqref="H86:H1048576">
    <cfRule type="cellIs" dxfId="1159" priority="3182" operator="lessThan">
      <formula>0</formula>
    </cfRule>
  </conditionalFormatting>
  <conditionalFormatting sqref="H86:H1048576">
    <cfRule type="cellIs" dxfId="1158" priority="3181" operator="lessThan">
      <formula>0</formula>
    </cfRule>
  </conditionalFormatting>
  <conditionalFormatting sqref="H86:H1048576">
    <cfRule type="cellIs" dxfId="1157" priority="3180" operator="lessThan">
      <formula>0</formula>
    </cfRule>
  </conditionalFormatting>
  <conditionalFormatting sqref="H86:H1048576">
    <cfRule type="cellIs" dxfId="1156" priority="3179" operator="lessThan">
      <formula>0</formula>
    </cfRule>
  </conditionalFormatting>
  <conditionalFormatting sqref="H86:H1048576">
    <cfRule type="cellIs" dxfId="1155" priority="3178" operator="lessThan">
      <formula>0</formula>
    </cfRule>
  </conditionalFormatting>
  <conditionalFormatting sqref="H86:H1048576">
    <cfRule type="cellIs" dxfId="1154" priority="3177" operator="lessThan">
      <formula>0</formula>
    </cfRule>
  </conditionalFormatting>
  <conditionalFormatting sqref="H86:H1048576">
    <cfRule type="cellIs" dxfId="1153" priority="3176" operator="lessThan">
      <formula>0</formula>
    </cfRule>
  </conditionalFormatting>
  <conditionalFormatting sqref="H86:H1048576">
    <cfRule type="cellIs" dxfId="1152" priority="3175" operator="lessThan">
      <formula>0</formula>
    </cfRule>
  </conditionalFormatting>
  <conditionalFormatting sqref="H86:H1048576">
    <cfRule type="cellIs" dxfId="1151" priority="3174" operator="lessThan">
      <formula>0</formula>
    </cfRule>
  </conditionalFormatting>
  <conditionalFormatting sqref="H86:H1048576">
    <cfRule type="cellIs" dxfId="1150" priority="3173" operator="lessThan">
      <formula>0</formula>
    </cfRule>
  </conditionalFormatting>
  <conditionalFormatting sqref="H86:H1048576">
    <cfRule type="cellIs" dxfId="1149" priority="3172" operator="lessThan">
      <formula>0</formula>
    </cfRule>
  </conditionalFormatting>
  <conditionalFormatting sqref="H86:H1048576">
    <cfRule type="cellIs" dxfId="1148" priority="3171" operator="lessThan">
      <formula>0</formula>
    </cfRule>
  </conditionalFormatting>
  <conditionalFormatting sqref="H86:H1048576">
    <cfRule type="cellIs" dxfId="1147" priority="3170" operator="lessThan">
      <formula>0</formula>
    </cfRule>
  </conditionalFormatting>
  <conditionalFormatting sqref="H86:H1048576">
    <cfRule type="cellIs" dxfId="1146" priority="3169" operator="lessThan">
      <formula>0</formula>
    </cfRule>
  </conditionalFormatting>
  <conditionalFormatting sqref="H86:H1048576">
    <cfRule type="cellIs" dxfId="1145" priority="3168" operator="lessThan">
      <formula>0</formula>
    </cfRule>
  </conditionalFormatting>
  <conditionalFormatting sqref="H86:H1048576">
    <cfRule type="cellIs" dxfId="1144" priority="3167" operator="lessThan">
      <formula>0</formula>
    </cfRule>
  </conditionalFormatting>
  <conditionalFormatting sqref="H86:H1048576">
    <cfRule type="cellIs" dxfId="1143" priority="3166" operator="lessThan">
      <formula>0</formula>
    </cfRule>
  </conditionalFormatting>
  <conditionalFormatting sqref="H86:H1048576">
    <cfRule type="cellIs" dxfId="1142" priority="3165" operator="lessThan">
      <formula>0</formula>
    </cfRule>
  </conditionalFormatting>
  <conditionalFormatting sqref="H86:H1048576">
    <cfRule type="cellIs" dxfId="1141" priority="3164" operator="lessThan">
      <formula>0</formula>
    </cfRule>
  </conditionalFormatting>
  <conditionalFormatting sqref="H86:H1048576">
    <cfRule type="cellIs" dxfId="1140" priority="3163" operator="lessThan">
      <formula>0</formula>
    </cfRule>
  </conditionalFormatting>
  <conditionalFormatting sqref="H86:H1048576">
    <cfRule type="cellIs" dxfId="1139" priority="3162" operator="lessThan">
      <formula>0</formula>
    </cfRule>
  </conditionalFormatting>
  <conditionalFormatting sqref="H86:H1048576">
    <cfRule type="cellIs" dxfId="1138" priority="3161" operator="lessThan">
      <formula>0</formula>
    </cfRule>
  </conditionalFormatting>
  <conditionalFormatting sqref="H86:H1048576">
    <cfRule type="cellIs" dxfId="1137" priority="3160" operator="lessThan">
      <formula>0</formula>
    </cfRule>
  </conditionalFormatting>
  <conditionalFormatting sqref="H86:H1048576">
    <cfRule type="cellIs" dxfId="1136" priority="3159" operator="lessThan">
      <formula>0</formula>
    </cfRule>
  </conditionalFormatting>
  <conditionalFormatting sqref="H86:H1048576">
    <cfRule type="cellIs" dxfId="1135" priority="3158" operator="lessThan">
      <formula>0</formula>
    </cfRule>
  </conditionalFormatting>
  <conditionalFormatting sqref="H86:H1048576">
    <cfRule type="cellIs" dxfId="1134" priority="3157" operator="lessThan">
      <formula>0</formula>
    </cfRule>
  </conditionalFormatting>
  <conditionalFormatting sqref="H86:H1048576">
    <cfRule type="cellIs" dxfId="1133" priority="3156" operator="lessThan">
      <formula>0</formula>
    </cfRule>
  </conditionalFormatting>
  <conditionalFormatting sqref="H86:H1048576">
    <cfRule type="cellIs" dxfId="1132" priority="3155" operator="lessThan">
      <formula>0</formula>
    </cfRule>
  </conditionalFormatting>
  <conditionalFormatting sqref="H86:H1048576">
    <cfRule type="cellIs" dxfId="1131" priority="3154" operator="lessThan">
      <formula>0</formula>
    </cfRule>
  </conditionalFormatting>
  <conditionalFormatting sqref="H86:H1048576">
    <cfRule type="cellIs" dxfId="1130" priority="3153" operator="lessThan">
      <formula>0</formula>
    </cfRule>
  </conditionalFormatting>
  <conditionalFormatting sqref="H86:H1048576">
    <cfRule type="cellIs" dxfId="1129" priority="3152" operator="lessThan">
      <formula>0</formula>
    </cfRule>
  </conditionalFormatting>
  <conditionalFormatting sqref="H86:H1048576">
    <cfRule type="cellIs" dxfId="1128" priority="3151" operator="lessThan">
      <formula>0</formula>
    </cfRule>
  </conditionalFormatting>
  <conditionalFormatting sqref="H86:H1048576">
    <cfRule type="cellIs" dxfId="1127" priority="3150" operator="lessThan">
      <formula>0</formula>
    </cfRule>
  </conditionalFormatting>
  <conditionalFormatting sqref="H86:H1048576">
    <cfRule type="cellIs" dxfId="1126" priority="3149" operator="lessThan">
      <formula>0</formula>
    </cfRule>
  </conditionalFormatting>
  <conditionalFormatting sqref="H86:H1048576">
    <cfRule type="cellIs" dxfId="1125" priority="3148" operator="lessThan">
      <formula>0</formula>
    </cfRule>
  </conditionalFormatting>
  <conditionalFormatting sqref="H86:H1048576">
    <cfRule type="cellIs" dxfId="1124" priority="3147" operator="lessThan">
      <formula>0</formula>
    </cfRule>
  </conditionalFormatting>
  <conditionalFormatting sqref="H86:H1048576">
    <cfRule type="cellIs" dxfId="1123" priority="3146" operator="lessThan">
      <formula>0</formula>
    </cfRule>
  </conditionalFormatting>
  <conditionalFormatting sqref="H86:H1048576">
    <cfRule type="cellIs" dxfId="1122" priority="3145" operator="lessThan">
      <formula>0</formula>
    </cfRule>
  </conditionalFormatting>
  <conditionalFormatting sqref="H86:H1048576">
    <cfRule type="cellIs" dxfId="1121" priority="3144" operator="lessThan">
      <formula>0</formula>
    </cfRule>
  </conditionalFormatting>
  <conditionalFormatting sqref="H86:H1048576">
    <cfRule type="cellIs" dxfId="1120" priority="3143" operator="lessThan">
      <formula>0</formula>
    </cfRule>
  </conditionalFormatting>
  <conditionalFormatting sqref="H86:H1048576">
    <cfRule type="cellIs" dxfId="1119" priority="3142" operator="lessThan">
      <formula>0</formula>
    </cfRule>
  </conditionalFormatting>
  <conditionalFormatting sqref="H86:H1048576">
    <cfRule type="cellIs" dxfId="1118" priority="3141" operator="lessThan">
      <formula>0</formula>
    </cfRule>
  </conditionalFormatting>
  <conditionalFormatting sqref="H86:H1048576">
    <cfRule type="cellIs" dxfId="1117" priority="3140" operator="lessThan">
      <formula>0</formula>
    </cfRule>
  </conditionalFormatting>
  <conditionalFormatting sqref="H86:H1048576">
    <cfRule type="cellIs" dxfId="1116" priority="3139" operator="lessThan">
      <formula>0</formula>
    </cfRule>
  </conditionalFormatting>
  <conditionalFormatting sqref="H86:H1048576">
    <cfRule type="cellIs" dxfId="1115" priority="3138" operator="lessThan">
      <formula>0</formula>
    </cfRule>
  </conditionalFormatting>
  <conditionalFormatting sqref="H86:H1048576">
    <cfRule type="cellIs" dxfId="1114" priority="3137" operator="lessThan">
      <formula>0</formula>
    </cfRule>
  </conditionalFormatting>
  <conditionalFormatting sqref="H86:H1048576">
    <cfRule type="cellIs" dxfId="1113" priority="3136" operator="lessThan">
      <formula>0</formula>
    </cfRule>
  </conditionalFormatting>
  <conditionalFormatting sqref="H86:H1048576">
    <cfRule type="cellIs" dxfId="1112" priority="3135" operator="lessThan">
      <formula>0</formula>
    </cfRule>
  </conditionalFormatting>
  <conditionalFormatting sqref="H86:H1048576">
    <cfRule type="cellIs" dxfId="1111" priority="3134" operator="lessThan">
      <formula>0</formula>
    </cfRule>
  </conditionalFormatting>
  <conditionalFormatting sqref="H86:H1048576">
    <cfRule type="cellIs" dxfId="1110" priority="3133" operator="lessThan">
      <formula>0</formula>
    </cfRule>
  </conditionalFormatting>
  <conditionalFormatting sqref="H86:H1048576">
    <cfRule type="cellIs" dxfId="1109" priority="3132" operator="lessThan">
      <formula>0</formula>
    </cfRule>
  </conditionalFormatting>
  <conditionalFormatting sqref="H86:H1048576">
    <cfRule type="cellIs" dxfId="1108" priority="3131" operator="lessThan">
      <formula>0</formula>
    </cfRule>
  </conditionalFormatting>
  <conditionalFormatting sqref="H86:H1048576">
    <cfRule type="cellIs" dxfId="1107" priority="3130" operator="lessThan">
      <formula>0</formula>
    </cfRule>
  </conditionalFormatting>
  <conditionalFormatting sqref="H86:H1048576">
    <cfRule type="cellIs" dxfId="1106" priority="3129" operator="lessThan">
      <formula>0</formula>
    </cfRule>
  </conditionalFormatting>
  <conditionalFormatting sqref="H86:H1048576">
    <cfRule type="cellIs" dxfId="1105" priority="3128" operator="lessThan">
      <formula>0</formula>
    </cfRule>
  </conditionalFormatting>
  <conditionalFormatting sqref="H86:H1048576">
    <cfRule type="cellIs" dxfId="1104" priority="3127" operator="lessThan">
      <formula>0</formula>
    </cfRule>
  </conditionalFormatting>
  <conditionalFormatting sqref="H86:H1048576">
    <cfRule type="cellIs" dxfId="1103" priority="3126" operator="lessThan">
      <formula>0</formula>
    </cfRule>
  </conditionalFormatting>
  <conditionalFormatting sqref="H86:H1048576">
    <cfRule type="cellIs" dxfId="1102" priority="3125" operator="lessThan">
      <formula>0</formula>
    </cfRule>
  </conditionalFormatting>
  <conditionalFormatting sqref="H86:H1048576">
    <cfRule type="cellIs" dxfId="1101" priority="3124" operator="lessThan">
      <formula>0</formula>
    </cfRule>
  </conditionalFormatting>
  <conditionalFormatting sqref="H86:H1048576">
    <cfRule type="cellIs" dxfId="1100" priority="3123" operator="lessThan">
      <formula>0</formula>
    </cfRule>
  </conditionalFormatting>
  <conditionalFormatting sqref="H86:H1048576">
    <cfRule type="cellIs" dxfId="1099" priority="3122" operator="lessThan">
      <formula>0</formula>
    </cfRule>
  </conditionalFormatting>
  <conditionalFormatting sqref="H86:H1048576">
    <cfRule type="cellIs" dxfId="1098" priority="3121" operator="lessThan">
      <formula>0</formula>
    </cfRule>
  </conditionalFormatting>
  <conditionalFormatting sqref="H86:H1048576">
    <cfRule type="cellIs" dxfId="1097" priority="3120" operator="lessThan">
      <formula>0</formula>
    </cfRule>
  </conditionalFormatting>
  <conditionalFormatting sqref="H86:H1048576">
    <cfRule type="cellIs" dxfId="1096" priority="3119" operator="lessThan">
      <formula>0</formula>
    </cfRule>
  </conditionalFormatting>
  <conditionalFormatting sqref="H86:H1048576">
    <cfRule type="cellIs" dxfId="1095" priority="3118" operator="lessThan">
      <formula>0</formula>
    </cfRule>
  </conditionalFormatting>
  <conditionalFormatting sqref="H86:H1048576">
    <cfRule type="cellIs" dxfId="1094" priority="3117" operator="lessThan">
      <formula>0</formula>
    </cfRule>
  </conditionalFormatting>
  <conditionalFormatting sqref="H86:H1048576">
    <cfRule type="cellIs" dxfId="1093" priority="3116" operator="lessThan">
      <formula>0</formula>
    </cfRule>
  </conditionalFormatting>
  <conditionalFormatting sqref="H86:H1048576">
    <cfRule type="cellIs" dxfId="1092" priority="3115" operator="lessThan">
      <formula>0</formula>
    </cfRule>
  </conditionalFormatting>
  <conditionalFormatting sqref="H86:H1048576">
    <cfRule type="cellIs" dxfId="1091" priority="3114" operator="lessThan">
      <formula>0</formula>
    </cfRule>
  </conditionalFormatting>
  <conditionalFormatting sqref="H86:H1048576">
    <cfRule type="cellIs" dxfId="1090" priority="3113" operator="lessThan">
      <formula>0</formula>
    </cfRule>
  </conditionalFormatting>
  <conditionalFormatting sqref="H86:H1048576">
    <cfRule type="cellIs" dxfId="1089" priority="3112" operator="lessThan">
      <formula>0</formula>
    </cfRule>
  </conditionalFormatting>
  <conditionalFormatting sqref="H86:H1048576">
    <cfRule type="cellIs" dxfId="1088" priority="3111" operator="lessThan">
      <formula>0</formula>
    </cfRule>
  </conditionalFormatting>
  <conditionalFormatting sqref="H86:H1048576">
    <cfRule type="cellIs" dxfId="1087" priority="3110" operator="lessThan">
      <formula>0</formula>
    </cfRule>
  </conditionalFormatting>
  <conditionalFormatting sqref="H86:H1048576">
    <cfRule type="cellIs" dxfId="1086" priority="3109" operator="lessThan">
      <formula>0</formula>
    </cfRule>
  </conditionalFormatting>
  <conditionalFormatting sqref="H86:H1048576">
    <cfRule type="cellIs" dxfId="1085" priority="3108" operator="lessThan">
      <formula>0</formula>
    </cfRule>
  </conditionalFormatting>
  <conditionalFormatting sqref="H86:H1048576">
    <cfRule type="cellIs" dxfId="1084" priority="3107" operator="lessThan">
      <formula>0</formula>
    </cfRule>
  </conditionalFormatting>
  <conditionalFormatting sqref="H86:H1048576">
    <cfRule type="cellIs" dxfId="1083" priority="3106" operator="lessThan">
      <formula>0</formula>
    </cfRule>
  </conditionalFormatting>
  <conditionalFormatting sqref="H86:H1048576">
    <cfRule type="cellIs" dxfId="1082" priority="3105" operator="lessThan">
      <formula>0</formula>
    </cfRule>
  </conditionalFormatting>
  <conditionalFormatting sqref="H86:H1048576">
    <cfRule type="cellIs" dxfId="1081" priority="3104" operator="lessThan">
      <formula>0</formula>
    </cfRule>
  </conditionalFormatting>
  <conditionalFormatting sqref="H86:H1048576">
    <cfRule type="cellIs" dxfId="1080" priority="3103" operator="lessThan">
      <formula>0</formula>
    </cfRule>
  </conditionalFormatting>
  <conditionalFormatting sqref="H86:H1048576">
    <cfRule type="cellIs" dxfId="1079" priority="3102" operator="lessThan">
      <formula>0</formula>
    </cfRule>
  </conditionalFormatting>
  <conditionalFormatting sqref="H86:H1048576">
    <cfRule type="cellIs" dxfId="1078" priority="3101" operator="lessThan">
      <formula>0</formula>
    </cfRule>
  </conditionalFormatting>
  <conditionalFormatting sqref="H86:H1048576">
    <cfRule type="cellIs" dxfId="1077" priority="3100" operator="lessThan">
      <formula>0</formula>
    </cfRule>
  </conditionalFormatting>
  <conditionalFormatting sqref="H86:H1048576">
    <cfRule type="cellIs" dxfId="1076" priority="3099" operator="lessThan">
      <formula>0</formula>
    </cfRule>
  </conditionalFormatting>
  <conditionalFormatting sqref="H86:H1048576">
    <cfRule type="cellIs" dxfId="1075" priority="3098" operator="lessThan">
      <formula>0</formula>
    </cfRule>
  </conditionalFormatting>
  <conditionalFormatting sqref="H86:H1048576">
    <cfRule type="cellIs" dxfId="1074" priority="3097" operator="lessThan">
      <formula>0</formula>
    </cfRule>
  </conditionalFormatting>
  <conditionalFormatting sqref="H86:H1048576">
    <cfRule type="cellIs" dxfId="1073" priority="3096" operator="lessThan">
      <formula>0</formula>
    </cfRule>
  </conditionalFormatting>
  <conditionalFormatting sqref="H10:H1048576">
    <cfRule type="cellIs" dxfId="1072" priority="3095" operator="lessThan">
      <formula>0</formula>
    </cfRule>
  </conditionalFormatting>
  <conditionalFormatting sqref="H10:H1048576">
    <cfRule type="cellIs" dxfId="1071" priority="3094" operator="lessThan">
      <formula>0</formula>
    </cfRule>
  </conditionalFormatting>
  <conditionalFormatting sqref="H10:H1048576">
    <cfRule type="cellIs" dxfId="1070" priority="3093" operator="lessThan">
      <formula>0</formula>
    </cfRule>
  </conditionalFormatting>
  <conditionalFormatting sqref="H10:H1048576">
    <cfRule type="cellIs" dxfId="1069" priority="3092" operator="lessThan">
      <formula>0</formula>
    </cfRule>
  </conditionalFormatting>
  <conditionalFormatting sqref="H10:H1048576">
    <cfRule type="cellIs" dxfId="1068" priority="3091" operator="lessThan">
      <formula>0</formula>
    </cfRule>
  </conditionalFormatting>
  <conditionalFormatting sqref="H10:H1048576">
    <cfRule type="cellIs" dxfId="1067" priority="3090" operator="lessThan">
      <formula>0</formula>
    </cfRule>
  </conditionalFormatting>
  <conditionalFormatting sqref="H10:H1048576">
    <cfRule type="cellIs" dxfId="1066" priority="3089" operator="lessThan">
      <formula>0</formula>
    </cfRule>
  </conditionalFormatting>
  <conditionalFormatting sqref="H10:H1048576">
    <cfRule type="cellIs" dxfId="1065" priority="3088" operator="lessThan">
      <formula>0</formula>
    </cfRule>
  </conditionalFormatting>
  <conditionalFormatting sqref="H10:H1048576">
    <cfRule type="cellIs" dxfId="1064" priority="3087" operator="lessThan">
      <formula>0</formula>
    </cfRule>
  </conditionalFormatting>
  <conditionalFormatting sqref="H10:H1048576">
    <cfRule type="cellIs" dxfId="1063" priority="3086" operator="lessThan">
      <formula>0</formula>
    </cfRule>
  </conditionalFormatting>
  <conditionalFormatting sqref="H10:H1048576">
    <cfRule type="cellIs" dxfId="1062" priority="3085" operator="lessThan">
      <formula>0</formula>
    </cfRule>
  </conditionalFormatting>
  <conditionalFormatting sqref="H10:H1048576">
    <cfRule type="cellIs" dxfId="1061" priority="3084" operator="lessThan">
      <formula>0</formula>
    </cfRule>
  </conditionalFormatting>
  <conditionalFormatting sqref="H10:H1048576">
    <cfRule type="cellIs" dxfId="1060" priority="3083" operator="lessThan">
      <formula>0</formula>
    </cfRule>
  </conditionalFormatting>
  <conditionalFormatting sqref="H10:H1048576">
    <cfRule type="cellIs" dxfId="1059" priority="3082" operator="lessThan">
      <formula>0</formula>
    </cfRule>
  </conditionalFormatting>
  <conditionalFormatting sqref="H10:H1048576">
    <cfRule type="cellIs" dxfId="1058" priority="3081" operator="lessThan">
      <formula>0</formula>
    </cfRule>
  </conditionalFormatting>
  <conditionalFormatting sqref="H10:H1048576">
    <cfRule type="cellIs" dxfId="1057" priority="3080" operator="lessThan">
      <formula>0</formula>
    </cfRule>
  </conditionalFormatting>
  <conditionalFormatting sqref="H10:H1048576">
    <cfRule type="cellIs" dxfId="1056" priority="3079" operator="lessThan">
      <formula>0</formula>
    </cfRule>
  </conditionalFormatting>
  <conditionalFormatting sqref="H10:H1048576">
    <cfRule type="cellIs" dxfId="1055" priority="3078" operator="lessThan">
      <formula>0</formula>
    </cfRule>
  </conditionalFormatting>
  <conditionalFormatting sqref="H10:H1048576">
    <cfRule type="cellIs" dxfId="1054" priority="3077" operator="lessThan">
      <formula>0</formula>
    </cfRule>
  </conditionalFormatting>
  <conditionalFormatting sqref="H10:H1048576">
    <cfRule type="cellIs" dxfId="1053" priority="3076" operator="lessThan">
      <formula>0</formula>
    </cfRule>
  </conditionalFormatting>
  <conditionalFormatting sqref="H10:H1048576">
    <cfRule type="cellIs" dxfId="1052" priority="3075" operator="lessThan">
      <formula>0</formula>
    </cfRule>
  </conditionalFormatting>
  <conditionalFormatting sqref="H10:H1048576">
    <cfRule type="cellIs" dxfId="1051" priority="3074" operator="lessThan">
      <formula>0</formula>
    </cfRule>
  </conditionalFormatting>
  <conditionalFormatting sqref="H10:H1048576">
    <cfRule type="cellIs" dxfId="1050" priority="3073" operator="lessThan">
      <formula>0</formula>
    </cfRule>
  </conditionalFormatting>
  <conditionalFormatting sqref="H10:H1048576">
    <cfRule type="cellIs" dxfId="1049" priority="3072" operator="lessThan">
      <formula>0</formula>
    </cfRule>
  </conditionalFormatting>
  <conditionalFormatting sqref="H10:H1048576">
    <cfRule type="cellIs" dxfId="1048" priority="3071" operator="lessThan">
      <formula>0</formula>
    </cfRule>
  </conditionalFormatting>
  <conditionalFormatting sqref="H10:H1048576">
    <cfRule type="cellIs" dxfId="1047" priority="3070" operator="lessThan">
      <formula>0</formula>
    </cfRule>
  </conditionalFormatting>
  <conditionalFormatting sqref="H10:H1048576">
    <cfRule type="cellIs" dxfId="1046" priority="3069" operator="lessThan">
      <formula>0</formula>
    </cfRule>
  </conditionalFormatting>
  <conditionalFormatting sqref="H10:H1048576">
    <cfRule type="cellIs" dxfId="1045" priority="3068" operator="lessThan">
      <formula>0</formula>
    </cfRule>
  </conditionalFormatting>
  <conditionalFormatting sqref="H10:H1048576">
    <cfRule type="cellIs" dxfId="1044" priority="3067" operator="lessThan">
      <formula>0</formula>
    </cfRule>
  </conditionalFormatting>
  <conditionalFormatting sqref="H10:H1048576">
    <cfRule type="cellIs" dxfId="1043" priority="3066" operator="lessThan">
      <formula>0</formula>
    </cfRule>
  </conditionalFormatting>
  <conditionalFormatting sqref="H10:H1048576">
    <cfRule type="cellIs" dxfId="1042" priority="3065" operator="lessThan">
      <formula>0</formula>
    </cfRule>
  </conditionalFormatting>
  <conditionalFormatting sqref="H10:H1048576">
    <cfRule type="cellIs" dxfId="1041" priority="3064" operator="lessThan">
      <formula>0</formula>
    </cfRule>
  </conditionalFormatting>
  <conditionalFormatting sqref="H10:H1048576">
    <cfRule type="cellIs" dxfId="1040" priority="3063" operator="lessThan">
      <formula>0</formula>
    </cfRule>
  </conditionalFormatting>
  <conditionalFormatting sqref="H10:H1048576">
    <cfRule type="cellIs" dxfId="1039" priority="3062" operator="lessThan">
      <formula>0</formula>
    </cfRule>
  </conditionalFormatting>
  <conditionalFormatting sqref="H10:H1048576">
    <cfRule type="cellIs" dxfId="1038" priority="3061" operator="lessThan">
      <formula>0</formula>
    </cfRule>
  </conditionalFormatting>
  <conditionalFormatting sqref="H10:H1048576">
    <cfRule type="cellIs" dxfId="1037" priority="3060" operator="lessThan">
      <formula>0</formula>
    </cfRule>
  </conditionalFormatting>
  <conditionalFormatting sqref="H10:H1048576">
    <cfRule type="cellIs" dxfId="1036" priority="3059" operator="lessThan">
      <formula>0</formula>
    </cfRule>
  </conditionalFormatting>
  <conditionalFormatting sqref="H10:H1048576">
    <cfRule type="cellIs" dxfId="1035" priority="3058" operator="lessThan">
      <formula>0</formula>
    </cfRule>
  </conditionalFormatting>
  <conditionalFormatting sqref="H10:H1048576">
    <cfRule type="cellIs" dxfId="1034" priority="3057" operator="lessThan">
      <formula>0</formula>
    </cfRule>
  </conditionalFormatting>
  <conditionalFormatting sqref="H10:H1048576">
    <cfRule type="cellIs" dxfId="1033" priority="3056" operator="lessThan">
      <formula>0</formula>
    </cfRule>
  </conditionalFormatting>
  <conditionalFormatting sqref="H10:H1048576">
    <cfRule type="cellIs" dxfId="1032" priority="3055" operator="lessThan">
      <formula>0</formula>
    </cfRule>
  </conditionalFormatting>
  <conditionalFormatting sqref="H10:H1048576">
    <cfRule type="cellIs" dxfId="1031" priority="3054" operator="lessThan">
      <formula>0</formula>
    </cfRule>
  </conditionalFormatting>
  <conditionalFormatting sqref="H10:H1048576">
    <cfRule type="cellIs" dxfId="1030" priority="3053" operator="lessThan">
      <formula>0</formula>
    </cfRule>
  </conditionalFormatting>
  <conditionalFormatting sqref="H10:H1048576">
    <cfRule type="cellIs" dxfId="1029" priority="3052" operator="lessThan">
      <formula>0</formula>
    </cfRule>
  </conditionalFormatting>
  <conditionalFormatting sqref="H10:H1048576">
    <cfRule type="cellIs" dxfId="1028" priority="3051" operator="lessThan">
      <formula>0</formula>
    </cfRule>
  </conditionalFormatting>
  <conditionalFormatting sqref="H10:H1048576">
    <cfRule type="cellIs" dxfId="1027" priority="3050" operator="lessThan">
      <formula>0</formula>
    </cfRule>
  </conditionalFormatting>
  <conditionalFormatting sqref="H10:H1048576">
    <cfRule type="cellIs" dxfId="1026" priority="3049" operator="lessThan">
      <formula>0</formula>
    </cfRule>
  </conditionalFormatting>
  <conditionalFormatting sqref="H10:H1048576">
    <cfRule type="cellIs" dxfId="1025" priority="3048" operator="lessThan">
      <formula>0</formula>
    </cfRule>
  </conditionalFormatting>
  <conditionalFormatting sqref="H10:H1048576">
    <cfRule type="cellIs" dxfId="1024" priority="3047" operator="lessThan">
      <formula>0</formula>
    </cfRule>
  </conditionalFormatting>
  <conditionalFormatting sqref="H10:H1048576">
    <cfRule type="cellIs" dxfId="1023" priority="3046" operator="lessThan">
      <formula>0</formula>
    </cfRule>
  </conditionalFormatting>
  <conditionalFormatting sqref="H10:H1048576">
    <cfRule type="cellIs" dxfId="1022" priority="3045" operator="lessThan">
      <formula>0</formula>
    </cfRule>
  </conditionalFormatting>
  <conditionalFormatting sqref="H10:H1048576">
    <cfRule type="cellIs" dxfId="1021" priority="3044" operator="lessThan">
      <formula>0</formula>
    </cfRule>
  </conditionalFormatting>
  <conditionalFormatting sqref="H10:H1048576">
    <cfRule type="cellIs" dxfId="1020" priority="3043" operator="lessThan">
      <formula>0</formula>
    </cfRule>
  </conditionalFormatting>
  <conditionalFormatting sqref="H10:H1048576">
    <cfRule type="cellIs" dxfId="1019" priority="3042" operator="lessThan">
      <formula>0</formula>
    </cfRule>
  </conditionalFormatting>
  <conditionalFormatting sqref="H10:H1048576">
    <cfRule type="cellIs" dxfId="1018" priority="3041" operator="lessThan">
      <formula>0</formula>
    </cfRule>
  </conditionalFormatting>
  <conditionalFormatting sqref="H10:H1048576">
    <cfRule type="cellIs" dxfId="1017" priority="3040" operator="lessThan">
      <formula>0</formula>
    </cfRule>
  </conditionalFormatting>
  <conditionalFormatting sqref="H10:H1048576">
    <cfRule type="cellIs" dxfId="1016" priority="3039" operator="lessThan">
      <formula>0</formula>
    </cfRule>
  </conditionalFormatting>
  <conditionalFormatting sqref="H10:H1048576">
    <cfRule type="cellIs" dxfId="1015" priority="3038" operator="lessThan">
      <formula>0</formula>
    </cfRule>
  </conditionalFormatting>
  <conditionalFormatting sqref="H10:H1048576">
    <cfRule type="cellIs" dxfId="1014" priority="3037" operator="lessThan">
      <formula>0</formula>
    </cfRule>
  </conditionalFormatting>
  <conditionalFormatting sqref="H10:H1048576">
    <cfRule type="cellIs" dxfId="1013" priority="3036" operator="lessThan">
      <formula>0</formula>
    </cfRule>
  </conditionalFormatting>
  <conditionalFormatting sqref="H10:H1048576">
    <cfRule type="cellIs" dxfId="1012" priority="3035" operator="lessThan">
      <formula>0</formula>
    </cfRule>
  </conditionalFormatting>
  <conditionalFormatting sqref="H10:H1048576">
    <cfRule type="cellIs" dxfId="1011" priority="3034" operator="lessThan">
      <formula>0</formula>
    </cfRule>
  </conditionalFormatting>
  <conditionalFormatting sqref="H10:H1048576">
    <cfRule type="cellIs" dxfId="1010" priority="3033" operator="lessThan">
      <formula>0</formula>
    </cfRule>
  </conditionalFormatting>
  <conditionalFormatting sqref="H10:H1048576">
    <cfRule type="cellIs" dxfId="1009" priority="3032" operator="lessThan">
      <formula>0</formula>
    </cfRule>
  </conditionalFormatting>
  <conditionalFormatting sqref="H10:H1048576">
    <cfRule type="cellIs" dxfId="1008" priority="3031" operator="lessThan">
      <formula>0</formula>
    </cfRule>
  </conditionalFormatting>
  <conditionalFormatting sqref="H10:H1048576">
    <cfRule type="cellIs" dxfId="1007" priority="3030" operator="lessThan">
      <formula>0</formula>
    </cfRule>
  </conditionalFormatting>
  <conditionalFormatting sqref="H10:H1048576">
    <cfRule type="cellIs" dxfId="1006" priority="3029" operator="lessThan">
      <formula>0</formula>
    </cfRule>
  </conditionalFormatting>
  <conditionalFormatting sqref="H10:H1048576">
    <cfRule type="cellIs" dxfId="1005" priority="3028" operator="lessThan">
      <formula>0</formula>
    </cfRule>
  </conditionalFormatting>
  <conditionalFormatting sqref="H10:H1048576">
    <cfRule type="cellIs" dxfId="1004" priority="3027" operator="lessThan">
      <formula>0</formula>
    </cfRule>
  </conditionalFormatting>
  <conditionalFormatting sqref="H10:H1048576">
    <cfRule type="cellIs" dxfId="1003" priority="3026" operator="lessThan">
      <formula>0</formula>
    </cfRule>
  </conditionalFormatting>
  <conditionalFormatting sqref="H10:H1048576">
    <cfRule type="cellIs" dxfId="1002" priority="3025" operator="lessThan">
      <formula>0</formula>
    </cfRule>
  </conditionalFormatting>
  <conditionalFormatting sqref="H10:H1048576">
    <cfRule type="cellIs" dxfId="1001" priority="3024" operator="lessThan">
      <formula>0</formula>
    </cfRule>
  </conditionalFormatting>
  <conditionalFormatting sqref="H10:H1048576">
    <cfRule type="cellIs" dxfId="1000" priority="3023" operator="lessThan">
      <formula>0</formula>
    </cfRule>
  </conditionalFormatting>
  <conditionalFormatting sqref="H10:H1048576">
    <cfRule type="cellIs" dxfId="999" priority="3022" operator="lessThan">
      <formula>0</formula>
    </cfRule>
  </conditionalFormatting>
  <conditionalFormatting sqref="H10:H1048576">
    <cfRule type="cellIs" dxfId="998" priority="3021" operator="lessThan">
      <formula>0</formula>
    </cfRule>
  </conditionalFormatting>
  <conditionalFormatting sqref="H10:H1048576">
    <cfRule type="cellIs" dxfId="997" priority="3020" operator="lessThan">
      <formula>0</formula>
    </cfRule>
  </conditionalFormatting>
  <conditionalFormatting sqref="H10:H1048576">
    <cfRule type="cellIs" dxfId="996" priority="3019" operator="lessThan">
      <formula>0</formula>
    </cfRule>
  </conditionalFormatting>
  <conditionalFormatting sqref="H10:H1048576">
    <cfRule type="cellIs" dxfId="995" priority="3018" operator="lessThan">
      <formula>0</formula>
    </cfRule>
  </conditionalFormatting>
  <conditionalFormatting sqref="H10:H1048576">
    <cfRule type="cellIs" dxfId="994" priority="3017" operator="lessThan">
      <formula>0</formula>
    </cfRule>
  </conditionalFormatting>
  <conditionalFormatting sqref="H10:H1048576">
    <cfRule type="cellIs" dxfId="993" priority="3016" operator="lessThan">
      <formula>0</formula>
    </cfRule>
  </conditionalFormatting>
  <conditionalFormatting sqref="H10:H1048576">
    <cfRule type="cellIs" dxfId="992" priority="3015" operator="lessThan">
      <formula>0</formula>
    </cfRule>
  </conditionalFormatting>
  <conditionalFormatting sqref="H10:H1048576">
    <cfRule type="cellIs" dxfId="991" priority="3014" operator="lessThan">
      <formula>0</formula>
    </cfRule>
  </conditionalFormatting>
  <conditionalFormatting sqref="H10:H1048576">
    <cfRule type="cellIs" dxfId="990" priority="3013" operator="lessThan">
      <formula>0</formula>
    </cfRule>
  </conditionalFormatting>
  <conditionalFormatting sqref="H10:H1048576">
    <cfRule type="cellIs" dxfId="989" priority="3012" operator="lessThan">
      <formula>0</formula>
    </cfRule>
  </conditionalFormatting>
  <conditionalFormatting sqref="H10:H1048576">
    <cfRule type="cellIs" dxfId="988" priority="3011" operator="lessThan">
      <formula>0</formula>
    </cfRule>
  </conditionalFormatting>
  <conditionalFormatting sqref="H10:H1048576">
    <cfRule type="cellIs" dxfId="987" priority="3010" operator="lessThan">
      <formula>0</formula>
    </cfRule>
  </conditionalFormatting>
  <conditionalFormatting sqref="H10:H1048576">
    <cfRule type="cellIs" dxfId="986" priority="3009" operator="lessThan">
      <formula>0</formula>
    </cfRule>
  </conditionalFormatting>
  <conditionalFormatting sqref="H10:H1048576">
    <cfRule type="cellIs" dxfId="985" priority="3008" operator="lessThan">
      <formula>0</formula>
    </cfRule>
  </conditionalFormatting>
  <conditionalFormatting sqref="H10:H1048576">
    <cfRule type="cellIs" dxfId="984" priority="3007" operator="lessThan">
      <formula>0</formula>
    </cfRule>
  </conditionalFormatting>
  <conditionalFormatting sqref="H10:H1048576">
    <cfRule type="cellIs" dxfId="983" priority="3006" operator="lessThan">
      <formula>0</formula>
    </cfRule>
  </conditionalFormatting>
  <conditionalFormatting sqref="H10:H1048576">
    <cfRule type="cellIs" dxfId="982" priority="3005" operator="lessThan">
      <formula>0</formula>
    </cfRule>
  </conditionalFormatting>
  <conditionalFormatting sqref="H10:H1048576">
    <cfRule type="cellIs" dxfId="981" priority="3004" operator="lessThan">
      <formula>0</formula>
    </cfRule>
  </conditionalFormatting>
  <conditionalFormatting sqref="H10:H1048576">
    <cfRule type="cellIs" dxfId="980" priority="3003" operator="lessThan">
      <formula>0</formula>
    </cfRule>
  </conditionalFormatting>
  <conditionalFormatting sqref="H10:H1048576">
    <cfRule type="cellIs" dxfId="979" priority="3002" operator="lessThan">
      <formula>0</formula>
    </cfRule>
  </conditionalFormatting>
  <conditionalFormatting sqref="H10:H1048576">
    <cfRule type="cellIs" dxfId="978" priority="3001" operator="lessThan">
      <formula>0</formula>
    </cfRule>
  </conditionalFormatting>
  <conditionalFormatting sqref="H10:H1048576">
    <cfRule type="cellIs" dxfId="977" priority="3000" operator="lessThan">
      <formula>0</formula>
    </cfRule>
  </conditionalFormatting>
  <conditionalFormatting sqref="H10:H1048576">
    <cfRule type="cellIs" dxfId="976" priority="2999" operator="lessThan">
      <formula>0</formula>
    </cfRule>
  </conditionalFormatting>
  <conditionalFormatting sqref="H10:H1048576">
    <cfRule type="cellIs" dxfId="975" priority="2998" operator="lessThan">
      <formula>0</formula>
    </cfRule>
  </conditionalFormatting>
  <conditionalFormatting sqref="H10:H1048576">
    <cfRule type="cellIs" dxfId="974" priority="2997" operator="lessThan">
      <formula>0</formula>
    </cfRule>
  </conditionalFormatting>
  <conditionalFormatting sqref="H10:H1048576">
    <cfRule type="cellIs" dxfId="973" priority="2996" operator="lessThan">
      <formula>0</formula>
    </cfRule>
  </conditionalFormatting>
  <conditionalFormatting sqref="H10:H1048576">
    <cfRule type="cellIs" dxfId="972" priority="2995" operator="lessThan">
      <formula>0</formula>
    </cfRule>
  </conditionalFormatting>
  <conditionalFormatting sqref="H10:H1048576">
    <cfRule type="cellIs" dxfId="971" priority="2994" operator="lessThan">
      <formula>0</formula>
    </cfRule>
  </conditionalFormatting>
  <conditionalFormatting sqref="H10:H1048576">
    <cfRule type="cellIs" dxfId="970" priority="2993" operator="lessThan">
      <formula>0</formula>
    </cfRule>
  </conditionalFormatting>
  <conditionalFormatting sqref="H10:H1048576">
    <cfRule type="cellIs" dxfId="969" priority="2992" operator="lessThan">
      <formula>0</formula>
    </cfRule>
  </conditionalFormatting>
  <conditionalFormatting sqref="H10:H1048576">
    <cfRule type="cellIs" dxfId="968" priority="2991" operator="lessThan">
      <formula>0</formula>
    </cfRule>
  </conditionalFormatting>
  <conditionalFormatting sqref="H10:H1048576">
    <cfRule type="cellIs" dxfId="967" priority="2990" operator="lessThan">
      <formula>0</formula>
    </cfRule>
  </conditionalFormatting>
  <conditionalFormatting sqref="H10:H1048576">
    <cfRule type="cellIs" dxfId="966" priority="2989" operator="lessThan">
      <formula>0</formula>
    </cfRule>
  </conditionalFormatting>
  <conditionalFormatting sqref="H10:H1048576">
    <cfRule type="cellIs" dxfId="965" priority="2988" operator="lessThan">
      <formula>0</formula>
    </cfRule>
  </conditionalFormatting>
  <conditionalFormatting sqref="H10:H1048576">
    <cfRule type="cellIs" dxfId="964" priority="2987" operator="lessThan">
      <formula>0</formula>
    </cfRule>
  </conditionalFormatting>
  <conditionalFormatting sqref="H10:H1048576">
    <cfRule type="cellIs" dxfId="963" priority="2986" operator="lessThan">
      <formula>0</formula>
    </cfRule>
  </conditionalFormatting>
  <conditionalFormatting sqref="H10:H1048576">
    <cfRule type="cellIs" dxfId="962" priority="2985" operator="lessThan">
      <formula>0</formula>
    </cfRule>
  </conditionalFormatting>
  <conditionalFormatting sqref="H10:H1048576">
    <cfRule type="cellIs" dxfId="961" priority="2984" operator="lessThan">
      <formula>0</formula>
    </cfRule>
  </conditionalFormatting>
  <conditionalFormatting sqref="H10:H1048576">
    <cfRule type="cellIs" dxfId="960" priority="2983" operator="lessThan">
      <formula>0</formula>
    </cfRule>
  </conditionalFormatting>
  <conditionalFormatting sqref="H10:H1048576">
    <cfRule type="cellIs" dxfId="959" priority="2982" operator="lessThan">
      <formula>0</formula>
    </cfRule>
  </conditionalFormatting>
  <conditionalFormatting sqref="H10:H1048576">
    <cfRule type="cellIs" dxfId="958" priority="2981" operator="lessThan">
      <formula>0</formula>
    </cfRule>
  </conditionalFormatting>
  <conditionalFormatting sqref="H10:H1048576">
    <cfRule type="cellIs" dxfId="957" priority="2980" operator="lessThan">
      <formula>0</formula>
    </cfRule>
  </conditionalFormatting>
  <conditionalFormatting sqref="H10:H1048576">
    <cfRule type="cellIs" dxfId="956" priority="2979" operator="lessThan">
      <formula>0</formula>
    </cfRule>
  </conditionalFormatting>
  <conditionalFormatting sqref="H10:H1048576">
    <cfRule type="cellIs" dxfId="955" priority="2978" operator="lessThan">
      <formula>0</formula>
    </cfRule>
  </conditionalFormatting>
  <conditionalFormatting sqref="H10:H1048576">
    <cfRule type="cellIs" dxfId="954" priority="2977" operator="lessThan">
      <formula>0</formula>
    </cfRule>
  </conditionalFormatting>
  <conditionalFormatting sqref="H10:H1048576">
    <cfRule type="cellIs" dxfId="953" priority="2976" operator="lessThan">
      <formula>0</formula>
    </cfRule>
  </conditionalFormatting>
  <conditionalFormatting sqref="H10:H1048576">
    <cfRule type="cellIs" dxfId="952" priority="2975" operator="lessThan">
      <formula>0</formula>
    </cfRule>
  </conditionalFormatting>
  <conditionalFormatting sqref="H10:H1048576">
    <cfRule type="cellIs" dxfId="951" priority="2974" operator="lessThan">
      <formula>0</formula>
    </cfRule>
  </conditionalFormatting>
  <conditionalFormatting sqref="H10:H1048576">
    <cfRule type="cellIs" dxfId="950" priority="2973" operator="lessThan">
      <formula>0</formula>
    </cfRule>
  </conditionalFormatting>
  <conditionalFormatting sqref="H10:H1048576">
    <cfRule type="cellIs" dxfId="949" priority="2972" operator="lessThan">
      <formula>0</formula>
    </cfRule>
  </conditionalFormatting>
  <conditionalFormatting sqref="H10:H1048576">
    <cfRule type="cellIs" dxfId="948" priority="2971" operator="lessThan">
      <formula>0</formula>
    </cfRule>
  </conditionalFormatting>
  <conditionalFormatting sqref="H10:H1048576">
    <cfRule type="cellIs" dxfId="947" priority="2970" operator="lessThan">
      <formula>0</formula>
    </cfRule>
  </conditionalFormatting>
  <conditionalFormatting sqref="H10:H1048576">
    <cfRule type="cellIs" dxfId="946" priority="2969" operator="lessThan">
      <formula>0</formula>
    </cfRule>
  </conditionalFormatting>
  <conditionalFormatting sqref="H10:H1048576">
    <cfRule type="cellIs" dxfId="945" priority="2968" operator="lessThan">
      <formula>0</formula>
    </cfRule>
  </conditionalFormatting>
  <conditionalFormatting sqref="H10:H1048576">
    <cfRule type="cellIs" dxfId="944" priority="2967" operator="lessThan">
      <formula>0</formula>
    </cfRule>
  </conditionalFormatting>
  <conditionalFormatting sqref="H10:H1048576">
    <cfRule type="cellIs" dxfId="943" priority="2966" operator="lessThan">
      <formula>0</formula>
    </cfRule>
  </conditionalFormatting>
  <conditionalFormatting sqref="H10:H1048576">
    <cfRule type="cellIs" dxfId="942" priority="2965" operator="lessThan">
      <formula>0</formula>
    </cfRule>
  </conditionalFormatting>
  <conditionalFormatting sqref="H10:H1048576">
    <cfRule type="cellIs" dxfId="941" priority="2964" operator="lessThan">
      <formula>0</formula>
    </cfRule>
  </conditionalFormatting>
  <conditionalFormatting sqref="H10:H1048576">
    <cfRule type="cellIs" dxfId="940" priority="2963" operator="lessThan">
      <formula>0</formula>
    </cfRule>
  </conditionalFormatting>
  <conditionalFormatting sqref="H10:H1048576">
    <cfRule type="cellIs" dxfId="939" priority="2962" operator="lessThan">
      <formula>0</formula>
    </cfRule>
  </conditionalFormatting>
  <conditionalFormatting sqref="H10:H1048576">
    <cfRule type="cellIs" dxfId="938" priority="2961" operator="lessThan">
      <formula>0</formula>
    </cfRule>
  </conditionalFormatting>
  <conditionalFormatting sqref="H10:H1048576">
    <cfRule type="cellIs" dxfId="937" priority="2960" operator="lessThan">
      <formula>0</formula>
    </cfRule>
  </conditionalFormatting>
  <conditionalFormatting sqref="H10:H1048576">
    <cfRule type="cellIs" dxfId="936" priority="2959" operator="lessThan">
      <formula>0</formula>
    </cfRule>
  </conditionalFormatting>
  <conditionalFormatting sqref="H10:H1048576">
    <cfRule type="cellIs" dxfId="935" priority="2958" operator="lessThan">
      <formula>0</formula>
    </cfRule>
  </conditionalFormatting>
  <conditionalFormatting sqref="H10:H1048576">
    <cfRule type="cellIs" dxfId="934" priority="2957" operator="lessThan">
      <formula>0</formula>
    </cfRule>
  </conditionalFormatting>
  <conditionalFormatting sqref="H10:H1048576">
    <cfRule type="cellIs" dxfId="933" priority="2956" operator="lessThan">
      <formula>0</formula>
    </cfRule>
  </conditionalFormatting>
  <conditionalFormatting sqref="H10:H1048576">
    <cfRule type="cellIs" dxfId="932" priority="2955" operator="lessThan">
      <formula>0</formula>
    </cfRule>
  </conditionalFormatting>
  <conditionalFormatting sqref="H10:H1048576">
    <cfRule type="cellIs" dxfId="931" priority="2954" operator="lessThan">
      <formula>0</formula>
    </cfRule>
  </conditionalFormatting>
  <conditionalFormatting sqref="H10:H1048576">
    <cfRule type="cellIs" dxfId="930" priority="2953" operator="lessThan">
      <formula>0</formula>
    </cfRule>
  </conditionalFormatting>
  <conditionalFormatting sqref="H10:H1048576">
    <cfRule type="cellIs" dxfId="929" priority="2952" operator="lessThan">
      <formula>0</formula>
    </cfRule>
  </conditionalFormatting>
  <conditionalFormatting sqref="H10:H1048576">
    <cfRule type="cellIs" dxfId="928" priority="2951" operator="lessThan">
      <formula>0</formula>
    </cfRule>
  </conditionalFormatting>
  <conditionalFormatting sqref="H10:H1048576">
    <cfRule type="cellIs" dxfId="927" priority="2950" operator="lessThan">
      <formula>0</formula>
    </cfRule>
  </conditionalFormatting>
  <conditionalFormatting sqref="H10:H1048576">
    <cfRule type="cellIs" dxfId="926" priority="2949" operator="lessThan">
      <formula>0</formula>
    </cfRule>
  </conditionalFormatting>
  <conditionalFormatting sqref="H10:H1048576">
    <cfRule type="cellIs" dxfId="925" priority="2948" operator="lessThan">
      <formula>0</formula>
    </cfRule>
  </conditionalFormatting>
  <conditionalFormatting sqref="H10:H1048576">
    <cfRule type="cellIs" dxfId="924" priority="2947" operator="lessThan">
      <formula>0</formula>
    </cfRule>
  </conditionalFormatting>
  <conditionalFormatting sqref="H10:H1048576">
    <cfRule type="cellIs" dxfId="923" priority="2946" operator="lessThan">
      <formula>0</formula>
    </cfRule>
  </conditionalFormatting>
  <conditionalFormatting sqref="H10:H1048576">
    <cfRule type="cellIs" dxfId="922" priority="2945" operator="lessThan">
      <formula>0</formula>
    </cfRule>
  </conditionalFormatting>
  <conditionalFormatting sqref="H10:H1048576">
    <cfRule type="cellIs" dxfId="921" priority="2944" operator="lessThan">
      <formula>0</formula>
    </cfRule>
  </conditionalFormatting>
  <conditionalFormatting sqref="H10:H1048576">
    <cfRule type="cellIs" dxfId="920" priority="2943" operator="lessThan">
      <formula>0</formula>
    </cfRule>
  </conditionalFormatting>
  <conditionalFormatting sqref="H10:H1048576">
    <cfRule type="cellIs" dxfId="919" priority="2942" operator="lessThan">
      <formula>0</formula>
    </cfRule>
  </conditionalFormatting>
  <conditionalFormatting sqref="H10:H1048576">
    <cfRule type="cellIs" dxfId="918" priority="2941" operator="lessThan">
      <formula>0</formula>
    </cfRule>
  </conditionalFormatting>
  <conditionalFormatting sqref="H10:H1048576">
    <cfRule type="cellIs" dxfId="917" priority="2940" operator="lessThan">
      <formula>0</formula>
    </cfRule>
  </conditionalFormatting>
  <conditionalFormatting sqref="H10:H1048576">
    <cfRule type="cellIs" dxfId="916" priority="2939" operator="lessThan">
      <formula>0</formula>
    </cfRule>
  </conditionalFormatting>
  <conditionalFormatting sqref="H10:H1048576">
    <cfRule type="cellIs" dxfId="915" priority="2938" operator="lessThan">
      <formula>0</formula>
    </cfRule>
  </conditionalFormatting>
  <conditionalFormatting sqref="H10:H1048576">
    <cfRule type="cellIs" dxfId="914" priority="2937" operator="lessThan">
      <formula>0</formula>
    </cfRule>
  </conditionalFormatting>
  <conditionalFormatting sqref="H10:H1048576">
    <cfRule type="cellIs" dxfId="913" priority="2936" operator="lessThan">
      <formula>0</formula>
    </cfRule>
  </conditionalFormatting>
  <conditionalFormatting sqref="H10:H1048576">
    <cfRule type="cellIs" dxfId="912" priority="2935" operator="lessThan">
      <formula>0</formula>
    </cfRule>
  </conditionalFormatting>
  <conditionalFormatting sqref="H10:H1048576">
    <cfRule type="cellIs" dxfId="911" priority="2934" operator="lessThan">
      <formula>0</formula>
    </cfRule>
  </conditionalFormatting>
  <conditionalFormatting sqref="H10:H1048576">
    <cfRule type="cellIs" dxfId="910" priority="2933" operator="lessThan">
      <formula>0</formula>
    </cfRule>
  </conditionalFormatting>
  <conditionalFormatting sqref="H10:H1048576">
    <cfRule type="cellIs" dxfId="909" priority="2932" operator="lessThan">
      <formula>0</formula>
    </cfRule>
  </conditionalFormatting>
  <conditionalFormatting sqref="H10:H1048576">
    <cfRule type="cellIs" dxfId="908" priority="2931" operator="lessThan">
      <formula>0</formula>
    </cfRule>
  </conditionalFormatting>
  <conditionalFormatting sqref="H10:H1048576">
    <cfRule type="cellIs" dxfId="907" priority="2930" operator="lessThan">
      <formula>0</formula>
    </cfRule>
  </conditionalFormatting>
  <conditionalFormatting sqref="H10:H1048576">
    <cfRule type="cellIs" dxfId="906" priority="2929" operator="lessThan">
      <formula>0</formula>
    </cfRule>
  </conditionalFormatting>
  <conditionalFormatting sqref="H10:H1048576">
    <cfRule type="cellIs" dxfId="905" priority="2928" operator="lessThan">
      <formula>0</formula>
    </cfRule>
  </conditionalFormatting>
  <conditionalFormatting sqref="H10:H1048576">
    <cfRule type="cellIs" dxfId="904" priority="2927" operator="lessThan">
      <formula>0</formula>
    </cfRule>
  </conditionalFormatting>
  <conditionalFormatting sqref="H10:H1048576">
    <cfRule type="cellIs" dxfId="903" priority="2926" operator="lessThan">
      <formula>0</formula>
    </cfRule>
  </conditionalFormatting>
  <conditionalFormatting sqref="H10:H1048576">
    <cfRule type="cellIs" dxfId="902" priority="2925" operator="lessThan">
      <formula>0</formula>
    </cfRule>
  </conditionalFormatting>
  <conditionalFormatting sqref="H10:H1048576">
    <cfRule type="cellIs" dxfId="901" priority="2924" operator="lessThan">
      <formula>0</formula>
    </cfRule>
  </conditionalFormatting>
  <conditionalFormatting sqref="H10:H1048576">
    <cfRule type="cellIs" dxfId="900" priority="2923" operator="lessThan">
      <formula>0</formula>
    </cfRule>
  </conditionalFormatting>
  <conditionalFormatting sqref="H10:H1048576">
    <cfRule type="cellIs" dxfId="899" priority="2922" operator="lessThan">
      <formula>0</formula>
    </cfRule>
  </conditionalFormatting>
  <conditionalFormatting sqref="H10:H1048576">
    <cfRule type="cellIs" dxfId="898" priority="2921" operator="lessThan">
      <formula>0</formula>
    </cfRule>
  </conditionalFormatting>
  <conditionalFormatting sqref="H10:H1048576">
    <cfRule type="cellIs" dxfId="897" priority="2920" operator="lessThan">
      <formula>0</formula>
    </cfRule>
  </conditionalFormatting>
  <conditionalFormatting sqref="H10:H1048576">
    <cfRule type="cellIs" dxfId="896" priority="2919" operator="lessThan">
      <formula>0</formula>
    </cfRule>
  </conditionalFormatting>
  <conditionalFormatting sqref="H10:H1048576">
    <cfRule type="cellIs" dxfId="895" priority="2918" operator="lessThan">
      <formula>0</formula>
    </cfRule>
  </conditionalFormatting>
  <conditionalFormatting sqref="H10:H1048576">
    <cfRule type="cellIs" dxfId="894" priority="2917" operator="lessThan">
      <formula>0</formula>
    </cfRule>
  </conditionalFormatting>
  <conditionalFormatting sqref="H10:H1048576">
    <cfRule type="cellIs" dxfId="893" priority="2916" operator="lessThan">
      <formula>0</formula>
    </cfRule>
  </conditionalFormatting>
  <conditionalFormatting sqref="H10:H1048576">
    <cfRule type="cellIs" dxfId="892" priority="2915" operator="lessThan">
      <formula>0</formula>
    </cfRule>
  </conditionalFormatting>
  <conditionalFormatting sqref="H10:H1048576">
    <cfRule type="cellIs" dxfId="891" priority="2914" operator="lessThan">
      <formula>0</formula>
    </cfRule>
  </conditionalFormatting>
  <conditionalFormatting sqref="H10:H1048576">
    <cfRule type="cellIs" dxfId="890" priority="2913" operator="lessThan">
      <formula>0</formula>
    </cfRule>
  </conditionalFormatting>
  <conditionalFormatting sqref="H10:H1048576">
    <cfRule type="cellIs" dxfId="889" priority="2912" operator="lessThan">
      <formula>0</formula>
    </cfRule>
  </conditionalFormatting>
  <conditionalFormatting sqref="H10:H1048576">
    <cfRule type="cellIs" dxfId="888" priority="2911" operator="lessThan">
      <formula>0</formula>
    </cfRule>
  </conditionalFormatting>
  <conditionalFormatting sqref="H10:H1048576">
    <cfRule type="cellIs" dxfId="887" priority="2910" operator="lessThan">
      <formula>0</formula>
    </cfRule>
  </conditionalFormatting>
  <conditionalFormatting sqref="H10:H1048576">
    <cfRule type="cellIs" dxfId="886" priority="2909" operator="lessThan">
      <formula>0</formula>
    </cfRule>
  </conditionalFormatting>
  <conditionalFormatting sqref="H10:H1048576">
    <cfRule type="cellIs" dxfId="885" priority="2908" operator="lessThan">
      <formula>0</formula>
    </cfRule>
  </conditionalFormatting>
  <conditionalFormatting sqref="H10:H1048576">
    <cfRule type="cellIs" dxfId="884" priority="2907" operator="lessThan">
      <formula>0</formula>
    </cfRule>
  </conditionalFormatting>
  <conditionalFormatting sqref="H10:H1048576">
    <cfRule type="cellIs" dxfId="883" priority="2906" operator="lessThan">
      <formula>0</formula>
    </cfRule>
  </conditionalFormatting>
  <conditionalFormatting sqref="H10:H1048576">
    <cfRule type="cellIs" dxfId="882" priority="2905" operator="lessThan">
      <formula>0</formula>
    </cfRule>
  </conditionalFormatting>
  <conditionalFormatting sqref="H10:H1048576">
    <cfRule type="cellIs" dxfId="881" priority="2904" operator="lessThan">
      <formula>0</formula>
    </cfRule>
  </conditionalFormatting>
  <conditionalFormatting sqref="H10:H1048576">
    <cfRule type="cellIs" dxfId="880" priority="2903" operator="lessThan">
      <formula>0</formula>
    </cfRule>
  </conditionalFormatting>
  <conditionalFormatting sqref="H10:H1048576">
    <cfRule type="cellIs" dxfId="879" priority="2902" operator="lessThan">
      <formula>0</formula>
    </cfRule>
  </conditionalFormatting>
  <conditionalFormatting sqref="H10:H1048576">
    <cfRule type="cellIs" dxfId="878" priority="2901" operator="lessThan">
      <formula>0</formula>
    </cfRule>
  </conditionalFormatting>
  <conditionalFormatting sqref="H10:H1048576">
    <cfRule type="cellIs" dxfId="877" priority="2900" operator="lessThan">
      <formula>0</formula>
    </cfRule>
  </conditionalFormatting>
  <conditionalFormatting sqref="H10:H1048576">
    <cfRule type="cellIs" dxfId="876" priority="2899" operator="lessThan">
      <formula>0</formula>
    </cfRule>
  </conditionalFormatting>
  <conditionalFormatting sqref="H10:H1048576">
    <cfRule type="cellIs" dxfId="875" priority="2898" operator="lessThan">
      <formula>0</formula>
    </cfRule>
  </conditionalFormatting>
  <conditionalFormatting sqref="H10:H1048576">
    <cfRule type="cellIs" dxfId="874" priority="2897" operator="lessThan">
      <formula>0</formula>
    </cfRule>
  </conditionalFormatting>
  <conditionalFormatting sqref="H10:H1048576">
    <cfRule type="cellIs" dxfId="873" priority="2896" operator="lessThan">
      <formula>0</formula>
    </cfRule>
  </conditionalFormatting>
  <conditionalFormatting sqref="H10:H1048576">
    <cfRule type="cellIs" dxfId="872" priority="2895" operator="lessThan">
      <formula>0</formula>
    </cfRule>
  </conditionalFormatting>
  <conditionalFormatting sqref="H10:H1048576">
    <cfRule type="cellIs" dxfId="871" priority="2894" operator="lessThan">
      <formula>0</formula>
    </cfRule>
  </conditionalFormatting>
  <conditionalFormatting sqref="H10:H1048576">
    <cfRule type="cellIs" dxfId="870" priority="2893" operator="lessThan">
      <formula>0</formula>
    </cfRule>
  </conditionalFormatting>
  <conditionalFormatting sqref="H10:H1048576">
    <cfRule type="cellIs" dxfId="869" priority="2892" operator="lessThan">
      <formula>0</formula>
    </cfRule>
  </conditionalFormatting>
  <conditionalFormatting sqref="H10:H1048576">
    <cfRule type="cellIs" dxfId="868" priority="2891" operator="lessThan">
      <formula>0</formula>
    </cfRule>
  </conditionalFormatting>
  <conditionalFormatting sqref="H10:H1048576">
    <cfRule type="cellIs" dxfId="867" priority="2890" operator="lessThan">
      <formula>0</formula>
    </cfRule>
  </conditionalFormatting>
  <conditionalFormatting sqref="H10:H1048576">
    <cfRule type="cellIs" dxfId="866" priority="2889" operator="lessThan">
      <formula>0</formula>
    </cfRule>
  </conditionalFormatting>
  <conditionalFormatting sqref="H10:H1048576">
    <cfRule type="cellIs" dxfId="865" priority="2888" operator="lessThan">
      <formula>0</formula>
    </cfRule>
  </conditionalFormatting>
  <conditionalFormatting sqref="H10:H1048576">
    <cfRule type="cellIs" dxfId="864" priority="2887" operator="lessThan">
      <formula>0</formula>
    </cfRule>
  </conditionalFormatting>
  <conditionalFormatting sqref="H10:H1048576">
    <cfRule type="cellIs" dxfId="863" priority="2886" operator="lessThan">
      <formula>0</formula>
    </cfRule>
  </conditionalFormatting>
  <conditionalFormatting sqref="H10:H1048576">
    <cfRule type="cellIs" dxfId="862" priority="2885" operator="lessThan">
      <formula>0</formula>
    </cfRule>
  </conditionalFormatting>
  <conditionalFormatting sqref="H10:H1048576">
    <cfRule type="cellIs" dxfId="861" priority="2884" operator="lessThan">
      <formula>0</formula>
    </cfRule>
  </conditionalFormatting>
  <conditionalFormatting sqref="H10:H1048576">
    <cfRule type="cellIs" dxfId="860" priority="2883" operator="lessThan">
      <formula>0</formula>
    </cfRule>
  </conditionalFormatting>
  <conditionalFormatting sqref="H10:H1048576">
    <cfRule type="cellIs" dxfId="859" priority="2882" operator="lessThan">
      <formula>0</formula>
    </cfRule>
  </conditionalFormatting>
  <conditionalFormatting sqref="H10:H1048576">
    <cfRule type="cellIs" dxfId="858" priority="2881" operator="lessThan">
      <formula>0</formula>
    </cfRule>
  </conditionalFormatting>
  <conditionalFormatting sqref="H10:H1048576">
    <cfRule type="cellIs" dxfId="857" priority="2880" operator="lessThan">
      <formula>0</formula>
    </cfRule>
  </conditionalFormatting>
  <conditionalFormatting sqref="H10:H1048576">
    <cfRule type="cellIs" dxfId="856" priority="2879" operator="lessThan">
      <formula>0</formula>
    </cfRule>
  </conditionalFormatting>
  <conditionalFormatting sqref="H10:H1048576">
    <cfRule type="cellIs" dxfId="855" priority="2878" operator="lessThan">
      <formula>0</formula>
    </cfRule>
  </conditionalFormatting>
  <conditionalFormatting sqref="H10:H1048576">
    <cfRule type="cellIs" dxfId="854" priority="2877" operator="lessThan">
      <formula>0</formula>
    </cfRule>
  </conditionalFormatting>
  <conditionalFormatting sqref="H10:H1048576">
    <cfRule type="cellIs" dxfId="853" priority="2876" operator="lessThan">
      <formula>0</formula>
    </cfRule>
  </conditionalFormatting>
  <conditionalFormatting sqref="H10:H1048576">
    <cfRule type="cellIs" dxfId="852" priority="2875" operator="lessThan">
      <formula>0</formula>
    </cfRule>
  </conditionalFormatting>
  <conditionalFormatting sqref="H10:H1048576">
    <cfRule type="cellIs" dxfId="851" priority="2874" operator="lessThan">
      <formula>0</formula>
    </cfRule>
  </conditionalFormatting>
  <conditionalFormatting sqref="H10:H1048576">
    <cfRule type="cellIs" dxfId="850" priority="2873" operator="lessThan">
      <formula>0</formula>
    </cfRule>
  </conditionalFormatting>
  <conditionalFormatting sqref="H10:H1048576">
    <cfRule type="cellIs" dxfId="849" priority="2872" operator="lessThan">
      <formula>0</formula>
    </cfRule>
  </conditionalFormatting>
  <conditionalFormatting sqref="H10:H1048576">
    <cfRule type="cellIs" dxfId="848" priority="2871" operator="lessThan">
      <formula>0</formula>
    </cfRule>
  </conditionalFormatting>
  <conditionalFormatting sqref="H10:H1048576">
    <cfRule type="cellIs" dxfId="847" priority="2870" operator="lessThan">
      <formula>0</formula>
    </cfRule>
  </conditionalFormatting>
  <conditionalFormatting sqref="H10:H1048576">
    <cfRule type="cellIs" dxfId="846" priority="2869" operator="lessThan">
      <formula>0</formula>
    </cfRule>
  </conditionalFormatting>
  <conditionalFormatting sqref="H10:H1048576">
    <cfRule type="cellIs" dxfId="845" priority="2868" operator="lessThan">
      <formula>0</formula>
    </cfRule>
  </conditionalFormatting>
  <conditionalFormatting sqref="H10:H1048576">
    <cfRule type="cellIs" dxfId="844" priority="2867" operator="lessThan">
      <formula>0</formula>
    </cfRule>
  </conditionalFormatting>
  <conditionalFormatting sqref="H10:H1048576">
    <cfRule type="cellIs" dxfId="843" priority="2866" operator="lessThan">
      <formula>0</formula>
    </cfRule>
  </conditionalFormatting>
  <conditionalFormatting sqref="H10:H1048576">
    <cfRule type="cellIs" dxfId="842" priority="2865" operator="lessThan">
      <formula>0</formula>
    </cfRule>
  </conditionalFormatting>
  <conditionalFormatting sqref="H10:H1048576">
    <cfRule type="cellIs" dxfId="841" priority="2864" operator="lessThan">
      <formula>0</formula>
    </cfRule>
  </conditionalFormatting>
  <conditionalFormatting sqref="H10:H1048576">
    <cfRule type="cellIs" dxfId="840" priority="2863" operator="lessThan">
      <formula>0</formula>
    </cfRule>
  </conditionalFormatting>
  <conditionalFormatting sqref="H10:H1048576">
    <cfRule type="cellIs" dxfId="839" priority="2862" operator="lessThan">
      <formula>0</formula>
    </cfRule>
  </conditionalFormatting>
  <conditionalFormatting sqref="H10:H1048576">
    <cfRule type="cellIs" dxfId="838" priority="2861" operator="lessThan">
      <formula>0</formula>
    </cfRule>
  </conditionalFormatting>
  <conditionalFormatting sqref="H10:H1048576">
    <cfRule type="cellIs" dxfId="837" priority="2860" operator="lessThan">
      <formula>0</formula>
    </cfRule>
  </conditionalFormatting>
  <conditionalFormatting sqref="H10:H1048576">
    <cfRule type="cellIs" dxfId="836" priority="2859" operator="lessThan">
      <formula>0</formula>
    </cfRule>
  </conditionalFormatting>
  <conditionalFormatting sqref="H10:H1048576">
    <cfRule type="cellIs" dxfId="835" priority="2858" operator="lessThan">
      <formula>0</formula>
    </cfRule>
  </conditionalFormatting>
  <conditionalFormatting sqref="H10:H1048576">
    <cfRule type="cellIs" dxfId="834" priority="2857" operator="lessThan">
      <formula>0</formula>
    </cfRule>
  </conditionalFormatting>
  <conditionalFormatting sqref="H10:H1048576">
    <cfRule type="cellIs" dxfId="833" priority="2856" operator="lessThan">
      <formula>0</formula>
    </cfRule>
  </conditionalFormatting>
  <conditionalFormatting sqref="H10:H1048576">
    <cfRule type="cellIs" dxfId="832" priority="2855" operator="lessThan">
      <formula>0</formula>
    </cfRule>
  </conditionalFormatting>
  <conditionalFormatting sqref="H10:H1048576">
    <cfRule type="cellIs" dxfId="831" priority="2854" operator="lessThan">
      <formula>0</formula>
    </cfRule>
  </conditionalFormatting>
  <conditionalFormatting sqref="H10:H1048576">
    <cfRule type="cellIs" dxfId="830" priority="2853" operator="lessThan">
      <formula>0</formula>
    </cfRule>
  </conditionalFormatting>
  <conditionalFormatting sqref="H10:H1048576">
    <cfRule type="cellIs" dxfId="829" priority="2852" operator="lessThan">
      <formula>0</formula>
    </cfRule>
  </conditionalFormatting>
  <conditionalFormatting sqref="H10:H1048576">
    <cfRule type="cellIs" dxfId="828" priority="2851" operator="lessThan">
      <formula>0</formula>
    </cfRule>
  </conditionalFormatting>
  <conditionalFormatting sqref="H10:H1048576">
    <cfRule type="cellIs" dxfId="827" priority="2850" operator="lessThan">
      <formula>0</formula>
    </cfRule>
  </conditionalFormatting>
  <conditionalFormatting sqref="H10:H1048576">
    <cfRule type="cellIs" dxfId="826" priority="2849" operator="lessThan">
      <formula>0</formula>
    </cfRule>
  </conditionalFormatting>
  <conditionalFormatting sqref="H10:H1048576">
    <cfRule type="cellIs" dxfId="825" priority="2848" operator="lessThan">
      <formula>0</formula>
    </cfRule>
  </conditionalFormatting>
  <conditionalFormatting sqref="H10:H1048576">
    <cfRule type="cellIs" dxfId="824" priority="2847" operator="lessThan">
      <formula>0</formula>
    </cfRule>
  </conditionalFormatting>
  <conditionalFormatting sqref="H10:H1048576">
    <cfRule type="cellIs" dxfId="823" priority="2846" operator="lessThan">
      <formula>0</formula>
    </cfRule>
  </conditionalFormatting>
  <conditionalFormatting sqref="H10:H1048576">
    <cfRule type="cellIs" dxfId="822" priority="2845" operator="lessThan">
      <formula>0</formula>
    </cfRule>
  </conditionalFormatting>
  <conditionalFormatting sqref="H10:H1048576">
    <cfRule type="cellIs" dxfId="821" priority="2844" operator="lessThan">
      <formula>0</formula>
    </cfRule>
  </conditionalFormatting>
  <conditionalFormatting sqref="H10:H1048576">
    <cfRule type="cellIs" dxfId="820" priority="2843" operator="lessThan">
      <formula>0</formula>
    </cfRule>
  </conditionalFormatting>
  <conditionalFormatting sqref="H10:H1048576">
    <cfRule type="cellIs" dxfId="819" priority="2842" operator="lessThan">
      <formula>0</formula>
    </cfRule>
  </conditionalFormatting>
  <conditionalFormatting sqref="H10:H1048576">
    <cfRule type="cellIs" dxfId="818" priority="2841" operator="lessThan">
      <formula>0</formula>
    </cfRule>
  </conditionalFormatting>
  <conditionalFormatting sqref="H10:H1048576">
    <cfRule type="cellIs" dxfId="817" priority="2840" operator="lessThan">
      <formula>0</formula>
    </cfRule>
  </conditionalFormatting>
  <conditionalFormatting sqref="H10:H1048576">
    <cfRule type="cellIs" dxfId="816" priority="2839" operator="lessThan">
      <formula>0</formula>
    </cfRule>
  </conditionalFormatting>
  <conditionalFormatting sqref="H10:H1048576">
    <cfRule type="cellIs" dxfId="815" priority="2838" operator="lessThan">
      <formula>0</formula>
    </cfRule>
  </conditionalFormatting>
  <conditionalFormatting sqref="H10:H1048576">
    <cfRule type="cellIs" dxfId="814" priority="2837" operator="lessThan">
      <formula>0</formula>
    </cfRule>
  </conditionalFormatting>
  <conditionalFormatting sqref="H10:H1048576">
    <cfRule type="cellIs" dxfId="813" priority="2836" operator="lessThan">
      <formula>0</formula>
    </cfRule>
  </conditionalFormatting>
  <conditionalFormatting sqref="H10:H1048576">
    <cfRule type="cellIs" dxfId="812" priority="2835" operator="lessThan">
      <formula>0</formula>
    </cfRule>
  </conditionalFormatting>
  <conditionalFormatting sqref="H10:H1048576">
    <cfRule type="cellIs" dxfId="811" priority="2834" operator="lessThan">
      <formula>0</formula>
    </cfRule>
  </conditionalFormatting>
  <conditionalFormatting sqref="H10:H1048576">
    <cfRule type="cellIs" dxfId="810" priority="2833" operator="lessThan">
      <formula>0</formula>
    </cfRule>
  </conditionalFormatting>
  <conditionalFormatting sqref="H10:H1048576">
    <cfRule type="cellIs" dxfId="809" priority="2832" operator="lessThan">
      <formula>0</formula>
    </cfRule>
  </conditionalFormatting>
  <conditionalFormatting sqref="H10:H1048576">
    <cfRule type="cellIs" dxfId="808" priority="2831" operator="lessThan">
      <formula>0</formula>
    </cfRule>
  </conditionalFormatting>
  <conditionalFormatting sqref="H10:H1048576">
    <cfRule type="cellIs" dxfId="807" priority="2830" operator="lessThan">
      <formula>0</formula>
    </cfRule>
  </conditionalFormatting>
  <conditionalFormatting sqref="H10:H1048576">
    <cfRule type="cellIs" dxfId="806" priority="2829" operator="lessThan">
      <formula>0</formula>
    </cfRule>
  </conditionalFormatting>
  <conditionalFormatting sqref="H10:H1048576">
    <cfRule type="cellIs" dxfId="805" priority="2828" operator="lessThan">
      <formula>0</formula>
    </cfRule>
  </conditionalFormatting>
  <conditionalFormatting sqref="H10:H1048576">
    <cfRule type="cellIs" dxfId="804" priority="2827" operator="lessThan">
      <formula>0</formula>
    </cfRule>
  </conditionalFormatting>
  <conditionalFormatting sqref="H10:H1048576">
    <cfRule type="cellIs" dxfId="803" priority="2826" operator="lessThan">
      <formula>0</formula>
    </cfRule>
  </conditionalFormatting>
  <conditionalFormatting sqref="H10:H1048576">
    <cfRule type="cellIs" dxfId="802" priority="2825" operator="lessThan">
      <formula>0</formula>
    </cfRule>
  </conditionalFormatting>
  <conditionalFormatting sqref="H10:H1048576">
    <cfRule type="cellIs" dxfId="801" priority="2824" operator="lessThan">
      <formula>0</formula>
    </cfRule>
  </conditionalFormatting>
  <conditionalFormatting sqref="H10:H1048576">
    <cfRule type="cellIs" dxfId="800" priority="2823" operator="lessThan">
      <formula>0</formula>
    </cfRule>
  </conditionalFormatting>
  <conditionalFormatting sqref="H10:H1048576">
    <cfRule type="cellIs" dxfId="799" priority="2822" operator="lessThan">
      <formula>0</formula>
    </cfRule>
  </conditionalFormatting>
  <conditionalFormatting sqref="H10:H1048576">
    <cfRule type="cellIs" dxfId="798" priority="2821" operator="lessThan">
      <formula>0</formula>
    </cfRule>
  </conditionalFormatting>
  <conditionalFormatting sqref="H10:H1048576">
    <cfRule type="cellIs" dxfId="797" priority="2820" operator="lessThan">
      <formula>0</formula>
    </cfRule>
  </conditionalFormatting>
  <conditionalFormatting sqref="H10:H1048576">
    <cfRule type="cellIs" dxfId="796" priority="2819" operator="lessThan">
      <formula>0</formula>
    </cfRule>
  </conditionalFormatting>
  <conditionalFormatting sqref="H10:H1048576">
    <cfRule type="cellIs" dxfId="795" priority="2818" operator="lessThan">
      <formula>0</formula>
    </cfRule>
  </conditionalFormatting>
  <conditionalFormatting sqref="H10:H1048576">
    <cfRule type="cellIs" dxfId="794" priority="2817" operator="lessThan">
      <formula>0</formula>
    </cfRule>
  </conditionalFormatting>
  <conditionalFormatting sqref="H10:H1048576">
    <cfRule type="cellIs" dxfId="793" priority="2816" operator="lessThan">
      <formula>0</formula>
    </cfRule>
  </conditionalFormatting>
  <conditionalFormatting sqref="H10:H1048576">
    <cfRule type="cellIs" dxfId="792" priority="2815" operator="lessThan">
      <formula>0</formula>
    </cfRule>
  </conditionalFormatting>
  <conditionalFormatting sqref="H10:H1048576">
    <cfRule type="cellIs" dxfId="791" priority="2814" operator="lessThan">
      <formula>0</formula>
    </cfRule>
  </conditionalFormatting>
  <conditionalFormatting sqref="H10:H1048576">
    <cfRule type="cellIs" dxfId="790" priority="2813" operator="lessThan">
      <formula>0</formula>
    </cfRule>
  </conditionalFormatting>
  <conditionalFormatting sqref="H10:H1048576">
    <cfRule type="cellIs" dxfId="789" priority="2812" operator="lessThan">
      <formula>0</formula>
    </cfRule>
  </conditionalFormatting>
  <conditionalFormatting sqref="H10:H1048576">
    <cfRule type="cellIs" dxfId="788" priority="2811" operator="lessThan">
      <formula>0</formula>
    </cfRule>
  </conditionalFormatting>
  <conditionalFormatting sqref="H10:H1048576">
    <cfRule type="cellIs" dxfId="787" priority="2810" operator="lessThan">
      <formula>0</formula>
    </cfRule>
  </conditionalFormatting>
  <conditionalFormatting sqref="H10:H1048576">
    <cfRule type="cellIs" dxfId="786" priority="2809" operator="lessThan">
      <formula>0</formula>
    </cfRule>
  </conditionalFormatting>
  <conditionalFormatting sqref="H10:H1048576">
    <cfRule type="cellIs" dxfId="785" priority="2808" operator="lessThan">
      <formula>0</formula>
    </cfRule>
  </conditionalFormatting>
  <conditionalFormatting sqref="H10:H1048576">
    <cfRule type="cellIs" dxfId="784" priority="2807" operator="lessThan">
      <formula>0</formula>
    </cfRule>
  </conditionalFormatting>
  <conditionalFormatting sqref="H10:H1048576">
    <cfRule type="cellIs" dxfId="783" priority="2806" operator="lessThan">
      <formula>0</formula>
    </cfRule>
  </conditionalFormatting>
  <conditionalFormatting sqref="H10:H1048576">
    <cfRule type="cellIs" dxfId="782" priority="2805" operator="lessThan">
      <formula>0</formula>
    </cfRule>
  </conditionalFormatting>
  <conditionalFormatting sqref="H10:H1048576">
    <cfRule type="cellIs" dxfId="781" priority="2804" operator="lessThan">
      <formula>0</formula>
    </cfRule>
  </conditionalFormatting>
  <conditionalFormatting sqref="H10:H1048576">
    <cfRule type="cellIs" dxfId="780" priority="2803" operator="lessThan">
      <formula>0</formula>
    </cfRule>
  </conditionalFormatting>
  <conditionalFormatting sqref="H10:H1048576">
    <cfRule type="cellIs" dxfId="779" priority="2802" operator="lessThan">
      <formula>0</formula>
    </cfRule>
  </conditionalFormatting>
  <conditionalFormatting sqref="H10:H1048576">
    <cfRule type="cellIs" dxfId="778" priority="2801" operator="lessThan">
      <formula>0</formula>
    </cfRule>
  </conditionalFormatting>
  <conditionalFormatting sqref="H10:H1048576">
    <cfRule type="cellIs" dxfId="777" priority="2800" operator="lessThan">
      <formula>0</formula>
    </cfRule>
  </conditionalFormatting>
  <conditionalFormatting sqref="H10:H1048576">
    <cfRule type="cellIs" dxfId="776" priority="2799" operator="lessThan">
      <formula>0</formula>
    </cfRule>
  </conditionalFormatting>
  <conditionalFormatting sqref="H10:H1048576">
    <cfRule type="cellIs" dxfId="775" priority="2798" operator="lessThan">
      <formula>0</formula>
    </cfRule>
  </conditionalFormatting>
  <conditionalFormatting sqref="H10:H1048576">
    <cfRule type="cellIs" dxfId="774" priority="2797" operator="lessThan">
      <formula>0</formula>
    </cfRule>
  </conditionalFormatting>
  <conditionalFormatting sqref="H10:H1048576">
    <cfRule type="cellIs" dxfId="773" priority="2796" operator="lessThan">
      <formula>0</formula>
    </cfRule>
  </conditionalFormatting>
  <conditionalFormatting sqref="H10:H1048576">
    <cfRule type="cellIs" dxfId="772" priority="2795" operator="lessThan">
      <formula>0</formula>
    </cfRule>
  </conditionalFormatting>
  <conditionalFormatting sqref="H10:H1048576">
    <cfRule type="cellIs" dxfId="771" priority="2794" operator="lessThan">
      <formula>0</formula>
    </cfRule>
  </conditionalFormatting>
  <conditionalFormatting sqref="H10:H1048576">
    <cfRule type="cellIs" dxfId="770" priority="2793" operator="lessThan">
      <formula>0</formula>
    </cfRule>
  </conditionalFormatting>
  <conditionalFormatting sqref="H10:H1048576">
    <cfRule type="cellIs" dxfId="769" priority="2792" operator="lessThan">
      <formula>0</formula>
    </cfRule>
  </conditionalFormatting>
  <conditionalFormatting sqref="H10:H1048576">
    <cfRule type="cellIs" dxfId="768" priority="2791" operator="lessThan">
      <formula>0</formula>
    </cfRule>
  </conditionalFormatting>
  <conditionalFormatting sqref="H10:H1048576">
    <cfRule type="cellIs" dxfId="767" priority="2790" operator="lessThan">
      <formula>0</formula>
    </cfRule>
  </conditionalFormatting>
  <conditionalFormatting sqref="H10:H1048576">
    <cfRule type="cellIs" dxfId="766" priority="2789" operator="lessThan">
      <formula>0</formula>
    </cfRule>
  </conditionalFormatting>
  <conditionalFormatting sqref="H10:H1048576">
    <cfRule type="cellIs" dxfId="765" priority="2788" operator="lessThan">
      <formula>0</formula>
    </cfRule>
  </conditionalFormatting>
  <conditionalFormatting sqref="H10:H1048576">
    <cfRule type="cellIs" dxfId="764" priority="2787" operator="lessThan">
      <formula>0</formula>
    </cfRule>
  </conditionalFormatting>
  <conditionalFormatting sqref="H10:H1048576">
    <cfRule type="cellIs" dxfId="763" priority="2786" operator="lessThan">
      <formula>0</formula>
    </cfRule>
  </conditionalFormatting>
  <conditionalFormatting sqref="H10:H1048576">
    <cfRule type="cellIs" dxfId="762" priority="2785" operator="lessThan">
      <formula>0</formula>
    </cfRule>
  </conditionalFormatting>
  <conditionalFormatting sqref="H10:H1048576">
    <cfRule type="cellIs" dxfId="761" priority="2784" operator="lessThan">
      <formula>0</formula>
    </cfRule>
  </conditionalFormatting>
  <conditionalFormatting sqref="H10:H1048576">
    <cfRule type="cellIs" dxfId="760" priority="2783" operator="lessThan">
      <formula>0</formula>
    </cfRule>
  </conditionalFormatting>
  <conditionalFormatting sqref="H10:H1048576">
    <cfRule type="cellIs" dxfId="759" priority="2782" operator="lessThan">
      <formula>0</formula>
    </cfRule>
  </conditionalFormatting>
  <conditionalFormatting sqref="H10:H1048576">
    <cfRule type="cellIs" dxfId="758" priority="2781" operator="lessThan">
      <formula>0</formula>
    </cfRule>
  </conditionalFormatting>
  <conditionalFormatting sqref="H10:H1048576">
    <cfRule type="cellIs" dxfId="757" priority="2780" operator="lessThan">
      <formula>0</formula>
    </cfRule>
  </conditionalFormatting>
  <conditionalFormatting sqref="H10:H1048576">
    <cfRule type="cellIs" dxfId="756" priority="2779" operator="lessThan">
      <formula>0</formula>
    </cfRule>
  </conditionalFormatting>
  <conditionalFormatting sqref="H10:H1048576">
    <cfRule type="cellIs" dxfId="755" priority="2778" operator="lessThan">
      <formula>0</formula>
    </cfRule>
  </conditionalFormatting>
  <conditionalFormatting sqref="H10:H1048576">
    <cfRule type="cellIs" dxfId="754" priority="2777" operator="lessThan">
      <formula>0</formula>
    </cfRule>
  </conditionalFormatting>
  <conditionalFormatting sqref="H10:H1048576">
    <cfRule type="cellIs" dxfId="753" priority="2776" operator="lessThan">
      <formula>0</formula>
    </cfRule>
  </conditionalFormatting>
  <conditionalFormatting sqref="H10:H1048576">
    <cfRule type="cellIs" dxfId="752" priority="2775" operator="lessThan">
      <formula>0</formula>
    </cfRule>
  </conditionalFormatting>
  <conditionalFormatting sqref="H10:H1048576">
    <cfRule type="cellIs" dxfId="751" priority="2774" operator="lessThan">
      <formula>0</formula>
    </cfRule>
  </conditionalFormatting>
  <conditionalFormatting sqref="H10:H1048576">
    <cfRule type="cellIs" dxfId="750" priority="2773" operator="lessThan">
      <formula>0</formula>
    </cfRule>
  </conditionalFormatting>
  <conditionalFormatting sqref="H10:H1048576">
    <cfRule type="cellIs" dxfId="749" priority="2772" operator="lessThan">
      <formula>0</formula>
    </cfRule>
  </conditionalFormatting>
  <conditionalFormatting sqref="H10:H1048576">
    <cfRule type="cellIs" dxfId="748" priority="2771" operator="lessThan">
      <formula>0</formula>
    </cfRule>
  </conditionalFormatting>
  <conditionalFormatting sqref="H10:H1048576">
    <cfRule type="cellIs" dxfId="747" priority="2770" operator="lessThan">
      <formula>0</formula>
    </cfRule>
  </conditionalFormatting>
  <conditionalFormatting sqref="H10:H1048576">
    <cfRule type="cellIs" dxfId="746" priority="2769" operator="lessThan">
      <formula>0</formula>
    </cfRule>
  </conditionalFormatting>
  <conditionalFormatting sqref="H10:H1048576">
    <cfRule type="cellIs" dxfId="745" priority="2768" operator="lessThan">
      <formula>0</formula>
    </cfRule>
  </conditionalFormatting>
  <conditionalFormatting sqref="H10:H1048576">
    <cfRule type="cellIs" dxfId="744" priority="2767" operator="lessThan">
      <formula>0</formula>
    </cfRule>
  </conditionalFormatting>
  <conditionalFormatting sqref="H10:H1048576">
    <cfRule type="cellIs" dxfId="743" priority="2766" operator="lessThan">
      <formula>0</formula>
    </cfRule>
  </conditionalFormatting>
  <conditionalFormatting sqref="H10:H1048576">
    <cfRule type="cellIs" dxfId="742" priority="2765" operator="lessThan">
      <formula>0</formula>
    </cfRule>
  </conditionalFormatting>
  <conditionalFormatting sqref="H10:H1048576">
    <cfRule type="cellIs" dxfId="741" priority="2764" operator="lessThan">
      <formula>0</formula>
    </cfRule>
  </conditionalFormatting>
  <conditionalFormatting sqref="H10:H1048576">
    <cfRule type="cellIs" dxfId="740" priority="2763" operator="lessThan">
      <formula>0</formula>
    </cfRule>
  </conditionalFormatting>
  <conditionalFormatting sqref="H10:H1048576">
    <cfRule type="cellIs" dxfId="739" priority="2762" operator="lessThan">
      <formula>0</formula>
    </cfRule>
  </conditionalFormatting>
  <conditionalFormatting sqref="H10:H1048576">
    <cfRule type="cellIs" dxfId="738" priority="2761" operator="lessThan">
      <formula>0</formula>
    </cfRule>
  </conditionalFormatting>
  <conditionalFormatting sqref="H10:H1048576">
    <cfRule type="cellIs" dxfId="737" priority="2760" operator="lessThan">
      <formula>0</formula>
    </cfRule>
  </conditionalFormatting>
  <conditionalFormatting sqref="H10:H1048576">
    <cfRule type="cellIs" dxfId="736" priority="2759" operator="lessThan">
      <formula>0</formula>
    </cfRule>
  </conditionalFormatting>
  <conditionalFormatting sqref="H10:H1048576">
    <cfRule type="cellIs" dxfId="735" priority="2758" operator="lessThan">
      <formula>0</formula>
    </cfRule>
  </conditionalFormatting>
  <conditionalFormatting sqref="H10:H1048576">
    <cfRule type="cellIs" dxfId="734" priority="2757" operator="lessThan">
      <formula>0</formula>
    </cfRule>
  </conditionalFormatting>
  <conditionalFormatting sqref="H10:H1048576">
    <cfRule type="cellIs" dxfId="733" priority="2756" operator="lessThan">
      <formula>0</formula>
    </cfRule>
  </conditionalFormatting>
  <conditionalFormatting sqref="H10:H1048576">
    <cfRule type="cellIs" dxfId="732" priority="2755" operator="lessThan">
      <formula>0</formula>
    </cfRule>
  </conditionalFormatting>
  <conditionalFormatting sqref="H10:H1048576">
    <cfRule type="cellIs" dxfId="731" priority="2754" operator="lessThan">
      <formula>0</formula>
    </cfRule>
  </conditionalFormatting>
  <conditionalFormatting sqref="H10:H1048576">
    <cfRule type="cellIs" dxfId="730" priority="2753" operator="lessThan">
      <formula>0</formula>
    </cfRule>
  </conditionalFormatting>
  <conditionalFormatting sqref="H10:H1048576">
    <cfRule type="cellIs" dxfId="729" priority="2752" operator="lessThan">
      <formula>0</formula>
    </cfRule>
  </conditionalFormatting>
  <conditionalFormatting sqref="H10:H1048576">
    <cfRule type="cellIs" dxfId="728" priority="2751" operator="lessThan">
      <formula>0</formula>
    </cfRule>
  </conditionalFormatting>
  <conditionalFormatting sqref="H10:H1048576">
    <cfRule type="cellIs" dxfId="727" priority="2750" operator="lessThan">
      <formula>0</formula>
    </cfRule>
  </conditionalFormatting>
  <conditionalFormatting sqref="H10:H1048576">
    <cfRule type="cellIs" dxfId="726" priority="2749" operator="lessThan">
      <formula>0</formula>
    </cfRule>
  </conditionalFormatting>
  <conditionalFormatting sqref="H10:H1048576">
    <cfRule type="cellIs" dxfId="725" priority="2748" operator="lessThan">
      <formula>0</formula>
    </cfRule>
  </conditionalFormatting>
  <conditionalFormatting sqref="H10:H1048576">
    <cfRule type="cellIs" dxfId="724" priority="2747" operator="lessThan">
      <formula>0</formula>
    </cfRule>
  </conditionalFormatting>
  <conditionalFormatting sqref="H10:H1048576">
    <cfRule type="cellIs" dxfId="723" priority="2746" operator="lessThan">
      <formula>0</formula>
    </cfRule>
  </conditionalFormatting>
  <conditionalFormatting sqref="H10:H1048576">
    <cfRule type="cellIs" dxfId="722" priority="2745" operator="lessThan">
      <formula>0</formula>
    </cfRule>
  </conditionalFormatting>
  <conditionalFormatting sqref="H10:H1048576">
    <cfRule type="cellIs" dxfId="721" priority="2744" operator="lessThan">
      <formula>0</formula>
    </cfRule>
  </conditionalFormatting>
  <conditionalFormatting sqref="H10:H1048576">
    <cfRule type="cellIs" dxfId="720" priority="2743" operator="lessThan">
      <formula>0</formula>
    </cfRule>
  </conditionalFormatting>
  <conditionalFormatting sqref="H10:H1048576">
    <cfRule type="cellIs" dxfId="719" priority="2742" operator="lessThan">
      <formula>0</formula>
    </cfRule>
  </conditionalFormatting>
  <conditionalFormatting sqref="H10:H1048576">
    <cfRule type="cellIs" dxfId="718" priority="2741" operator="lessThan">
      <formula>0</formula>
    </cfRule>
  </conditionalFormatting>
  <conditionalFormatting sqref="H10:H1048576">
    <cfRule type="cellIs" dxfId="717" priority="2740" operator="lessThan">
      <formula>0</formula>
    </cfRule>
  </conditionalFormatting>
  <conditionalFormatting sqref="H10:H1048576">
    <cfRule type="cellIs" dxfId="716" priority="2739" operator="lessThan">
      <formula>0</formula>
    </cfRule>
  </conditionalFormatting>
  <conditionalFormatting sqref="H10:H1048576">
    <cfRule type="cellIs" dxfId="715" priority="2738" operator="lessThan">
      <formula>0</formula>
    </cfRule>
  </conditionalFormatting>
  <conditionalFormatting sqref="H10:H1048576">
    <cfRule type="cellIs" dxfId="714" priority="2737" operator="lessThan">
      <formula>0</formula>
    </cfRule>
  </conditionalFormatting>
  <conditionalFormatting sqref="H10:H1048576">
    <cfRule type="cellIs" dxfId="713" priority="2736" operator="lessThan">
      <formula>0</formula>
    </cfRule>
  </conditionalFormatting>
  <conditionalFormatting sqref="H10:H1048576">
    <cfRule type="cellIs" dxfId="712" priority="2735" operator="lessThan">
      <formula>0</formula>
    </cfRule>
  </conditionalFormatting>
  <conditionalFormatting sqref="H10:H1048576">
    <cfRule type="cellIs" dxfId="711" priority="2734" operator="lessThan">
      <formula>0</formula>
    </cfRule>
  </conditionalFormatting>
  <conditionalFormatting sqref="H10:H1048576">
    <cfRule type="cellIs" dxfId="710" priority="2733" operator="lessThan">
      <formula>0</formula>
    </cfRule>
  </conditionalFormatting>
  <conditionalFormatting sqref="H10:H1048576">
    <cfRule type="cellIs" dxfId="709" priority="2732" operator="lessThan">
      <formula>0</formula>
    </cfRule>
  </conditionalFormatting>
  <conditionalFormatting sqref="H10:H1048576">
    <cfRule type="cellIs" dxfId="708" priority="2731" operator="lessThan">
      <formula>0</formula>
    </cfRule>
  </conditionalFormatting>
  <conditionalFormatting sqref="H10:H1048576">
    <cfRule type="cellIs" dxfId="707" priority="2730" operator="lessThan">
      <formula>0</formula>
    </cfRule>
  </conditionalFormatting>
  <conditionalFormatting sqref="H10:H1048576">
    <cfRule type="cellIs" dxfId="706" priority="2729" operator="lessThan">
      <formula>0</formula>
    </cfRule>
  </conditionalFormatting>
  <conditionalFormatting sqref="H10:H1048576">
    <cfRule type="cellIs" dxfId="705" priority="2728" operator="lessThan">
      <formula>0</formula>
    </cfRule>
  </conditionalFormatting>
  <conditionalFormatting sqref="H10:H1048576">
    <cfRule type="cellIs" dxfId="704" priority="2727" operator="lessThan">
      <formula>0</formula>
    </cfRule>
  </conditionalFormatting>
  <conditionalFormatting sqref="H10:H1048576">
    <cfRule type="cellIs" dxfId="703" priority="2726" operator="lessThan">
      <formula>0</formula>
    </cfRule>
  </conditionalFormatting>
  <conditionalFormatting sqref="H10:H1048576">
    <cfRule type="cellIs" dxfId="702" priority="2725" operator="lessThan">
      <formula>0</formula>
    </cfRule>
  </conditionalFormatting>
  <conditionalFormatting sqref="H10:H1048576">
    <cfRule type="cellIs" dxfId="701" priority="2724" operator="lessThan">
      <formula>0</formula>
    </cfRule>
  </conditionalFormatting>
  <conditionalFormatting sqref="H10:H1048576">
    <cfRule type="cellIs" dxfId="700" priority="2723" operator="lessThan">
      <formula>0</formula>
    </cfRule>
  </conditionalFormatting>
  <conditionalFormatting sqref="H10:H1048576">
    <cfRule type="cellIs" dxfId="699" priority="2722" operator="lessThan">
      <formula>0</formula>
    </cfRule>
  </conditionalFormatting>
  <conditionalFormatting sqref="H10:H1048576">
    <cfRule type="cellIs" dxfId="698" priority="2721" operator="lessThan">
      <formula>0</formula>
    </cfRule>
  </conditionalFormatting>
  <conditionalFormatting sqref="H10:H1048576">
    <cfRule type="cellIs" dxfId="697" priority="2720" operator="lessThan">
      <formula>0</formula>
    </cfRule>
  </conditionalFormatting>
  <conditionalFormatting sqref="H10:H1048576">
    <cfRule type="cellIs" dxfId="696" priority="2719" operator="lessThan">
      <formula>0</formula>
    </cfRule>
  </conditionalFormatting>
  <conditionalFormatting sqref="H10:H1048576">
    <cfRule type="cellIs" dxfId="695" priority="2718" operator="lessThan">
      <formula>0</formula>
    </cfRule>
  </conditionalFormatting>
  <conditionalFormatting sqref="H10:H1048576">
    <cfRule type="cellIs" dxfId="694" priority="2717" operator="lessThan">
      <formula>0</formula>
    </cfRule>
  </conditionalFormatting>
  <conditionalFormatting sqref="H10:H1048576">
    <cfRule type="cellIs" dxfId="693" priority="2716" operator="lessThan">
      <formula>0</formula>
    </cfRule>
  </conditionalFormatting>
  <conditionalFormatting sqref="H10:H1048576">
    <cfRule type="cellIs" dxfId="692" priority="2715" operator="lessThan">
      <formula>0</formula>
    </cfRule>
  </conditionalFormatting>
  <conditionalFormatting sqref="H10:H1048576">
    <cfRule type="cellIs" dxfId="691" priority="2714" operator="lessThan">
      <formula>0</formula>
    </cfRule>
  </conditionalFormatting>
  <conditionalFormatting sqref="H10:H1048576">
    <cfRule type="cellIs" dxfId="690" priority="2713" operator="lessThan">
      <formula>0</formula>
    </cfRule>
  </conditionalFormatting>
  <conditionalFormatting sqref="H10:H1048576">
    <cfRule type="cellIs" dxfId="689" priority="2712" operator="lessThan">
      <formula>0</formula>
    </cfRule>
  </conditionalFormatting>
  <conditionalFormatting sqref="H10:H1048576">
    <cfRule type="cellIs" dxfId="688" priority="2711" operator="lessThan">
      <formula>0</formula>
    </cfRule>
  </conditionalFormatting>
  <conditionalFormatting sqref="H10:H1048576">
    <cfRule type="cellIs" dxfId="687" priority="2710" operator="lessThan">
      <formula>0</formula>
    </cfRule>
  </conditionalFormatting>
  <conditionalFormatting sqref="H10:H1048576">
    <cfRule type="cellIs" dxfId="686" priority="2709" operator="lessThan">
      <formula>0</formula>
    </cfRule>
  </conditionalFormatting>
  <conditionalFormatting sqref="H10:H1048576">
    <cfRule type="cellIs" dxfId="685" priority="2708" operator="lessThan">
      <formula>0</formula>
    </cfRule>
  </conditionalFormatting>
  <conditionalFormatting sqref="H10:H1048576">
    <cfRule type="cellIs" dxfId="684" priority="2707" operator="lessThan">
      <formula>0</formula>
    </cfRule>
  </conditionalFormatting>
  <conditionalFormatting sqref="H10:H1048576">
    <cfRule type="cellIs" dxfId="683" priority="2706" operator="lessThan">
      <formula>0</formula>
    </cfRule>
  </conditionalFormatting>
  <conditionalFormatting sqref="H10:H1048576">
    <cfRule type="cellIs" dxfId="682" priority="2705" operator="lessThan">
      <formula>0</formula>
    </cfRule>
  </conditionalFormatting>
  <conditionalFormatting sqref="H10:H1048576">
    <cfRule type="cellIs" dxfId="681" priority="2704" operator="lessThan">
      <formula>0</formula>
    </cfRule>
  </conditionalFormatting>
  <conditionalFormatting sqref="H10:H1048576">
    <cfRule type="cellIs" dxfId="680" priority="2703" operator="lessThan">
      <formula>0</formula>
    </cfRule>
  </conditionalFormatting>
  <conditionalFormatting sqref="H10:H1048576">
    <cfRule type="cellIs" dxfId="679" priority="2702" operator="lessThan">
      <formula>0</formula>
    </cfRule>
  </conditionalFormatting>
  <conditionalFormatting sqref="H10:H1048576">
    <cfRule type="cellIs" dxfId="678" priority="2701" operator="lessThan">
      <formula>0</formula>
    </cfRule>
  </conditionalFormatting>
  <conditionalFormatting sqref="H10:H1048576">
    <cfRule type="cellIs" dxfId="677" priority="2700" operator="lessThan">
      <formula>0</formula>
    </cfRule>
  </conditionalFormatting>
  <conditionalFormatting sqref="H10:H1048576">
    <cfRule type="cellIs" dxfId="676" priority="2699" operator="lessThan">
      <formula>0</formula>
    </cfRule>
  </conditionalFormatting>
  <conditionalFormatting sqref="H10:H1048576">
    <cfRule type="cellIs" dxfId="675" priority="2698" operator="lessThan">
      <formula>0</formula>
    </cfRule>
  </conditionalFormatting>
  <conditionalFormatting sqref="H10:H1048576">
    <cfRule type="cellIs" dxfId="674" priority="2697" operator="lessThan">
      <formula>0</formula>
    </cfRule>
  </conditionalFormatting>
  <conditionalFormatting sqref="H10:H1048576">
    <cfRule type="cellIs" dxfId="673" priority="2696" operator="lessThan">
      <formula>0</formula>
    </cfRule>
  </conditionalFormatting>
  <conditionalFormatting sqref="H10:H1048576">
    <cfRule type="cellIs" dxfId="672" priority="2695" operator="lessThan">
      <formula>0</formula>
    </cfRule>
  </conditionalFormatting>
  <conditionalFormatting sqref="H10:H1048576">
    <cfRule type="cellIs" dxfId="671" priority="2694" operator="lessThan">
      <formula>0</formula>
    </cfRule>
  </conditionalFormatting>
  <conditionalFormatting sqref="H10:H1048576">
    <cfRule type="cellIs" dxfId="670" priority="2693" operator="lessThan">
      <formula>0</formula>
    </cfRule>
  </conditionalFormatting>
  <conditionalFormatting sqref="H10:H1048576">
    <cfRule type="cellIs" dxfId="669" priority="2692" operator="lessThan">
      <formula>0</formula>
    </cfRule>
  </conditionalFormatting>
  <conditionalFormatting sqref="H10:H1048576">
    <cfRule type="cellIs" dxfId="668" priority="2691" operator="lessThan">
      <formula>0</formula>
    </cfRule>
  </conditionalFormatting>
  <conditionalFormatting sqref="H10:H1048576">
    <cfRule type="cellIs" dxfId="667" priority="2690" operator="lessThan">
      <formula>0</formula>
    </cfRule>
  </conditionalFormatting>
  <conditionalFormatting sqref="H10:H1048576">
    <cfRule type="cellIs" dxfId="666" priority="2689" operator="lessThan">
      <formula>0</formula>
    </cfRule>
  </conditionalFormatting>
  <conditionalFormatting sqref="H10:H1048576">
    <cfRule type="cellIs" dxfId="665" priority="2688" operator="lessThan">
      <formula>0</formula>
    </cfRule>
  </conditionalFormatting>
  <conditionalFormatting sqref="H10:H1048576">
    <cfRule type="cellIs" dxfId="664" priority="2687" operator="lessThan">
      <formula>0</formula>
    </cfRule>
  </conditionalFormatting>
  <conditionalFormatting sqref="H10:H1048576">
    <cfRule type="cellIs" dxfId="663" priority="2686" operator="lessThan">
      <formula>0</formula>
    </cfRule>
  </conditionalFormatting>
  <conditionalFormatting sqref="H10:H1048576">
    <cfRule type="cellIs" dxfId="662" priority="2685" operator="lessThan">
      <formula>0</formula>
    </cfRule>
  </conditionalFormatting>
  <conditionalFormatting sqref="H10:H1048576">
    <cfRule type="cellIs" dxfId="661" priority="2684" operator="lessThan">
      <formula>0</formula>
    </cfRule>
  </conditionalFormatting>
  <conditionalFormatting sqref="H10:H1048576">
    <cfRule type="cellIs" dxfId="660" priority="2683" operator="lessThan">
      <formula>0</formula>
    </cfRule>
  </conditionalFormatting>
  <conditionalFormatting sqref="H10:H1048576">
    <cfRule type="cellIs" dxfId="659" priority="2682" operator="lessThan">
      <formula>0</formula>
    </cfRule>
  </conditionalFormatting>
  <conditionalFormatting sqref="H10:H1048576">
    <cfRule type="cellIs" dxfId="658" priority="2681" operator="lessThan">
      <formula>0</formula>
    </cfRule>
  </conditionalFormatting>
  <conditionalFormatting sqref="H10:H1048576">
    <cfRule type="cellIs" dxfId="657" priority="2680" operator="lessThan">
      <formula>0</formula>
    </cfRule>
  </conditionalFormatting>
  <conditionalFormatting sqref="H10:H1048576">
    <cfRule type="cellIs" dxfId="656" priority="2679" operator="lessThan">
      <formula>0</formula>
    </cfRule>
  </conditionalFormatting>
  <conditionalFormatting sqref="H10:H1048576">
    <cfRule type="cellIs" dxfId="655" priority="2678" operator="lessThan">
      <formula>0</formula>
    </cfRule>
  </conditionalFormatting>
  <conditionalFormatting sqref="H10:H1048576">
    <cfRule type="cellIs" dxfId="654" priority="2677" operator="lessThan">
      <formula>0</formula>
    </cfRule>
  </conditionalFormatting>
  <conditionalFormatting sqref="H10:H1048576">
    <cfRule type="cellIs" dxfId="653" priority="2676" operator="lessThan">
      <formula>0</formula>
    </cfRule>
  </conditionalFormatting>
  <conditionalFormatting sqref="H10:H1048576">
    <cfRule type="cellIs" dxfId="652" priority="2675" operator="lessThan">
      <formula>0</formula>
    </cfRule>
  </conditionalFormatting>
  <conditionalFormatting sqref="H10:H1048576">
    <cfRule type="cellIs" dxfId="651" priority="2674" operator="lessThan">
      <formula>0</formula>
    </cfRule>
  </conditionalFormatting>
  <conditionalFormatting sqref="H10:H1048576">
    <cfRule type="cellIs" dxfId="650" priority="2673" operator="lessThan">
      <formula>0</formula>
    </cfRule>
  </conditionalFormatting>
  <conditionalFormatting sqref="H10:H1048576">
    <cfRule type="cellIs" dxfId="649" priority="2672" operator="lessThan">
      <formula>0</formula>
    </cfRule>
  </conditionalFormatting>
  <conditionalFormatting sqref="H10:H1048576">
    <cfRule type="cellIs" dxfId="648" priority="2671" operator="lessThan">
      <formula>0</formula>
    </cfRule>
  </conditionalFormatting>
  <conditionalFormatting sqref="H10:H1048576">
    <cfRule type="cellIs" dxfId="647" priority="2670" operator="lessThan">
      <formula>0</formula>
    </cfRule>
  </conditionalFormatting>
  <conditionalFormatting sqref="H10:H1048576">
    <cfRule type="cellIs" dxfId="646" priority="2669" operator="lessThan">
      <formula>0</formula>
    </cfRule>
  </conditionalFormatting>
  <conditionalFormatting sqref="H10:H1048576">
    <cfRule type="cellIs" dxfId="645" priority="2668" operator="lessThan">
      <formula>0</formula>
    </cfRule>
  </conditionalFormatting>
  <conditionalFormatting sqref="H10:H1048576">
    <cfRule type="cellIs" dxfId="644" priority="2667" operator="lessThan">
      <formula>0</formula>
    </cfRule>
  </conditionalFormatting>
  <conditionalFormatting sqref="H10:H1048576">
    <cfRule type="cellIs" dxfId="643" priority="2666" operator="lessThan">
      <formula>0</formula>
    </cfRule>
  </conditionalFormatting>
  <conditionalFormatting sqref="H10:H1048576">
    <cfRule type="cellIs" dxfId="642" priority="2665" operator="lessThan">
      <formula>0</formula>
    </cfRule>
  </conditionalFormatting>
  <conditionalFormatting sqref="H10:H1048576">
    <cfRule type="cellIs" dxfId="641" priority="2664" operator="lessThan">
      <formula>0</formula>
    </cfRule>
  </conditionalFormatting>
  <conditionalFormatting sqref="H10:H1048576">
    <cfRule type="cellIs" dxfId="640" priority="2663" operator="lessThan">
      <formula>0</formula>
    </cfRule>
  </conditionalFormatting>
  <conditionalFormatting sqref="H10:H1048576">
    <cfRule type="cellIs" dxfId="639" priority="2662" operator="lessThan">
      <formula>0</formula>
    </cfRule>
  </conditionalFormatting>
  <conditionalFormatting sqref="H10:H1048576">
    <cfRule type="cellIs" dxfId="638" priority="2661" operator="lessThan">
      <formula>0</formula>
    </cfRule>
  </conditionalFormatting>
  <conditionalFormatting sqref="H10:H1048576">
    <cfRule type="cellIs" dxfId="637" priority="2660" operator="lessThan">
      <formula>0</formula>
    </cfRule>
  </conditionalFormatting>
  <conditionalFormatting sqref="H10:H1048576">
    <cfRule type="cellIs" dxfId="636" priority="2659" operator="lessThan">
      <formula>0</formula>
    </cfRule>
  </conditionalFormatting>
  <conditionalFormatting sqref="H10:H1048576">
    <cfRule type="cellIs" dxfId="635" priority="2658" operator="lessThan">
      <formula>0</formula>
    </cfRule>
  </conditionalFormatting>
  <conditionalFormatting sqref="H10:H1048576">
    <cfRule type="cellIs" dxfId="634" priority="2657" operator="lessThan">
      <formula>0</formula>
    </cfRule>
  </conditionalFormatting>
  <conditionalFormatting sqref="H10:H1048576">
    <cfRule type="cellIs" dxfId="633" priority="2656" operator="lessThan">
      <formula>0</formula>
    </cfRule>
  </conditionalFormatting>
  <conditionalFormatting sqref="H10:H1048576">
    <cfRule type="cellIs" dxfId="632" priority="2655" operator="lessThan">
      <formula>0</formula>
    </cfRule>
  </conditionalFormatting>
  <conditionalFormatting sqref="H10:H1048576">
    <cfRule type="cellIs" dxfId="631" priority="2654" operator="lessThan">
      <formula>0</formula>
    </cfRule>
  </conditionalFormatting>
  <conditionalFormatting sqref="H10:H1048576">
    <cfRule type="cellIs" dxfId="630" priority="2653" operator="lessThan">
      <formula>0</formula>
    </cfRule>
  </conditionalFormatting>
  <conditionalFormatting sqref="H10:H1048576">
    <cfRule type="cellIs" dxfId="629" priority="2652" operator="lessThan">
      <formula>0</formula>
    </cfRule>
  </conditionalFormatting>
  <conditionalFormatting sqref="H10:H1048576">
    <cfRule type="cellIs" dxfId="628" priority="2651" operator="lessThan">
      <formula>0</formula>
    </cfRule>
  </conditionalFormatting>
  <conditionalFormatting sqref="H10:H1048576">
    <cfRule type="cellIs" dxfId="627" priority="2650" operator="lessThan">
      <formula>0</formula>
    </cfRule>
  </conditionalFormatting>
  <conditionalFormatting sqref="H10:H1048576">
    <cfRule type="cellIs" dxfId="626" priority="2649" operator="lessThan">
      <formula>0</formula>
    </cfRule>
  </conditionalFormatting>
  <conditionalFormatting sqref="H10:H1048576">
    <cfRule type="cellIs" dxfId="625" priority="2648" operator="lessThan">
      <formula>0</formula>
    </cfRule>
  </conditionalFormatting>
  <conditionalFormatting sqref="H10:H1048576">
    <cfRule type="cellIs" dxfId="624" priority="2647" operator="lessThan">
      <formula>0</formula>
    </cfRule>
  </conditionalFormatting>
  <conditionalFormatting sqref="H10:H1048576">
    <cfRule type="cellIs" dxfId="623" priority="2646" operator="lessThan">
      <formula>0</formula>
    </cfRule>
  </conditionalFormatting>
  <conditionalFormatting sqref="H10:H1048576">
    <cfRule type="cellIs" dxfId="622" priority="2645" operator="lessThan">
      <formula>0</formula>
    </cfRule>
  </conditionalFormatting>
  <conditionalFormatting sqref="H10:H1048576">
    <cfRule type="cellIs" dxfId="621" priority="2644" operator="lessThan">
      <formula>0</formula>
    </cfRule>
  </conditionalFormatting>
  <conditionalFormatting sqref="H10:H1048576">
    <cfRule type="cellIs" dxfId="620" priority="2643" operator="lessThan">
      <formula>0</formula>
    </cfRule>
  </conditionalFormatting>
  <conditionalFormatting sqref="H10:H1048576">
    <cfRule type="cellIs" dxfId="619" priority="2642" operator="lessThan">
      <formula>0</formula>
    </cfRule>
  </conditionalFormatting>
  <conditionalFormatting sqref="H10:H1048576">
    <cfRule type="cellIs" dxfId="618" priority="2641" operator="lessThan">
      <formula>0</formula>
    </cfRule>
  </conditionalFormatting>
  <conditionalFormatting sqref="H10:H1048576">
    <cfRule type="cellIs" dxfId="617" priority="2640" operator="lessThan">
      <formula>0</formula>
    </cfRule>
  </conditionalFormatting>
  <conditionalFormatting sqref="H10:H1048576">
    <cfRule type="cellIs" dxfId="616" priority="2639" operator="lessThan">
      <formula>0</formula>
    </cfRule>
  </conditionalFormatting>
  <conditionalFormatting sqref="H10:H1048576">
    <cfRule type="cellIs" dxfId="615" priority="2638" operator="lessThan">
      <formula>0</formula>
    </cfRule>
  </conditionalFormatting>
  <conditionalFormatting sqref="H10:H1048576">
    <cfRule type="cellIs" dxfId="614" priority="2637" operator="lessThan">
      <formula>0</formula>
    </cfRule>
  </conditionalFormatting>
  <conditionalFormatting sqref="H10:H1048576">
    <cfRule type="cellIs" dxfId="613" priority="2636" operator="lessThan">
      <formula>0</formula>
    </cfRule>
  </conditionalFormatting>
  <conditionalFormatting sqref="H10:H1048576">
    <cfRule type="cellIs" dxfId="612" priority="2635" operator="lessThan">
      <formula>0</formula>
    </cfRule>
  </conditionalFormatting>
  <conditionalFormatting sqref="H10:H1048576">
    <cfRule type="cellIs" dxfId="611" priority="2634" operator="lessThan">
      <formula>0</formula>
    </cfRule>
  </conditionalFormatting>
  <conditionalFormatting sqref="H10:H1048576">
    <cfRule type="cellIs" dxfId="610" priority="2633" operator="lessThan">
      <formula>0</formula>
    </cfRule>
  </conditionalFormatting>
  <conditionalFormatting sqref="H10:H1048576">
    <cfRule type="cellIs" dxfId="609" priority="2632" operator="lessThan">
      <formula>0</formula>
    </cfRule>
  </conditionalFormatting>
  <conditionalFormatting sqref="H10:H1048576">
    <cfRule type="cellIs" dxfId="608" priority="2631" operator="lessThan">
      <formula>0</formula>
    </cfRule>
  </conditionalFormatting>
  <conditionalFormatting sqref="H10:H1048576">
    <cfRule type="cellIs" dxfId="607" priority="2630" operator="lessThan">
      <formula>0</formula>
    </cfRule>
  </conditionalFormatting>
  <conditionalFormatting sqref="H10:H1048576">
    <cfRule type="cellIs" dxfId="606" priority="2629" operator="lessThan">
      <formula>0</formula>
    </cfRule>
  </conditionalFormatting>
  <conditionalFormatting sqref="H10:H1048576">
    <cfRule type="cellIs" dxfId="605" priority="2628" operator="lessThan">
      <formula>0</formula>
    </cfRule>
  </conditionalFormatting>
  <conditionalFormatting sqref="H10:H1048576">
    <cfRule type="cellIs" dxfId="604" priority="2627" operator="lessThan">
      <formula>0</formula>
    </cfRule>
  </conditionalFormatting>
  <conditionalFormatting sqref="H10:H1048576">
    <cfRule type="cellIs" dxfId="603" priority="2626" operator="lessThan">
      <formula>0</formula>
    </cfRule>
  </conditionalFormatting>
  <conditionalFormatting sqref="H10:H1048576">
    <cfRule type="cellIs" dxfId="602" priority="2625" operator="lessThan">
      <formula>0</formula>
    </cfRule>
  </conditionalFormatting>
  <conditionalFormatting sqref="H10:H1048576">
    <cfRule type="cellIs" dxfId="601" priority="2624" operator="lessThan">
      <formula>0</formula>
    </cfRule>
  </conditionalFormatting>
  <conditionalFormatting sqref="H10:H1048576">
    <cfRule type="cellIs" dxfId="600" priority="2623" operator="lessThan">
      <formula>0</formula>
    </cfRule>
  </conditionalFormatting>
  <conditionalFormatting sqref="H10:H1048576">
    <cfRule type="cellIs" dxfId="599" priority="2622" operator="lessThan">
      <formula>0</formula>
    </cfRule>
  </conditionalFormatting>
  <conditionalFormatting sqref="H10:H1048576">
    <cfRule type="cellIs" dxfId="598" priority="2621" operator="lessThan">
      <formula>0</formula>
    </cfRule>
  </conditionalFormatting>
  <conditionalFormatting sqref="H10:H1048576">
    <cfRule type="cellIs" dxfId="597" priority="2620" operator="lessThan">
      <formula>0</formula>
    </cfRule>
  </conditionalFormatting>
  <conditionalFormatting sqref="H10:H1048576">
    <cfRule type="cellIs" dxfId="596" priority="2619" operator="lessThan">
      <formula>0</formula>
    </cfRule>
  </conditionalFormatting>
  <conditionalFormatting sqref="H10:H1048576">
    <cfRule type="cellIs" dxfId="595" priority="2618" operator="lessThan">
      <formula>0</formula>
    </cfRule>
  </conditionalFormatting>
  <conditionalFormatting sqref="H10:H1048576">
    <cfRule type="cellIs" dxfId="594" priority="2617" operator="lessThan">
      <formula>0</formula>
    </cfRule>
  </conditionalFormatting>
  <conditionalFormatting sqref="H10:H1048576">
    <cfRule type="cellIs" dxfId="593" priority="2616" operator="lessThan">
      <formula>0</formula>
    </cfRule>
  </conditionalFormatting>
  <conditionalFormatting sqref="H10:H1048576">
    <cfRule type="cellIs" dxfId="592" priority="2615" operator="lessThan">
      <formula>0</formula>
    </cfRule>
  </conditionalFormatting>
  <conditionalFormatting sqref="H10:H1048576">
    <cfRule type="cellIs" dxfId="591" priority="2614" operator="lessThan">
      <formula>0</formula>
    </cfRule>
  </conditionalFormatting>
  <conditionalFormatting sqref="H10:H1048576">
    <cfRule type="cellIs" dxfId="590" priority="2613" operator="lessThan">
      <formula>0</formula>
    </cfRule>
  </conditionalFormatting>
  <conditionalFormatting sqref="H10:H1048576">
    <cfRule type="cellIs" dxfId="589" priority="2612" operator="lessThan">
      <formula>0</formula>
    </cfRule>
  </conditionalFormatting>
  <conditionalFormatting sqref="H10:H1048576">
    <cfRule type="cellIs" dxfId="588" priority="2611" operator="lessThan">
      <formula>0</formula>
    </cfRule>
  </conditionalFormatting>
  <conditionalFormatting sqref="H10:H1048576">
    <cfRule type="cellIs" dxfId="587" priority="2610" operator="lessThan">
      <formula>0</formula>
    </cfRule>
  </conditionalFormatting>
  <conditionalFormatting sqref="H10:H1048576">
    <cfRule type="cellIs" dxfId="586" priority="2609" operator="lessThan">
      <formula>0</formula>
    </cfRule>
  </conditionalFormatting>
  <conditionalFormatting sqref="H10:H1048576">
    <cfRule type="cellIs" dxfId="585" priority="2608" operator="lessThan">
      <formula>0</formula>
    </cfRule>
  </conditionalFormatting>
  <conditionalFormatting sqref="H10:H1048576">
    <cfRule type="cellIs" dxfId="584" priority="2607" operator="lessThan">
      <formula>0</formula>
    </cfRule>
  </conditionalFormatting>
  <conditionalFormatting sqref="H10:H1048576">
    <cfRule type="cellIs" dxfId="583" priority="2606" operator="lessThan">
      <formula>0</formula>
    </cfRule>
  </conditionalFormatting>
  <conditionalFormatting sqref="H10:H1048576">
    <cfRule type="cellIs" dxfId="582" priority="2605" operator="lessThan">
      <formula>0</formula>
    </cfRule>
  </conditionalFormatting>
  <conditionalFormatting sqref="H10:H1048576">
    <cfRule type="cellIs" dxfId="581" priority="2604" operator="lessThan">
      <formula>0</formula>
    </cfRule>
  </conditionalFormatting>
  <conditionalFormatting sqref="H10:H1048576">
    <cfRule type="cellIs" dxfId="580" priority="2603" operator="lessThan">
      <formula>0</formula>
    </cfRule>
  </conditionalFormatting>
  <conditionalFormatting sqref="H10:H1048576">
    <cfRule type="cellIs" dxfId="579" priority="2602" operator="lessThan">
      <formula>0</formula>
    </cfRule>
  </conditionalFormatting>
  <conditionalFormatting sqref="H10:H1048576">
    <cfRule type="cellIs" dxfId="578" priority="2601" operator="lessThan">
      <formula>0</formula>
    </cfRule>
  </conditionalFormatting>
  <conditionalFormatting sqref="H10:H1048576">
    <cfRule type="cellIs" dxfId="577" priority="2600" operator="lessThan">
      <formula>0</formula>
    </cfRule>
  </conditionalFormatting>
  <conditionalFormatting sqref="H10:H1048576">
    <cfRule type="cellIs" dxfId="576" priority="2599" operator="lessThan">
      <formula>0</formula>
    </cfRule>
  </conditionalFormatting>
  <conditionalFormatting sqref="H10:H1048576">
    <cfRule type="cellIs" dxfId="575" priority="2598" operator="lessThan">
      <formula>0</formula>
    </cfRule>
  </conditionalFormatting>
  <conditionalFormatting sqref="H10:H1048576">
    <cfRule type="cellIs" dxfId="574" priority="2597" operator="lessThan">
      <formula>0</formula>
    </cfRule>
  </conditionalFormatting>
  <conditionalFormatting sqref="H10:H1048576">
    <cfRule type="cellIs" dxfId="573" priority="2596" operator="lessThan">
      <formula>0</formula>
    </cfRule>
  </conditionalFormatting>
  <conditionalFormatting sqref="H10:H1048576">
    <cfRule type="cellIs" dxfId="572" priority="2595" operator="lessThan">
      <formula>0</formula>
    </cfRule>
  </conditionalFormatting>
  <conditionalFormatting sqref="H10:H1048576">
    <cfRule type="cellIs" dxfId="571" priority="2594" operator="lessThan">
      <formula>0</formula>
    </cfRule>
  </conditionalFormatting>
  <conditionalFormatting sqref="H10:H1048576">
    <cfRule type="cellIs" dxfId="570" priority="2593" operator="lessThan">
      <formula>0</formula>
    </cfRule>
  </conditionalFormatting>
  <conditionalFormatting sqref="H10:H1048576">
    <cfRule type="cellIs" dxfId="569" priority="2592" operator="lessThan">
      <formula>0</formula>
    </cfRule>
  </conditionalFormatting>
  <conditionalFormatting sqref="H10:H1048576">
    <cfRule type="cellIs" dxfId="568" priority="2591" operator="lessThan">
      <formula>0</formula>
    </cfRule>
  </conditionalFormatting>
  <conditionalFormatting sqref="H10:H1048576">
    <cfRule type="cellIs" dxfId="567" priority="2590" operator="lessThan">
      <formula>0</formula>
    </cfRule>
  </conditionalFormatting>
  <conditionalFormatting sqref="H10:H1048576">
    <cfRule type="cellIs" dxfId="566" priority="2589" operator="lessThan">
      <formula>0</formula>
    </cfRule>
  </conditionalFormatting>
  <conditionalFormatting sqref="H10:H1048576">
    <cfRule type="cellIs" dxfId="565" priority="2588" operator="lessThan">
      <formula>0</formula>
    </cfRule>
  </conditionalFormatting>
  <conditionalFormatting sqref="H10:H1048576">
    <cfRule type="cellIs" dxfId="564" priority="2587" operator="lessThan">
      <formula>0</formula>
    </cfRule>
  </conditionalFormatting>
  <conditionalFormatting sqref="H10:H1048576">
    <cfRule type="cellIs" dxfId="563" priority="2586" operator="lessThan">
      <formula>0</formula>
    </cfRule>
  </conditionalFormatting>
  <conditionalFormatting sqref="H10:H1048576">
    <cfRule type="cellIs" dxfId="562" priority="2585" operator="lessThan">
      <formula>0</formula>
    </cfRule>
  </conditionalFormatting>
  <conditionalFormatting sqref="H10:H1048576">
    <cfRule type="cellIs" dxfId="561" priority="2584" operator="lessThan">
      <formula>0</formula>
    </cfRule>
  </conditionalFormatting>
  <conditionalFormatting sqref="H10:H1048576">
    <cfRule type="cellIs" dxfId="560" priority="2583" operator="lessThan">
      <formula>0</formula>
    </cfRule>
  </conditionalFormatting>
  <conditionalFormatting sqref="H10:H1048576">
    <cfRule type="cellIs" dxfId="559" priority="2582" operator="lessThan">
      <formula>0</formula>
    </cfRule>
  </conditionalFormatting>
  <conditionalFormatting sqref="H10:H1048576">
    <cfRule type="cellIs" dxfId="558" priority="2581" operator="lessThan">
      <formula>0</formula>
    </cfRule>
  </conditionalFormatting>
  <conditionalFormatting sqref="H10:H1048576">
    <cfRule type="cellIs" dxfId="557" priority="2580" operator="lessThan">
      <formula>0</formula>
    </cfRule>
  </conditionalFormatting>
  <conditionalFormatting sqref="H10:H1048576">
    <cfRule type="cellIs" dxfId="556" priority="2579" operator="lessThan">
      <formula>0</formula>
    </cfRule>
  </conditionalFormatting>
  <conditionalFormatting sqref="H10:H1048576">
    <cfRule type="cellIs" dxfId="555" priority="2578" operator="lessThan">
      <formula>0</formula>
    </cfRule>
  </conditionalFormatting>
  <conditionalFormatting sqref="H10:H1048576">
    <cfRule type="cellIs" dxfId="554" priority="2577" operator="lessThan">
      <formula>0</formula>
    </cfRule>
  </conditionalFormatting>
  <conditionalFormatting sqref="H10:H1048576">
    <cfRule type="cellIs" dxfId="553" priority="2576" operator="lessThan">
      <formula>0</formula>
    </cfRule>
  </conditionalFormatting>
  <conditionalFormatting sqref="H10:H1048576">
    <cfRule type="cellIs" dxfId="552" priority="2575" operator="lessThan">
      <formula>0</formula>
    </cfRule>
  </conditionalFormatting>
  <conditionalFormatting sqref="H10:H1048576">
    <cfRule type="cellIs" dxfId="551" priority="2574" operator="lessThan">
      <formula>0</formula>
    </cfRule>
  </conditionalFormatting>
  <conditionalFormatting sqref="H10:H1048576">
    <cfRule type="cellIs" dxfId="550" priority="2573" operator="lessThan">
      <formula>0</formula>
    </cfRule>
  </conditionalFormatting>
  <conditionalFormatting sqref="H10:H1048576">
    <cfRule type="cellIs" dxfId="549" priority="2572" operator="lessThan">
      <formula>0</formula>
    </cfRule>
  </conditionalFormatting>
  <conditionalFormatting sqref="H10:H1048576">
    <cfRule type="cellIs" dxfId="548" priority="2571" operator="lessThan">
      <formula>0</formula>
    </cfRule>
  </conditionalFormatting>
  <conditionalFormatting sqref="H10:H1048576">
    <cfRule type="cellIs" dxfId="547" priority="2570" operator="lessThan">
      <formula>0</formula>
    </cfRule>
  </conditionalFormatting>
  <conditionalFormatting sqref="H10:H1048576">
    <cfRule type="cellIs" dxfId="546" priority="2569" operator="lessThan">
      <formula>0</formula>
    </cfRule>
  </conditionalFormatting>
  <conditionalFormatting sqref="H10:H1048576">
    <cfRule type="cellIs" dxfId="545" priority="2568" operator="lessThan">
      <formula>0</formula>
    </cfRule>
  </conditionalFormatting>
  <conditionalFormatting sqref="H10:H1048576">
    <cfRule type="cellIs" dxfId="544" priority="2567" operator="lessThan">
      <formula>0</formula>
    </cfRule>
  </conditionalFormatting>
  <conditionalFormatting sqref="H10:H1048576">
    <cfRule type="cellIs" dxfId="543" priority="2566" operator="lessThan">
      <formula>0</formula>
    </cfRule>
  </conditionalFormatting>
  <conditionalFormatting sqref="H10:H1048576">
    <cfRule type="cellIs" dxfId="542" priority="2565" operator="lessThan">
      <formula>0</formula>
    </cfRule>
  </conditionalFormatting>
  <conditionalFormatting sqref="H10:H1048576">
    <cfRule type="cellIs" dxfId="541" priority="2564" operator="lessThan">
      <formula>0</formula>
    </cfRule>
  </conditionalFormatting>
  <conditionalFormatting sqref="H10:H1048576">
    <cfRule type="cellIs" dxfId="540" priority="2563" operator="lessThan">
      <formula>0</formula>
    </cfRule>
  </conditionalFormatting>
  <conditionalFormatting sqref="H10:H1048576">
    <cfRule type="cellIs" dxfId="539" priority="2562" operator="lessThan">
      <formula>0</formula>
    </cfRule>
  </conditionalFormatting>
  <conditionalFormatting sqref="H10:H1048576">
    <cfRule type="cellIs" dxfId="538" priority="2561" operator="lessThan">
      <formula>0</formula>
    </cfRule>
  </conditionalFormatting>
  <conditionalFormatting sqref="H10:H1048576">
    <cfRule type="cellIs" dxfId="537" priority="2560" operator="lessThan">
      <formula>0</formula>
    </cfRule>
  </conditionalFormatting>
  <conditionalFormatting sqref="H10:H1048576">
    <cfRule type="cellIs" dxfId="536" priority="2559" operator="lessThan">
      <formula>0</formula>
    </cfRule>
  </conditionalFormatting>
  <conditionalFormatting sqref="H10:H1048576">
    <cfRule type="cellIs" dxfId="535" priority="2558" operator="lessThan">
      <formula>0</formula>
    </cfRule>
  </conditionalFormatting>
  <conditionalFormatting sqref="H10:H1048576">
    <cfRule type="cellIs" dxfId="534" priority="2557" operator="lessThan">
      <formula>0</formula>
    </cfRule>
  </conditionalFormatting>
  <conditionalFormatting sqref="H10:H1048576">
    <cfRule type="cellIs" dxfId="533" priority="2556" operator="lessThan">
      <formula>0</formula>
    </cfRule>
  </conditionalFormatting>
  <conditionalFormatting sqref="H10:H1048576">
    <cfRule type="cellIs" dxfId="532" priority="2555" operator="lessThan">
      <formula>0</formula>
    </cfRule>
  </conditionalFormatting>
  <conditionalFormatting sqref="H10:H1048576">
    <cfRule type="cellIs" dxfId="531" priority="2554" operator="lessThan">
      <formula>0</formula>
    </cfRule>
  </conditionalFormatting>
  <conditionalFormatting sqref="H10:H1048576">
    <cfRule type="cellIs" dxfId="530" priority="2553" operator="lessThan">
      <formula>0</formula>
    </cfRule>
  </conditionalFormatting>
  <conditionalFormatting sqref="H10:H1048576">
    <cfRule type="cellIs" dxfId="529" priority="2552" operator="lessThan">
      <formula>0</formula>
    </cfRule>
  </conditionalFormatting>
  <conditionalFormatting sqref="H10:H1048576">
    <cfRule type="cellIs" dxfId="528" priority="2551" operator="lessThan">
      <formula>0</formula>
    </cfRule>
  </conditionalFormatting>
  <conditionalFormatting sqref="H10:H1048576">
    <cfRule type="cellIs" dxfId="527" priority="2550" operator="lessThan">
      <formula>0</formula>
    </cfRule>
  </conditionalFormatting>
  <conditionalFormatting sqref="H10:H1048576">
    <cfRule type="cellIs" dxfId="526" priority="2549" operator="lessThan">
      <formula>0</formula>
    </cfRule>
  </conditionalFormatting>
  <conditionalFormatting sqref="H10:H1048576">
    <cfRule type="cellIs" dxfId="525" priority="2548" operator="lessThan">
      <formula>0</formula>
    </cfRule>
  </conditionalFormatting>
  <conditionalFormatting sqref="H10:H1048576">
    <cfRule type="cellIs" dxfId="524" priority="2547" operator="lessThan">
      <formula>0</formula>
    </cfRule>
  </conditionalFormatting>
  <conditionalFormatting sqref="H10:H1048576">
    <cfRule type="cellIs" dxfId="523" priority="2546" operator="lessThan">
      <formula>0</formula>
    </cfRule>
  </conditionalFormatting>
  <conditionalFormatting sqref="H10:H1048576">
    <cfRule type="cellIs" dxfId="522" priority="2545" operator="lessThan">
      <formula>0</formula>
    </cfRule>
  </conditionalFormatting>
  <conditionalFormatting sqref="H10:H1048576">
    <cfRule type="cellIs" dxfId="521" priority="2544" operator="lessThan">
      <formula>0</formula>
    </cfRule>
  </conditionalFormatting>
  <conditionalFormatting sqref="H10:H1048576">
    <cfRule type="cellIs" dxfId="520" priority="2543" operator="lessThan">
      <formula>0</formula>
    </cfRule>
  </conditionalFormatting>
  <conditionalFormatting sqref="H10:H1048576">
    <cfRule type="cellIs" dxfId="519" priority="2542" operator="lessThan">
      <formula>0</formula>
    </cfRule>
  </conditionalFormatting>
  <conditionalFormatting sqref="H10:H1048576">
    <cfRule type="cellIs" dxfId="518" priority="2541" operator="lessThan">
      <formula>0</formula>
    </cfRule>
  </conditionalFormatting>
  <conditionalFormatting sqref="H10:H1048576">
    <cfRule type="cellIs" dxfId="517" priority="2540" operator="lessThan">
      <formula>0</formula>
    </cfRule>
  </conditionalFormatting>
  <conditionalFormatting sqref="H10:H1048576">
    <cfRule type="cellIs" dxfId="516" priority="2539" operator="lessThan">
      <formula>0</formula>
    </cfRule>
  </conditionalFormatting>
  <conditionalFormatting sqref="H10:H1048576">
    <cfRule type="cellIs" dxfId="515" priority="2538" operator="lessThan">
      <formula>0</formula>
    </cfRule>
  </conditionalFormatting>
  <conditionalFormatting sqref="H10:H1048576">
    <cfRule type="cellIs" dxfId="514" priority="2537" operator="lessThan">
      <formula>0</formula>
    </cfRule>
  </conditionalFormatting>
  <conditionalFormatting sqref="H10:H1048576">
    <cfRule type="cellIs" dxfId="513" priority="2536" operator="lessThan">
      <formula>0</formula>
    </cfRule>
  </conditionalFormatting>
  <conditionalFormatting sqref="H10:H1048576">
    <cfRule type="cellIs" dxfId="512" priority="2535" operator="lessThan">
      <formula>0</formula>
    </cfRule>
  </conditionalFormatting>
  <conditionalFormatting sqref="H10:H1048576">
    <cfRule type="cellIs" dxfId="511" priority="2534" operator="lessThan">
      <formula>0</formula>
    </cfRule>
  </conditionalFormatting>
  <conditionalFormatting sqref="H10:H1048576">
    <cfRule type="cellIs" dxfId="510" priority="2533" operator="lessThan">
      <formula>0</formula>
    </cfRule>
  </conditionalFormatting>
  <conditionalFormatting sqref="H10:H1048576">
    <cfRule type="cellIs" dxfId="509" priority="2532" operator="lessThan">
      <formula>0</formula>
    </cfRule>
  </conditionalFormatting>
  <conditionalFormatting sqref="H10:H1048576">
    <cfRule type="cellIs" dxfId="508" priority="2531" operator="lessThan">
      <formula>0</formula>
    </cfRule>
  </conditionalFormatting>
  <conditionalFormatting sqref="H10:H1048576">
    <cfRule type="cellIs" dxfId="507" priority="2530" operator="lessThan">
      <formula>0</formula>
    </cfRule>
  </conditionalFormatting>
  <conditionalFormatting sqref="H10:H1048576">
    <cfRule type="cellIs" dxfId="506" priority="2529" operator="lessThan">
      <formula>0</formula>
    </cfRule>
  </conditionalFormatting>
  <conditionalFormatting sqref="H10:H1048576">
    <cfRule type="cellIs" dxfId="505" priority="2528" operator="lessThan">
      <formula>0</formula>
    </cfRule>
  </conditionalFormatting>
  <conditionalFormatting sqref="H10:H1048576">
    <cfRule type="cellIs" dxfId="504" priority="2527" operator="lessThan">
      <formula>0</formula>
    </cfRule>
  </conditionalFormatting>
  <conditionalFormatting sqref="H10:H1048576">
    <cfRule type="cellIs" dxfId="503" priority="2526" operator="lessThan">
      <formula>0</formula>
    </cfRule>
  </conditionalFormatting>
  <conditionalFormatting sqref="H10:H1048576">
    <cfRule type="cellIs" dxfId="502" priority="2525" operator="lessThan">
      <formula>0</formula>
    </cfRule>
  </conditionalFormatting>
  <conditionalFormatting sqref="H10:H1048576">
    <cfRule type="cellIs" dxfId="501" priority="2524" operator="lessThan">
      <formula>0</formula>
    </cfRule>
  </conditionalFormatting>
  <conditionalFormatting sqref="H10:H1048576">
    <cfRule type="cellIs" dxfId="500" priority="2523" operator="lessThan">
      <formula>0</formula>
    </cfRule>
  </conditionalFormatting>
  <conditionalFormatting sqref="H10:H1048576">
    <cfRule type="cellIs" dxfId="499" priority="2522" operator="lessThan">
      <formula>0</formula>
    </cfRule>
  </conditionalFormatting>
  <conditionalFormatting sqref="H10:H1048576">
    <cfRule type="cellIs" dxfId="498" priority="2521" operator="lessThan">
      <formula>0</formula>
    </cfRule>
  </conditionalFormatting>
  <conditionalFormatting sqref="H10:H1048576">
    <cfRule type="cellIs" dxfId="497" priority="2520" operator="lessThan">
      <formula>0</formula>
    </cfRule>
  </conditionalFormatting>
  <conditionalFormatting sqref="H10:H1048576">
    <cfRule type="cellIs" dxfId="496" priority="2519" operator="lessThan">
      <formula>0</formula>
    </cfRule>
  </conditionalFormatting>
  <conditionalFormatting sqref="H10:H1048576">
    <cfRule type="cellIs" dxfId="495" priority="2518" operator="lessThan">
      <formula>0</formula>
    </cfRule>
  </conditionalFormatting>
  <conditionalFormatting sqref="H10:H1048576">
    <cfRule type="cellIs" dxfId="494" priority="2517" operator="lessThan">
      <formula>0</formula>
    </cfRule>
  </conditionalFormatting>
  <conditionalFormatting sqref="H10:H1048576">
    <cfRule type="cellIs" dxfId="493" priority="2516" operator="lessThan">
      <formula>0</formula>
    </cfRule>
  </conditionalFormatting>
  <conditionalFormatting sqref="H10:H1048576">
    <cfRule type="cellIs" dxfId="492" priority="2515" operator="lessThan">
      <formula>0</formula>
    </cfRule>
  </conditionalFormatting>
  <conditionalFormatting sqref="H10:H1048576">
    <cfRule type="cellIs" dxfId="491" priority="2514" operator="lessThan">
      <formula>0</formula>
    </cfRule>
  </conditionalFormatting>
  <conditionalFormatting sqref="H10:H1048576">
    <cfRule type="cellIs" dxfId="490" priority="2513" operator="lessThan">
      <formula>0</formula>
    </cfRule>
  </conditionalFormatting>
  <conditionalFormatting sqref="H10:H1048576">
    <cfRule type="cellIs" dxfId="489" priority="2512" operator="lessThan">
      <formula>0</formula>
    </cfRule>
  </conditionalFormatting>
  <conditionalFormatting sqref="H10:H1048576">
    <cfRule type="cellIs" dxfId="488" priority="2511" operator="lessThan">
      <formula>0</formula>
    </cfRule>
  </conditionalFormatting>
  <conditionalFormatting sqref="H10:H1048576">
    <cfRule type="cellIs" dxfId="487" priority="2510" operator="lessThan">
      <formula>0</formula>
    </cfRule>
  </conditionalFormatting>
  <conditionalFormatting sqref="H10:H1048576">
    <cfRule type="cellIs" dxfId="486" priority="2509" operator="lessThan">
      <formula>0</formula>
    </cfRule>
  </conditionalFormatting>
  <conditionalFormatting sqref="H10:H1048576">
    <cfRule type="cellIs" dxfId="485" priority="2508" operator="lessThan">
      <formula>0</formula>
    </cfRule>
  </conditionalFormatting>
  <conditionalFormatting sqref="H10:H1048576">
    <cfRule type="cellIs" dxfId="484" priority="2507" operator="lessThan">
      <formula>0</formula>
    </cfRule>
  </conditionalFormatting>
  <conditionalFormatting sqref="H10:H1048576">
    <cfRule type="cellIs" dxfId="483" priority="2506" operator="lessThan">
      <formula>0</formula>
    </cfRule>
  </conditionalFormatting>
  <conditionalFormatting sqref="H10:H1048576">
    <cfRule type="cellIs" dxfId="482" priority="2505" operator="lessThan">
      <formula>0</formula>
    </cfRule>
  </conditionalFormatting>
  <conditionalFormatting sqref="H10:H1048576">
    <cfRule type="cellIs" dxfId="481" priority="2504" operator="lessThan">
      <formula>0</formula>
    </cfRule>
  </conditionalFormatting>
  <conditionalFormatting sqref="H10:H1048576">
    <cfRule type="cellIs" dxfId="480" priority="2503" operator="lessThan">
      <formula>0</formula>
    </cfRule>
  </conditionalFormatting>
  <conditionalFormatting sqref="H10:H1048576">
    <cfRule type="cellIs" dxfId="479" priority="2502" operator="lessThan">
      <formula>0</formula>
    </cfRule>
  </conditionalFormatting>
  <conditionalFormatting sqref="H10:H1048576">
    <cfRule type="cellIs" dxfId="478" priority="2501" operator="lessThan">
      <formula>0</formula>
    </cfRule>
  </conditionalFormatting>
  <conditionalFormatting sqref="H10:H1048576">
    <cfRule type="cellIs" dxfId="477" priority="2500" operator="lessThan">
      <formula>0</formula>
    </cfRule>
  </conditionalFormatting>
  <conditionalFormatting sqref="H10:H1048576">
    <cfRule type="cellIs" dxfId="476" priority="2499" operator="lessThan">
      <formula>0</formula>
    </cfRule>
  </conditionalFormatting>
  <conditionalFormatting sqref="H10:H1048576">
    <cfRule type="cellIs" dxfId="475" priority="2498" operator="lessThan">
      <formula>0</formula>
    </cfRule>
  </conditionalFormatting>
  <conditionalFormatting sqref="H10:H1048576">
    <cfRule type="cellIs" dxfId="474" priority="2497" operator="lessThan">
      <formula>0</formula>
    </cfRule>
  </conditionalFormatting>
  <conditionalFormatting sqref="H10:H1048576">
    <cfRule type="cellIs" dxfId="473" priority="2496" operator="lessThan">
      <formula>0</formula>
    </cfRule>
  </conditionalFormatting>
  <conditionalFormatting sqref="H10:H1048576">
    <cfRule type="cellIs" dxfId="472" priority="2495" operator="lessThan">
      <formula>0</formula>
    </cfRule>
  </conditionalFormatting>
  <conditionalFormatting sqref="H10:H1048576">
    <cfRule type="cellIs" dxfId="471" priority="2494" operator="lessThan">
      <formula>0</formula>
    </cfRule>
  </conditionalFormatting>
  <conditionalFormatting sqref="H10:H1048576">
    <cfRule type="cellIs" dxfId="470" priority="2493" operator="lessThan">
      <formula>0</formula>
    </cfRule>
  </conditionalFormatting>
  <conditionalFormatting sqref="H10:H1048576">
    <cfRule type="cellIs" dxfId="469" priority="2492" operator="lessThan">
      <formula>0</formula>
    </cfRule>
  </conditionalFormatting>
  <conditionalFormatting sqref="H10:H1048576">
    <cfRule type="cellIs" dxfId="468" priority="2491" operator="lessThan">
      <formula>0</formula>
    </cfRule>
  </conditionalFormatting>
  <conditionalFormatting sqref="H10:H1048576">
    <cfRule type="cellIs" dxfId="467" priority="2490" operator="lessThan">
      <formula>0</formula>
    </cfRule>
  </conditionalFormatting>
  <conditionalFormatting sqref="H10:H1048576">
    <cfRule type="cellIs" dxfId="466" priority="2489" operator="lessThan">
      <formula>0</formula>
    </cfRule>
  </conditionalFormatting>
  <conditionalFormatting sqref="H10:H1048576">
    <cfRule type="cellIs" dxfId="465" priority="2488" operator="lessThan">
      <formula>0</formula>
    </cfRule>
  </conditionalFormatting>
  <conditionalFormatting sqref="H10:H1048576">
    <cfRule type="cellIs" dxfId="464" priority="2487" operator="lessThan">
      <formula>0</formula>
    </cfRule>
  </conditionalFormatting>
  <conditionalFormatting sqref="H10:H1048576">
    <cfRule type="cellIs" dxfId="463" priority="2486" operator="lessThan">
      <formula>0</formula>
    </cfRule>
  </conditionalFormatting>
  <conditionalFormatting sqref="H10:H1048576">
    <cfRule type="cellIs" dxfId="462" priority="2485" operator="lessThan">
      <formula>0</formula>
    </cfRule>
  </conditionalFormatting>
  <conditionalFormatting sqref="H10:H1048576">
    <cfRule type="cellIs" dxfId="461" priority="2484" operator="lessThan">
      <formula>0</formula>
    </cfRule>
  </conditionalFormatting>
  <conditionalFormatting sqref="H10:H1048576">
    <cfRule type="cellIs" dxfId="460" priority="2483" operator="lessThan">
      <formula>0</formula>
    </cfRule>
  </conditionalFormatting>
  <conditionalFormatting sqref="H10:H1048576">
    <cfRule type="cellIs" dxfId="459" priority="2482" operator="lessThan">
      <formula>0</formula>
    </cfRule>
  </conditionalFormatting>
  <conditionalFormatting sqref="H10:H1048576">
    <cfRule type="cellIs" dxfId="458" priority="2481" operator="lessThan">
      <formula>0</formula>
    </cfRule>
  </conditionalFormatting>
  <conditionalFormatting sqref="H10:H1048576">
    <cfRule type="cellIs" dxfId="457" priority="2480" operator="lessThan">
      <formula>0</formula>
    </cfRule>
  </conditionalFormatting>
  <conditionalFormatting sqref="H10:H1048576">
    <cfRule type="cellIs" dxfId="456" priority="2479" operator="lessThan">
      <formula>0</formula>
    </cfRule>
  </conditionalFormatting>
  <conditionalFormatting sqref="H10:H1048576">
    <cfRule type="cellIs" dxfId="455" priority="2478" operator="lessThan">
      <formula>0</formula>
    </cfRule>
  </conditionalFormatting>
  <conditionalFormatting sqref="H10:H1048576">
    <cfRule type="cellIs" dxfId="454" priority="2477" operator="lessThan">
      <formula>0</formula>
    </cfRule>
  </conditionalFormatting>
  <conditionalFormatting sqref="H10:H1048576">
    <cfRule type="cellIs" dxfId="453" priority="2476" operator="lessThan">
      <formula>0</formula>
    </cfRule>
  </conditionalFormatting>
  <conditionalFormatting sqref="H10:H1048576">
    <cfRule type="cellIs" dxfId="452" priority="2475" operator="lessThan">
      <formula>0</formula>
    </cfRule>
  </conditionalFormatting>
  <conditionalFormatting sqref="H10:H1048576">
    <cfRule type="cellIs" dxfId="451" priority="2474" operator="lessThan">
      <formula>0</formula>
    </cfRule>
  </conditionalFormatting>
  <conditionalFormatting sqref="H10:H1048576">
    <cfRule type="cellIs" dxfId="450" priority="2473" operator="lessThan">
      <formula>0</formula>
    </cfRule>
  </conditionalFormatting>
  <conditionalFormatting sqref="H10:H1048576">
    <cfRule type="cellIs" dxfId="449" priority="2472" operator="lessThan">
      <formula>0</formula>
    </cfRule>
  </conditionalFormatting>
  <conditionalFormatting sqref="H10:H1048576">
    <cfRule type="cellIs" dxfId="448" priority="2471" operator="lessThan">
      <formula>0</formula>
    </cfRule>
  </conditionalFormatting>
  <conditionalFormatting sqref="H10:H1048576">
    <cfRule type="cellIs" dxfId="447" priority="2470" operator="lessThan">
      <formula>0</formula>
    </cfRule>
  </conditionalFormatting>
  <conditionalFormatting sqref="H10:H1048576">
    <cfRule type="cellIs" dxfId="446" priority="2469" operator="lessThan">
      <formula>0</formula>
    </cfRule>
  </conditionalFormatting>
  <conditionalFormatting sqref="H10:H1048576">
    <cfRule type="cellIs" dxfId="445" priority="2468" operator="lessThan">
      <formula>0</formula>
    </cfRule>
  </conditionalFormatting>
  <conditionalFormatting sqref="H10:H1048576">
    <cfRule type="cellIs" dxfId="444" priority="2467" operator="lessThan">
      <formula>0</formula>
    </cfRule>
  </conditionalFormatting>
  <conditionalFormatting sqref="H10:H1048576">
    <cfRule type="cellIs" dxfId="443" priority="2466" operator="lessThan">
      <formula>0</formula>
    </cfRule>
  </conditionalFormatting>
  <conditionalFormatting sqref="H10:H1048576">
    <cfRule type="cellIs" dxfId="442" priority="2465" operator="lessThan">
      <formula>0</formula>
    </cfRule>
  </conditionalFormatting>
  <conditionalFormatting sqref="H10:H1048576">
    <cfRule type="cellIs" dxfId="441" priority="2464" operator="lessThan">
      <formula>0</formula>
    </cfRule>
  </conditionalFormatting>
  <conditionalFormatting sqref="H10:H1048576">
    <cfRule type="cellIs" dxfId="440" priority="2463" operator="lessThan">
      <formula>0</formula>
    </cfRule>
  </conditionalFormatting>
  <conditionalFormatting sqref="H10:H1048576">
    <cfRule type="cellIs" dxfId="439" priority="2462" operator="lessThan">
      <formula>0</formula>
    </cfRule>
  </conditionalFormatting>
  <conditionalFormatting sqref="H10:H1048576">
    <cfRule type="cellIs" dxfId="438" priority="2461" operator="lessThan">
      <formula>0</formula>
    </cfRule>
  </conditionalFormatting>
  <conditionalFormatting sqref="H10:H1048576">
    <cfRule type="cellIs" dxfId="437" priority="2460" operator="lessThan">
      <formula>0</formula>
    </cfRule>
  </conditionalFormatting>
  <conditionalFormatting sqref="H10:H1048576">
    <cfRule type="cellIs" dxfId="436" priority="2459" operator="lessThan">
      <formula>0</formula>
    </cfRule>
  </conditionalFormatting>
  <conditionalFormatting sqref="H10:H1048576">
    <cfRule type="cellIs" dxfId="435" priority="2458" operator="lessThan">
      <formula>0</formula>
    </cfRule>
  </conditionalFormatting>
  <conditionalFormatting sqref="H10:H1048576">
    <cfRule type="cellIs" dxfId="434" priority="2457" operator="lessThan">
      <formula>0</formula>
    </cfRule>
  </conditionalFormatting>
  <conditionalFormatting sqref="H10:H1048576">
    <cfRule type="cellIs" dxfId="433" priority="2456" operator="lessThan">
      <formula>0</formula>
    </cfRule>
  </conditionalFormatting>
  <conditionalFormatting sqref="H10:H1048576">
    <cfRule type="cellIs" dxfId="432" priority="2455" operator="lessThan">
      <formula>0</formula>
    </cfRule>
  </conditionalFormatting>
  <conditionalFormatting sqref="H10:H1048576">
    <cfRule type="cellIs" dxfId="431" priority="2454" operator="lessThan">
      <formula>0</formula>
    </cfRule>
  </conditionalFormatting>
  <conditionalFormatting sqref="H10:H1048576">
    <cfRule type="cellIs" dxfId="430" priority="2453" operator="lessThan">
      <formula>0</formula>
    </cfRule>
  </conditionalFormatting>
  <conditionalFormatting sqref="H10:H1048576">
    <cfRule type="cellIs" dxfId="429" priority="2452" operator="lessThan">
      <formula>0</formula>
    </cfRule>
  </conditionalFormatting>
  <conditionalFormatting sqref="H10:H1048576">
    <cfRule type="cellIs" dxfId="428" priority="2451" operator="lessThan">
      <formula>0</formula>
    </cfRule>
  </conditionalFormatting>
  <conditionalFormatting sqref="H10:H1048576">
    <cfRule type="cellIs" dxfId="427" priority="2450" operator="lessThan">
      <formula>0</formula>
    </cfRule>
  </conditionalFormatting>
  <conditionalFormatting sqref="H10:H1048576">
    <cfRule type="cellIs" dxfId="426" priority="2449" operator="lessThan">
      <formula>0</formula>
    </cfRule>
  </conditionalFormatting>
  <conditionalFormatting sqref="H10:H1048576">
    <cfRule type="cellIs" dxfId="425" priority="2448" operator="lessThan">
      <formula>0</formula>
    </cfRule>
  </conditionalFormatting>
  <conditionalFormatting sqref="H10:H1048576">
    <cfRule type="cellIs" dxfId="424" priority="2447" operator="lessThan">
      <formula>0</formula>
    </cfRule>
  </conditionalFormatting>
  <conditionalFormatting sqref="H10:H1048576">
    <cfRule type="cellIs" dxfId="423" priority="2446" operator="lessThan">
      <formula>0</formula>
    </cfRule>
  </conditionalFormatting>
  <conditionalFormatting sqref="H10:H1048576">
    <cfRule type="cellIs" dxfId="422" priority="2445" operator="lessThan">
      <formula>0</formula>
    </cfRule>
  </conditionalFormatting>
  <conditionalFormatting sqref="H10:H1048576">
    <cfRule type="cellIs" dxfId="421" priority="2444" operator="lessThan">
      <formula>0</formula>
    </cfRule>
  </conditionalFormatting>
  <conditionalFormatting sqref="H10:H1048576">
    <cfRule type="cellIs" dxfId="420" priority="2443" operator="lessThan">
      <formula>0</formula>
    </cfRule>
  </conditionalFormatting>
  <conditionalFormatting sqref="H10:H1048576">
    <cfRule type="cellIs" dxfId="419" priority="2442" operator="lessThan">
      <formula>0</formula>
    </cfRule>
  </conditionalFormatting>
  <conditionalFormatting sqref="H10:H1048576">
    <cfRule type="cellIs" dxfId="418" priority="2441" operator="lessThan">
      <formula>0</formula>
    </cfRule>
  </conditionalFormatting>
  <conditionalFormatting sqref="H10:H1048576">
    <cfRule type="cellIs" dxfId="417" priority="2440" operator="lessThan">
      <formula>0</formula>
    </cfRule>
  </conditionalFormatting>
  <conditionalFormatting sqref="H10:H1048576">
    <cfRule type="cellIs" dxfId="416" priority="2439" operator="lessThan">
      <formula>0</formula>
    </cfRule>
  </conditionalFormatting>
  <conditionalFormatting sqref="H10:H1048576">
    <cfRule type="cellIs" dxfId="415" priority="2438" operator="lessThan">
      <formula>0</formula>
    </cfRule>
  </conditionalFormatting>
  <conditionalFormatting sqref="H10:H1048576">
    <cfRule type="cellIs" dxfId="414" priority="2437" operator="lessThan">
      <formula>0</formula>
    </cfRule>
  </conditionalFormatting>
  <conditionalFormatting sqref="H10:H1048576">
    <cfRule type="cellIs" dxfId="413" priority="2436" operator="lessThan">
      <formula>0</formula>
    </cfRule>
  </conditionalFormatting>
  <conditionalFormatting sqref="H10:H1048576">
    <cfRule type="cellIs" dxfId="412" priority="2435" operator="lessThan">
      <formula>0</formula>
    </cfRule>
  </conditionalFormatting>
  <conditionalFormatting sqref="H10:H1048576">
    <cfRule type="cellIs" dxfId="411" priority="2434" operator="lessThan">
      <formula>0</formula>
    </cfRule>
  </conditionalFormatting>
  <conditionalFormatting sqref="H10:H1048576">
    <cfRule type="cellIs" dxfId="410" priority="2433" operator="lessThan">
      <formula>0</formula>
    </cfRule>
  </conditionalFormatting>
  <conditionalFormatting sqref="H10:H1048576">
    <cfRule type="cellIs" dxfId="409" priority="2432" operator="lessThan">
      <formula>0</formula>
    </cfRule>
  </conditionalFormatting>
  <conditionalFormatting sqref="H10:H1048576">
    <cfRule type="cellIs" dxfId="408" priority="2431" operator="lessThan">
      <formula>0</formula>
    </cfRule>
  </conditionalFormatting>
  <conditionalFormatting sqref="H10:H1048576">
    <cfRule type="cellIs" dxfId="407" priority="2430" operator="lessThan">
      <formula>0</formula>
    </cfRule>
  </conditionalFormatting>
  <conditionalFormatting sqref="H10:H1048576">
    <cfRule type="cellIs" dxfId="406" priority="2429" operator="lessThan">
      <formula>0</formula>
    </cfRule>
  </conditionalFormatting>
  <conditionalFormatting sqref="H10:H1048576">
    <cfRule type="cellIs" dxfId="405" priority="2428" operator="lessThan">
      <formula>0</formula>
    </cfRule>
  </conditionalFormatting>
  <conditionalFormatting sqref="H10:H1048576">
    <cfRule type="cellIs" dxfId="404" priority="2427" operator="lessThan">
      <formula>0</formula>
    </cfRule>
  </conditionalFormatting>
  <conditionalFormatting sqref="H10:H1048576">
    <cfRule type="cellIs" dxfId="403" priority="2426" operator="lessThan">
      <formula>0</formula>
    </cfRule>
  </conditionalFormatting>
  <conditionalFormatting sqref="H10:H1048576">
    <cfRule type="cellIs" dxfId="402" priority="2425" operator="lessThan">
      <formula>0</formula>
    </cfRule>
  </conditionalFormatting>
  <conditionalFormatting sqref="H10:H1048576">
    <cfRule type="cellIs" dxfId="401" priority="2424" operator="lessThan">
      <formula>0</formula>
    </cfRule>
  </conditionalFormatting>
  <conditionalFormatting sqref="H10:H1048576">
    <cfRule type="cellIs" dxfId="400" priority="2423" operator="lessThan">
      <formula>0</formula>
    </cfRule>
  </conditionalFormatting>
  <conditionalFormatting sqref="H10:H1048576">
    <cfRule type="cellIs" dxfId="399" priority="2422" operator="lessThan">
      <formula>0</formula>
    </cfRule>
  </conditionalFormatting>
  <conditionalFormatting sqref="H10:H1048576">
    <cfRule type="cellIs" dxfId="398" priority="2421" operator="lessThan">
      <formula>0</formula>
    </cfRule>
  </conditionalFormatting>
  <conditionalFormatting sqref="H10:H1048576">
    <cfRule type="cellIs" dxfId="397" priority="2420" operator="lessThan">
      <formula>0</formula>
    </cfRule>
  </conditionalFormatting>
  <conditionalFormatting sqref="H10:H1048576">
    <cfRule type="cellIs" dxfId="396" priority="2419" operator="lessThan">
      <formula>0</formula>
    </cfRule>
  </conditionalFormatting>
  <conditionalFormatting sqref="H10:H1048576">
    <cfRule type="cellIs" dxfId="395" priority="2418" operator="lessThan">
      <formula>0</formula>
    </cfRule>
  </conditionalFormatting>
  <conditionalFormatting sqref="H10:H1048576">
    <cfRule type="cellIs" dxfId="394" priority="2417" operator="lessThan">
      <formula>0</formula>
    </cfRule>
  </conditionalFormatting>
  <conditionalFormatting sqref="H10:H1048576">
    <cfRule type="cellIs" dxfId="393" priority="2416" operator="lessThan">
      <formula>0</formula>
    </cfRule>
  </conditionalFormatting>
  <conditionalFormatting sqref="H10:H1048576">
    <cfRule type="cellIs" dxfId="392" priority="2415" operator="lessThan">
      <formula>0</formula>
    </cfRule>
  </conditionalFormatting>
  <conditionalFormatting sqref="H10:H1048576">
    <cfRule type="cellIs" dxfId="391" priority="2414" operator="lessThan">
      <formula>0</formula>
    </cfRule>
  </conditionalFormatting>
  <conditionalFormatting sqref="H10:H1048576">
    <cfRule type="cellIs" dxfId="390" priority="2413" operator="lessThan">
      <formula>0</formula>
    </cfRule>
  </conditionalFormatting>
  <conditionalFormatting sqref="H10:H1048576">
    <cfRule type="cellIs" dxfId="389" priority="2412" operator="lessThan">
      <formula>0</formula>
    </cfRule>
  </conditionalFormatting>
  <conditionalFormatting sqref="H10:H1048576">
    <cfRule type="cellIs" dxfId="388" priority="2411" operator="lessThan">
      <formula>0</formula>
    </cfRule>
  </conditionalFormatting>
  <conditionalFormatting sqref="H10:H1048576">
    <cfRule type="cellIs" dxfId="387" priority="2410" operator="lessThan">
      <formula>0</formula>
    </cfRule>
  </conditionalFormatting>
  <conditionalFormatting sqref="H10:H1048576">
    <cfRule type="cellIs" dxfId="386" priority="2409" operator="lessThan">
      <formula>0</formula>
    </cfRule>
  </conditionalFormatting>
  <conditionalFormatting sqref="H10:H1048576">
    <cfRule type="cellIs" dxfId="385" priority="2408" operator="lessThan">
      <formula>0</formula>
    </cfRule>
  </conditionalFormatting>
  <conditionalFormatting sqref="H10:H1048576">
    <cfRule type="cellIs" dxfId="384" priority="2407" operator="lessThan">
      <formula>0</formula>
    </cfRule>
  </conditionalFormatting>
  <conditionalFormatting sqref="H10:H1048576">
    <cfRule type="cellIs" dxfId="383" priority="2406" operator="lessThan">
      <formula>0</formula>
    </cfRule>
  </conditionalFormatting>
  <conditionalFormatting sqref="H10:H1048576">
    <cfRule type="cellIs" dxfId="382" priority="2405" operator="lessThan">
      <formula>0</formula>
    </cfRule>
  </conditionalFormatting>
  <conditionalFormatting sqref="H10:H1048576">
    <cfRule type="cellIs" dxfId="381" priority="2404" operator="lessThan">
      <formula>0</formula>
    </cfRule>
  </conditionalFormatting>
  <conditionalFormatting sqref="H10:H1048576">
    <cfRule type="cellIs" dxfId="380" priority="2403" operator="lessThan">
      <formula>0</formula>
    </cfRule>
  </conditionalFormatting>
  <conditionalFormatting sqref="H10:H1048576">
    <cfRule type="cellIs" dxfId="379" priority="2402" operator="lessThan">
      <formula>0</formula>
    </cfRule>
  </conditionalFormatting>
  <conditionalFormatting sqref="H10:H1048576">
    <cfRule type="cellIs" dxfId="378" priority="2401" operator="lessThan">
      <formula>0</formula>
    </cfRule>
  </conditionalFormatting>
  <conditionalFormatting sqref="H10:H1048576">
    <cfRule type="cellIs" dxfId="377" priority="2400" operator="lessThan">
      <formula>0</formula>
    </cfRule>
  </conditionalFormatting>
  <conditionalFormatting sqref="H10:H1048576">
    <cfRule type="cellIs" dxfId="376" priority="2399" operator="lessThan">
      <formula>0</formula>
    </cfRule>
  </conditionalFormatting>
  <conditionalFormatting sqref="H10:H1048576">
    <cfRule type="cellIs" dxfId="375" priority="2398" operator="lessThan">
      <formula>0</formula>
    </cfRule>
  </conditionalFormatting>
  <conditionalFormatting sqref="H10:H1048576">
    <cfRule type="cellIs" dxfId="374" priority="2397" operator="lessThan">
      <formula>0</formula>
    </cfRule>
  </conditionalFormatting>
  <conditionalFormatting sqref="H10:H1048576">
    <cfRule type="cellIs" dxfId="373" priority="2396" operator="lessThan">
      <formula>0</formula>
    </cfRule>
  </conditionalFormatting>
  <conditionalFormatting sqref="H10:H1048576">
    <cfRule type="cellIs" dxfId="372" priority="2395" operator="lessThan">
      <formula>0</formula>
    </cfRule>
  </conditionalFormatting>
  <conditionalFormatting sqref="H10:H1048576">
    <cfRule type="cellIs" dxfId="371" priority="2394" operator="lessThan">
      <formula>0</formula>
    </cfRule>
  </conditionalFormatting>
  <conditionalFormatting sqref="H10:H1048576">
    <cfRule type="cellIs" dxfId="370" priority="2393" operator="lessThan">
      <formula>0</formula>
    </cfRule>
  </conditionalFormatting>
  <conditionalFormatting sqref="H10:H1048576">
    <cfRule type="cellIs" dxfId="369" priority="2392" operator="lessThan">
      <formula>0</formula>
    </cfRule>
  </conditionalFormatting>
  <conditionalFormatting sqref="H10:H1048576">
    <cfRule type="cellIs" dxfId="368" priority="2391" operator="lessThan">
      <formula>0</formula>
    </cfRule>
  </conditionalFormatting>
  <conditionalFormatting sqref="H10:H1048576">
    <cfRule type="cellIs" dxfId="367" priority="2390" operator="lessThan">
      <formula>0</formula>
    </cfRule>
  </conditionalFormatting>
  <conditionalFormatting sqref="H10:H1048576">
    <cfRule type="cellIs" dxfId="366" priority="2389" operator="lessThan">
      <formula>0</formula>
    </cfRule>
  </conditionalFormatting>
  <conditionalFormatting sqref="H10:H1048576">
    <cfRule type="cellIs" dxfId="365" priority="2388" operator="lessThan">
      <formula>0</formula>
    </cfRule>
  </conditionalFormatting>
  <conditionalFormatting sqref="H10:H1048576">
    <cfRule type="cellIs" dxfId="364" priority="2387" operator="lessThan">
      <formula>0</formula>
    </cfRule>
  </conditionalFormatting>
  <conditionalFormatting sqref="H10:H1048576">
    <cfRule type="cellIs" dxfId="363" priority="2386" operator="lessThan">
      <formula>0</formula>
    </cfRule>
  </conditionalFormatting>
  <conditionalFormatting sqref="H10:H1048576">
    <cfRule type="cellIs" dxfId="362" priority="2385" operator="lessThan">
      <formula>0</formula>
    </cfRule>
  </conditionalFormatting>
  <conditionalFormatting sqref="H10:H1048576">
    <cfRule type="cellIs" dxfId="361" priority="2384" operator="lessThan">
      <formula>0</formula>
    </cfRule>
  </conditionalFormatting>
  <conditionalFormatting sqref="H10:H1048576">
    <cfRule type="cellIs" dxfId="360" priority="2383" operator="lessThan">
      <formula>0</formula>
    </cfRule>
  </conditionalFormatting>
  <conditionalFormatting sqref="H10:H1048576">
    <cfRule type="cellIs" dxfId="359" priority="2382" operator="lessThan">
      <formula>0</formula>
    </cfRule>
  </conditionalFormatting>
  <conditionalFormatting sqref="H10:H1048576">
    <cfRule type="cellIs" dxfId="358" priority="2381" operator="lessThan">
      <formula>0</formula>
    </cfRule>
  </conditionalFormatting>
  <conditionalFormatting sqref="H10:H1048576">
    <cfRule type="cellIs" dxfId="357" priority="2380" operator="lessThan">
      <formula>0</formula>
    </cfRule>
  </conditionalFormatting>
  <conditionalFormatting sqref="H10:H1048576">
    <cfRule type="cellIs" dxfId="356" priority="2379" operator="lessThan">
      <formula>0</formula>
    </cfRule>
  </conditionalFormatting>
  <conditionalFormatting sqref="H10:H1048576">
    <cfRule type="cellIs" dxfId="355" priority="2378" operator="lessThan">
      <formula>0</formula>
    </cfRule>
  </conditionalFormatting>
  <conditionalFormatting sqref="H10:H1048576">
    <cfRule type="cellIs" dxfId="354" priority="2377" operator="lessThan">
      <formula>0</formula>
    </cfRule>
  </conditionalFormatting>
  <conditionalFormatting sqref="H10:H1048576">
    <cfRule type="cellIs" dxfId="353" priority="2376" operator="lessThan">
      <formula>0</formula>
    </cfRule>
  </conditionalFormatting>
  <conditionalFormatting sqref="H10:H1048576">
    <cfRule type="cellIs" dxfId="352" priority="2375" operator="lessThan">
      <formula>0</formula>
    </cfRule>
  </conditionalFormatting>
  <conditionalFormatting sqref="H10:H1048576">
    <cfRule type="cellIs" dxfId="351" priority="2374" operator="lessThan">
      <formula>0</formula>
    </cfRule>
  </conditionalFormatting>
  <conditionalFormatting sqref="H10:H1048576">
    <cfRule type="cellIs" dxfId="350" priority="2373" operator="lessThan">
      <formula>0</formula>
    </cfRule>
  </conditionalFormatting>
  <conditionalFormatting sqref="H10:H1048576">
    <cfRule type="cellIs" dxfId="349" priority="2372" operator="lessThan">
      <formula>0</formula>
    </cfRule>
  </conditionalFormatting>
  <conditionalFormatting sqref="H10:H1048576">
    <cfRule type="cellIs" dxfId="348" priority="2371" operator="lessThan">
      <formula>0</formula>
    </cfRule>
  </conditionalFormatting>
  <conditionalFormatting sqref="H10:H1048576">
    <cfRule type="cellIs" dxfId="347" priority="2370" operator="lessThan">
      <formula>0</formula>
    </cfRule>
  </conditionalFormatting>
  <conditionalFormatting sqref="H10:H1048576">
    <cfRule type="cellIs" dxfId="346" priority="2369" operator="lessThan">
      <formula>0</formula>
    </cfRule>
  </conditionalFormatting>
  <conditionalFormatting sqref="H10:H1048576">
    <cfRule type="cellIs" dxfId="345" priority="2368" operator="lessThan">
      <formula>0</formula>
    </cfRule>
  </conditionalFormatting>
  <conditionalFormatting sqref="H10:H1048576">
    <cfRule type="cellIs" dxfId="344" priority="2367" operator="lessThan">
      <formula>0</formula>
    </cfRule>
  </conditionalFormatting>
  <conditionalFormatting sqref="H10:H1048576">
    <cfRule type="cellIs" dxfId="343" priority="2366" operator="lessThan">
      <formula>0</formula>
    </cfRule>
  </conditionalFormatting>
  <conditionalFormatting sqref="H10:H1048576">
    <cfRule type="cellIs" dxfId="342" priority="2365" operator="lessThan">
      <formula>0</formula>
    </cfRule>
  </conditionalFormatting>
  <conditionalFormatting sqref="H10:H1048576">
    <cfRule type="cellIs" dxfId="341" priority="2364" operator="lessThan">
      <formula>0</formula>
    </cfRule>
  </conditionalFormatting>
  <conditionalFormatting sqref="H10:H1048576">
    <cfRule type="cellIs" dxfId="340" priority="2363" operator="lessThan">
      <formula>0</formula>
    </cfRule>
  </conditionalFormatting>
  <conditionalFormatting sqref="H10:H1048576">
    <cfRule type="cellIs" dxfId="339" priority="2362" operator="lessThan">
      <formula>0</formula>
    </cfRule>
  </conditionalFormatting>
  <conditionalFormatting sqref="H10:H1048576">
    <cfRule type="cellIs" dxfId="338" priority="2361" operator="lessThan">
      <formula>0</formula>
    </cfRule>
  </conditionalFormatting>
  <conditionalFormatting sqref="H10:H1048576">
    <cfRule type="cellIs" dxfId="337" priority="2360" operator="lessThan">
      <formula>0</formula>
    </cfRule>
  </conditionalFormatting>
  <conditionalFormatting sqref="H10:H1048576">
    <cfRule type="cellIs" dxfId="336" priority="2359" operator="lessThan">
      <formula>0</formula>
    </cfRule>
  </conditionalFormatting>
  <conditionalFormatting sqref="H10:H1048576">
    <cfRule type="cellIs" dxfId="335" priority="2358" operator="lessThan">
      <formula>0</formula>
    </cfRule>
  </conditionalFormatting>
  <conditionalFormatting sqref="H10:H1048576">
    <cfRule type="cellIs" dxfId="334" priority="2357" operator="lessThan">
      <formula>0</formula>
    </cfRule>
  </conditionalFormatting>
  <conditionalFormatting sqref="H10:H1048576">
    <cfRule type="cellIs" dxfId="333" priority="2356" operator="lessThan">
      <formula>0</formula>
    </cfRule>
  </conditionalFormatting>
  <conditionalFormatting sqref="H10:H1048576">
    <cfRule type="cellIs" dxfId="332" priority="2355" operator="lessThan">
      <formula>0</formula>
    </cfRule>
  </conditionalFormatting>
  <conditionalFormatting sqref="H10:H1048576">
    <cfRule type="cellIs" dxfId="331" priority="2354" operator="lessThan">
      <formula>0</formula>
    </cfRule>
  </conditionalFormatting>
  <conditionalFormatting sqref="H10:H1048576">
    <cfRule type="cellIs" dxfId="330" priority="2353" operator="lessThan">
      <formula>0</formula>
    </cfRule>
  </conditionalFormatting>
  <conditionalFormatting sqref="H10:H1048576">
    <cfRule type="cellIs" dxfId="329" priority="2352" operator="lessThan">
      <formula>0</formula>
    </cfRule>
  </conditionalFormatting>
  <conditionalFormatting sqref="H10:H1048576">
    <cfRule type="cellIs" dxfId="328" priority="2351" operator="lessThan">
      <formula>0</formula>
    </cfRule>
  </conditionalFormatting>
  <conditionalFormatting sqref="H1:H1048576">
    <cfRule type="cellIs" dxfId="327" priority="2350" operator="lessThan">
      <formula>0</formula>
    </cfRule>
  </conditionalFormatting>
  <conditionalFormatting sqref="H1:H1048576">
    <cfRule type="cellIs" dxfId="326" priority="2349" operator="lessThan">
      <formula>0</formula>
    </cfRule>
  </conditionalFormatting>
  <conditionalFormatting sqref="H1:H1048576">
    <cfRule type="cellIs" dxfId="325" priority="2348" operator="lessThan">
      <formula>0</formula>
    </cfRule>
  </conditionalFormatting>
  <conditionalFormatting sqref="H1:H1048576">
    <cfRule type="cellIs" dxfId="324" priority="2347" operator="lessThan">
      <formula>0</formula>
    </cfRule>
  </conditionalFormatting>
  <conditionalFormatting sqref="H1:H1048576">
    <cfRule type="cellIs" dxfId="323" priority="2346" operator="lessThan">
      <formula>0</formula>
    </cfRule>
  </conditionalFormatting>
  <conditionalFormatting sqref="H1:H1048576">
    <cfRule type="cellIs" dxfId="322" priority="2345" operator="lessThan">
      <formula>0</formula>
    </cfRule>
  </conditionalFormatting>
  <conditionalFormatting sqref="H1:H1048576">
    <cfRule type="cellIs" dxfId="321" priority="2344" operator="lessThan">
      <formula>0</formula>
    </cfRule>
  </conditionalFormatting>
  <conditionalFormatting sqref="H1:H1048576">
    <cfRule type="cellIs" dxfId="320" priority="2343" operator="lessThan">
      <formula>0</formula>
    </cfRule>
  </conditionalFormatting>
  <conditionalFormatting sqref="H1:H1048576">
    <cfRule type="cellIs" dxfId="319" priority="2342" operator="lessThan">
      <formula>0</formula>
    </cfRule>
  </conditionalFormatting>
  <conditionalFormatting sqref="H1:H1048576">
    <cfRule type="cellIs" dxfId="318" priority="2341" operator="lessThan">
      <formula>0</formula>
    </cfRule>
  </conditionalFormatting>
  <conditionalFormatting sqref="H1:H1048576">
    <cfRule type="cellIs" dxfId="317" priority="2340" operator="lessThan">
      <formula>0</formula>
    </cfRule>
  </conditionalFormatting>
  <conditionalFormatting sqref="H1:H1048576">
    <cfRule type="cellIs" dxfId="316" priority="2339" operator="lessThan">
      <formula>0</formula>
    </cfRule>
  </conditionalFormatting>
  <conditionalFormatting sqref="H1:H1048576">
    <cfRule type="cellIs" dxfId="315" priority="2338" operator="lessThan">
      <formula>0</formula>
    </cfRule>
  </conditionalFormatting>
  <conditionalFormatting sqref="H1:H1048576">
    <cfRule type="cellIs" dxfId="314" priority="2337" operator="lessThan">
      <formula>0</formula>
    </cfRule>
  </conditionalFormatting>
  <conditionalFormatting sqref="H1:H1048576">
    <cfRule type="cellIs" dxfId="313" priority="2336" operator="lessThan">
      <formula>0</formula>
    </cfRule>
  </conditionalFormatting>
  <conditionalFormatting sqref="H1:H1048576">
    <cfRule type="cellIs" dxfId="312" priority="2335" operator="lessThan">
      <formula>0</formula>
    </cfRule>
  </conditionalFormatting>
  <conditionalFormatting sqref="H1:H1048576">
    <cfRule type="cellIs" dxfId="311" priority="2334" operator="lessThan">
      <formula>0</formula>
    </cfRule>
  </conditionalFormatting>
  <conditionalFormatting sqref="H1:H1048576">
    <cfRule type="cellIs" dxfId="310" priority="2333" operator="lessThan">
      <formula>0</formula>
    </cfRule>
  </conditionalFormatting>
  <conditionalFormatting sqref="H1:H1048576">
    <cfRule type="cellIs" dxfId="309" priority="2332" operator="lessThan">
      <formula>0</formula>
    </cfRule>
  </conditionalFormatting>
  <conditionalFormatting sqref="H1:H1048576">
    <cfRule type="cellIs" dxfId="308" priority="2331" operator="lessThan">
      <formula>0</formula>
    </cfRule>
  </conditionalFormatting>
  <conditionalFormatting sqref="H1:H1048576">
    <cfRule type="cellIs" dxfId="307" priority="2330" operator="lessThan">
      <formula>0</formula>
    </cfRule>
  </conditionalFormatting>
  <conditionalFormatting sqref="H1:H1048576">
    <cfRule type="cellIs" dxfId="306" priority="2329" operator="lessThan">
      <formula>0</formula>
    </cfRule>
  </conditionalFormatting>
  <conditionalFormatting sqref="H1:H1048576">
    <cfRule type="cellIs" dxfId="305" priority="2328" operator="lessThan">
      <formula>0</formula>
    </cfRule>
  </conditionalFormatting>
  <conditionalFormatting sqref="H1:H1048576">
    <cfRule type="cellIs" dxfId="304" priority="2327" operator="lessThan">
      <formula>0</formula>
    </cfRule>
  </conditionalFormatting>
  <conditionalFormatting sqref="H1:H1048576">
    <cfRule type="cellIs" dxfId="303" priority="2326" operator="lessThan">
      <formula>0</formula>
    </cfRule>
  </conditionalFormatting>
  <conditionalFormatting sqref="H1:H1048576">
    <cfRule type="cellIs" dxfId="302" priority="2325" operator="lessThan">
      <formula>0</formula>
    </cfRule>
  </conditionalFormatting>
  <conditionalFormatting sqref="H1:H1048576">
    <cfRule type="cellIs" dxfId="301" priority="2324" operator="lessThan">
      <formula>0</formula>
    </cfRule>
  </conditionalFormatting>
  <conditionalFormatting sqref="H1:H1048576">
    <cfRule type="cellIs" dxfId="300" priority="2323" operator="lessThan">
      <formula>0</formula>
    </cfRule>
  </conditionalFormatting>
  <conditionalFormatting sqref="H1:H1048576">
    <cfRule type="cellIs" dxfId="299" priority="2322" operator="lessThan">
      <formula>0</formula>
    </cfRule>
  </conditionalFormatting>
  <conditionalFormatting sqref="H1:H1048576">
    <cfRule type="cellIs" dxfId="298" priority="2321" operator="lessThan">
      <formula>0</formula>
    </cfRule>
  </conditionalFormatting>
  <conditionalFormatting sqref="H1:H1048576">
    <cfRule type="cellIs" dxfId="297" priority="2320" operator="lessThan">
      <formula>0</formula>
    </cfRule>
  </conditionalFormatting>
  <conditionalFormatting sqref="H1:H1048576">
    <cfRule type="cellIs" dxfId="296" priority="2319" operator="lessThan">
      <formula>0</formula>
    </cfRule>
  </conditionalFormatting>
  <conditionalFormatting sqref="H1:H1048576">
    <cfRule type="cellIs" dxfId="295" priority="2318" operator="lessThan">
      <formula>0</formula>
    </cfRule>
  </conditionalFormatting>
  <conditionalFormatting sqref="H1:H1048576">
    <cfRule type="cellIs" dxfId="294" priority="2317" operator="lessThan">
      <formula>0</formula>
    </cfRule>
  </conditionalFormatting>
  <conditionalFormatting sqref="H1:H1048576">
    <cfRule type="cellIs" dxfId="293" priority="2316" operator="lessThan">
      <formula>0</formula>
    </cfRule>
  </conditionalFormatting>
  <conditionalFormatting sqref="H1:H1048576">
    <cfRule type="cellIs" dxfId="292" priority="2315" operator="lessThan">
      <formula>0</formula>
    </cfRule>
  </conditionalFormatting>
  <conditionalFormatting sqref="H1:H1048576">
    <cfRule type="cellIs" dxfId="291" priority="2314" operator="lessThan">
      <formula>0</formula>
    </cfRule>
  </conditionalFormatting>
  <conditionalFormatting sqref="H1:H1048576">
    <cfRule type="cellIs" dxfId="290" priority="2313" operator="lessThan">
      <formula>0</formula>
    </cfRule>
  </conditionalFormatting>
  <conditionalFormatting sqref="H1:H1048576">
    <cfRule type="cellIs" dxfId="289" priority="2312" operator="lessThan">
      <formula>0</formula>
    </cfRule>
  </conditionalFormatting>
  <conditionalFormatting sqref="H1:H1048576">
    <cfRule type="cellIs" dxfId="288" priority="2311" operator="lessThan">
      <formula>0</formula>
    </cfRule>
  </conditionalFormatting>
  <conditionalFormatting sqref="H1:H1048576">
    <cfRule type="cellIs" dxfId="287" priority="2310" operator="lessThan">
      <formula>0</formula>
    </cfRule>
  </conditionalFormatting>
  <conditionalFormatting sqref="H1:H1048576">
    <cfRule type="cellIs" dxfId="286" priority="2309" operator="lessThan">
      <formula>0</formula>
    </cfRule>
  </conditionalFormatting>
  <conditionalFormatting sqref="H1:H1048576">
    <cfRule type="cellIs" dxfId="285" priority="2308" operator="lessThan">
      <formula>0</formula>
    </cfRule>
  </conditionalFormatting>
  <conditionalFormatting sqref="H1:H1048576">
    <cfRule type="cellIs" dxfId="284" priority="2307" operator="lessThan">
      <formula>0</formula>
    </cfRule>
  </conditionalFormatting>
  <conditionalFormatting sqref="H1:H1048576">
    <cfRule type="cellIs" dxfId="283" priority="2306" operator="lessThan">
      <formula>0</formula>
    </cfRule>
  </conditionalFormatting>
  <conditionalFormatting sqref="H1:H1048576">
    <cfRule type="cellIs" dxfId="282" priority="2305" operator="lessThan">
      <formula>0</formula>
    </cfRule>
  </conditionalFormatting>
  <conditionalFormatting sqref="H1:H1048576">
    <cfRule type="cellIs" dxfId="281" priority="2304" operator="lessThan">
      <formula>0</formula>
    </cfRule>
  </conditionalFormatting>
  <conditionalFormatting sqref="H1:H1048576">
    <cfRule type="cellIs" dxfId="280" priority="2303" operator="lessThan">
      <formula>0</formula>
    </cfRule>
  </conditionalFormatting>
  <conditionalFormatting sqref="H1:H1048576">
    <cfRule type="cellIs" dxfId="279" priority="2302" operator="lessThan">
      <formula>0</formula>
    </cfRule>
  </conditionalFormatting>
  <conditionalFormatting sqref="H1:H1048576">
    <cfRule type="cellIs" dxfId="278" priority="2301" operator="lessThan">
      <formula>0</formula>
    </cfRule>
  </conditionalFormatting>
  <conditionalFormatting sqref="H1:H1048576">
    <cfRule type="cellIs" dxfId="277" priority="2300" operator="lessThan">
      <formula>0</formula>
    </cfRule>
  </conditionalFormatting>
  <conditionalFormatting sqref="H1:H1048576">
    <cfRule type="cellIs" dxfId="276" priority="2299" operator="lessThan">
      <formula>0</formula>
    </cfRule>
  </conditionalFormatting>
  <conditionalFormatting sqref="H1:H1048576">
    <cfRule type="cellIs" dxfId="275" priority="2298" operator="lessThan">
      <formula>0</formula>
    </cfRule>
  </conditionalFormatting>
  <conditionalFormatting sqref="H1:H1048576">
    <cfRule type="cellIs" dxfId="274" priority="2297" operator="lessThan">
      <formula>0</formula>
    </cfRule>
  </conditionalFormatting>
  <conditionalFormatting sqref="H1:H1048576">
    <cfRule type="cellIs" dxfId="273" priority="2296" operator="lessThan">
      <formula>0</formula>
    </cfRule>
  </conditionalFormatting>
  <conditionalFormatting sqref="H1:H1048576">
    <cfRule type="cellIs" dxfId="272" priority="2295" operator="lessThan">
      <formula>0</formula>
    </cfRule>
  </conditionalFormatting>
  <conditionalFormatting sqref="H1:H1048576">
    <cfRule type="cellIs" dxfId="271" priority="2294" operator="lessThan">
      <formula>0</formula>
    </cfRule>
  </conditionalFormatting>
  <conditionalFormatting sqref="H1:H1048576">
    <cfRule type="cellIs" dxfId="270" priority="2293" operator="lessThan">
      <formula>0</formula>
    </cfRule>
  </conditionalFormatting>
  <conditionalFormatting sqref="H1:H1048576">
    <cfRule type="cellIs" dxfId="269" priority="2292" operator="lessThan">
      <formula>0</formula>
    </cfRule>
  </conditionalFormatting>
  <conditionalFormatting sqref="H1:H1048576">
    <cfRule type="cellIs" dxfId="268" priority="2291" operator="lessThan">
      <formula>0</formula>
    </cfRule>
  </conditionalFormatting>
  <conditionalFormatting sqref="H1:H1048576">
    <cfRule type="cellIs" dxfId="267" priority="2290" operator="lessThan">
      <formula>0</formula>
    </cfRule>
  </conditionalFormatting>
  <conditionalFormatting sqref="H1:H1048576">
    <cfRule type="cellIs" dxfId="266" priority="2289" operator="lessThan">
      <formula>0</formula>
    </cfRule>
  </conditionalFormatting>
  <conditionalFormatting sqref="H1:H1048576">
    <cfRule type="cellIs" dxfId="265" priority="2288" operator="lessThan">
      <formula>0</formula>
    </cfRule>
  </conditionalFormatting>
  <conditionalFormatting sqref="H1:H1048576">
    <cfRule type="cellIs" dxfId="264" priority="2287" operator="lessThan">
      <formula>0</formula>
    </cfRule>
  </conditionalFormatting>
  <conditionalFormatting sqref="H1:H1048576">
    <cfRule type="cellIs" dxfId="263" priority="2286" operator="lessThan">
      <formula>0</formula>
    </cfRule>
  </conditionalFormatting>
  <conditionalFormatting sqref="H1:H1048576">
    <cfRule type="cellIs" dxfId="262" priority="2285" operator="lessThan">
      <formula>0</formula>
    </cfRule>
  </conditionalFormatting>
  <conditionalFormatting sqref="H1:H1048576">
    <cfRule type="cellIs" dxfId="261" priority="2284" operator="lessThan">
      <formula>0</formula>
    </cfRule>
  </conditionalFormatting>
  <conditionalFormatting sqref="H1:H1048576">
    <cfRule type="cellIs" dxfId="260" priority="2283" operator="lessThan">
      <formula>0</formula>
    </cfRule>
  </conditionalFormatting>
  <conditionalFormatting sqref="H1:H1048576">
    <cfRule type="cellIs" dxfId="259" priority="2282" operator="lessThan">
      <formula>0</formula>
    </cfRule>
  </conditionalFormatting>
  <conditionalFormatting sqref="H1:H1048576">
    <cfRule type="cellIs" dxfId="258" priority="2281" operator="lessThan">
      <formula>0</formula>
    </cfRule>
  </conditionalFormatting>
  <conditionalFormatting sqref="H1:H1048576">
    <cfRule type="cellIs" dxfId="257" priority="2280" operator="lessThan">
      <formula>0</formula>
    </cfRule>
  </conditionalFormatting>
  <conditionalFormatting sqref="H1:H1048576">
    <cfRule type="cellIs" dxfId="256" priority="2279" operator="lessThan">
      <formula>0</formula>
    </cfRule>
  </conditionalFormatting>
  <conditionalFormatting sqref="H1:H1048576">
    <cfRule type="cellIs" dxfId="255" priority="2278" operator="lessThan">
      <formula>0</formula>
    </cfRule>
  </conditionalFormatting>
  <conditionalFormatting sqref="H1:H1048576">
    <cfRule type="cellIs" dxfId="254" priority="2277" operator="lessThan">
      <formula>0</formula>
    </cfRule>
  </conditionalFormatting>
  <conditionalFormatting sqref="H1:H1048576">
    <cfRule type="cellIs" dxfId="253" priority="2276" operator="lessThan">
      <formula>0</formula>
    </cfRule>
  </conditionalFormatting>
  <conditionalFormatting sqref="H1:H1048576">
    <cfRule type="cellIs" dxfId="252" priority="2275" operator="lessThan">
      <formula>0</formula>
    </cfRule>
  </conditionalFormatting>
  <conditionalFormatting sqref="H1:H1048576">
    <cfRule type="cellIs" dxfId="251" priority="2274" operator="lessThan">
      <formula>0</formula>
    </cfRule>
  </conditionalFormatting>
  <conditionalFormatting sqref="H1:H1048576">
    <cfRule type="cellIs" dxfId="250" priority="2273" operator="lessThan">
      <formula>0</formula>
    </cfRule>
  </conditionalFormatting>
  <conditionalFormatting sqref="H1:H1048576">
    <cfRule type="cellIs" dxfId="249" priority="2272" operator="lessThan">
      <formula>0</formula>
    </cfRule>
  </conditionalFormatting>
  <conditionalFormatting sqref="H1:H1048576">
    <cfRule type="cellIs" dxfId="248" priority="2271" operator="lessThan">
      <formula>0</formula>
    </cfRule>
  </conditionalFormatting>
  <conditionalFormatting sqref="H1:H1048576">
    <cfRule type="cellIs" dxfId="247" priority="2270" operator="lessThan">
      <formula>0</formula>
    </cfRule>
  </conditionalFormatting>
  <conditionalFormatting sqref="H1:H1048576">
    <cfRule type="cellIs" dxfId="246" priority="2269" operator="lessThan">
      <formula>0</formula>
    </cfRule>
  </conditionalFormatting>
  <conditionalFormatting sqref="H1:H1048576">
    <cfRule type="cellIs" dxfId="245" priority="2268" operator="lessThan">
      <formula>0</formula>
    </cfRule>
  </conditionalFormatting>
  <conditionalFormatting sqref="H1:H1048576">
    <cfRule type="cellIs" dxfId="244" priority="2267" operator="lessThan">
      <formula>0</formula>
    </cfRule>
  </conditionalFormatting>
  <conditionalFormatting sqref="H1:H1048576">
    <cfRule type="cellIs" dxfId="243" priority="2266" operator="lessThan">
      <formula>0</formula>
    </cfRule>
  </conditionalFormatting>
  <conditionalFormatting sqref="H1:H1048576">
    <cfRule type="cellIs" dxfId="242" priority="2265" operator="lessThan">
      <formula>0</formula>
    </cfRule>
  </conditionalFormatting>
  <conditionalFormatting sqref="H1:H1048576">
    <cfRule type="cellIs" dxfId="241" priority="2264" operator="lessThan">
      <formula>0</formula>
    </cfRule>
  </conditionalFormatting>
  <conditionalFormatting sqref="H1:H1048576">
    <cfRule type="cellIs" dxfId="240" priority="2263" operator="lessThan">
      <formula>0</formula>
    </cfRule>
  </conditionalFormatting>
  <conditionalFormatting sqref="H1:H1048576">
    <cfRule type="cellIs" dxfId="239" priority="2262" operator="lessThan">
      <formula>0</formula>
    </cfRule>
  </conditionalFormatting>
  <conditionalFormatting sqref="H1:H1048576">
    <cfRule type="cellIs" dxfId="238" priority="2261" operator="lessThan">
      <formula>0</formula>
    </cfRule>
  </conditionalFormatting>
  <conditionalFormatting sqref="H1:H1048576">
    <cfRule type="cellIs" dxfId="237" priority="2260" operator="lessThan">
      <formula>0</formula>
    </cfRule>
  </conditionalFormatting>
  <conditionalFormatting sqref="H1:H1048576">
    <cfRule type="cellIs" dxfId="236" priority="2259" operator="lessThan">
      <formula>0</formula>
    </cfRule>
  </conditionalFormatting>
  <conditionalFormatting sqref="H1:H1048576">
    <cfRule type="cellIs" dxfId="235" priority="2258" operator="lessThan">
      <formula>0</formula>
    </cfRule>
  </conditionalFormatting>
  <conditionalFormatting sqref="H1:H1048576">
    <cfRule type="cellIs" dxfId="234" priority="2257" operator="lessThan">
      <formula>0</formula>
    </cfRule>
  </conditionalFormatting>
  <conditionalFormatting sqref="H1:H1048576">
    <cfRule type="cellIs" dxfId="233" priority="2256" operator="lessThan">
      <formula>0</formula>
    </cfRule>
  </conditionalFormatting>
  <conditionalFormatting sqref="H1:H1048576">
    <cfRule type="cellIs" dxfId="232" priority="2255" operator="lessThan">
      <formula>0</formula>
    </cfRule>
  </conditionalFormatting>
  <conditionalFormatting sqref="H1:H1048576">
    <cfRule type="cellIs" dxfId="231" priority="2254" operator="lessThan">
      <formula>0</formula>
    </cfRule>
  </conditionalFormatting>
  <conditionalFormatting sqref="H1:H1048576">
    <cfRule type="cellIs" dxfId="230" priority="2253" operator="lessThan">
      <formula>0</formula>
    </cfRule>
  </conditionalFormatting>
  <conditionalFormatting sqref="H1:H1048576">
    <cfRule type="cellIs" dxfId="229" priority="2252" operator="lessThan">
      <formula>0</formula>
    </cfRule>
  </conditionalFormatting>
  <conditionalFormatting sqref="H1:H1048576">
    <cfRule type="cellIs" dxfId="228" priority="2251" operator="lessThan">
      <formula>0</formula>
    </cfRule>
  </conditionalFormatting>
  <conditionalFormatting sqref="H1:H1048576">
    <cfRule type="cellIs" dxfId="227" priority="2250" operator="lessThan">
      <formula>0</formula>
    </cfRule>
  </conditionalFormatting>
  <conditionalFormatting sqref="H1:H1048576">
    <cfRule type="cellIs" dxfId="226" priority="2249" operator="lessThan">
      <formula>0</formula>
    </cfRule>
  </conditionalFormatting>
  <conditionalFormatting sqref="H1:H1048576">
    <cfRule type="cellIs" dxfId="225" priority="2248" operator="lessThan">
      <formula>0</formula>
    </cfRule>
  </conditionalFormatting>
  <conditionalFormatting sqref="H1:H1048576">
    <cfRule type="cellIs" dxfId="224" priority="2247" operator="lessThan">
      <formula>0</formula>
    </cfRule>
  </conditionalFormatting>
  <conditionalFormatting sqref="H1:H1048576">
    <cfRule type="cellIs" dxfId="223" priority="2246" operator="lessThan">
      <formula>0</formula>
    </cfRule>
  </conditionalFormatting>
  <conditionalFormatting sqref="H1:H1048576">
    <cfRule type="cellIs" dxfId="222" priority="2245" operator="lessThan">
      <formula>0</formula>
    </cfRule>
  </conditionalFormatting>
  <conditionalFormatting sqref="H1:H1048576">
    <cfRule type="cellIs" dxfId="221" priority="2244" operator="lessThan">
      <formula>0</formula>
    </cfRule>
  </conditionalFormatting>
  <conditionalFormatting sqref="H1:H1048576">
    <cfRule type="cellIs" dxfId="220" priority="2243" operator="lessThan">
      <formula>0</formula>
    </cfRule>
  </conditionalFormatting>
  <conditionalFormatting sqref="H1:H1048576">
    <cfRule type="cellIs" dxfId="219" priority="2242" operator="lessThan">
      <formula>0</formula>
    </cfRule>
  </conditionalFormatting>
  <conditionalFormatting sqref="H1:H1048576">
    <cfRule type="cellIs" dxfId="218" priority="2241" operator="lessThan">
      <formula>0</formula>
    </cfRule>
  </conditionalFormatting>
  <conditionalFormatting sqref="H1:H1048576">
    <cfRule type="cellIs" dxfId="217" priority="2240" operator="lessThan">
      <formula>0</formula>
    </cfRule>
  </conditionalFormatting>
  <conditionalFormatting sqref="H1:H1048576">
    <cfRule type="cellIs" dxfId="216" priority="2239" operator="lessThan">
      <formula>0</formula>
    </cfRule>
  </conditionalFormatting>
  <conditionalFormatting sqref="H1:H1048576">
    <cfRule type="cellIs" dxfId="215" priority="2238" operator="lessThan">
      <formula>0</formula>
    </cfRule>
  </conditionalFormatting>
  <conditionalFormatting sqref="H1:H1048576">
    <cfRule type="cellIs" dxfId="214" priority="2237" operator="lessThan">
      <formula>0</formula>
    </cfRule>
  </conditionalFormatting>
  <conditionalFormatting sqref="H1:H1048576">
    <cfRule type="cellIs" dxfId="213" priority="2236" operator="lessThan">
      <formula>0</formula>
    </cfRule>
  </conditionalFormatting>
  <conditionalFormatting sqref="H1:H1048576">
    <cfRule type="cellIs" dxfId="212" priority="2235" operator="lessThan">
      <formula>0</formula>
    </cfRule>
  </conditionalFormatting>
  <conditionalFormatting sqref="H1:H1048576">
    <cfRule type="cellIs" dxfId="211" priority="2234" operator="lessThan">
      <formula>0</formula>
    </cfRule>
  </conditionalFormatting>
  <conditionalFormatting sqref="H1:H1048576">
    <cfRule type="cellIs" dxfId="210" priority="2233" operator="lessThan">
      <formula>0</formula>
    </cfRule>
  </conditionalFormatting>
  <conditionalFormatting sqref="H1:H1048576">
    <cfRule type="cellIs" dxfId="209" priority="2232" operator="lessThan">
      <formula>0</formula>
    </cfRule>
  </conditionalFormatting>
  <conditionalFormatting sqref="H1:H1048576">
    <cfRule type="cellIs" dxfId="208" priority="2231" operator="lessThan">
      <formula>0</formula>
    </cfRule>
  </conditionalFormatting>
  <conditionalFormatting sqref="H1:H1048576">
    <cfRule type="cellIs" dxfId="207" priority="2230" operator="lessThan">
      <formula>0</formula>
    </cfRule>
  </conditionalFormatting>
  <conditionalFormatting sqref="H1:H1048576">
    <cfRule type="cellIs" dxfId="206" priority="2229" operator="lessThan">
      <formula>0</formula>
    </cfRule>
  </conditionalFormatting>
  <conditionalFormatting sqref="H1:H1048576">
    <cfRule type="cellIs" dxfId="205" priority="2228" operator="lessThan">
      <formula>0</formula>
    </cfRule>
  </conditionalFormatting>
  <conditionalFormatting sqref="H1:H1048576">
    <cfRule type="cellIs" dxfId="204" priority="2227" operator="lessThan">
      <formula>0</formula>
    </cfRule>
  </conditionalFormatting>
  <conditionalFormatting sqref="H1:H1048576">
    <cfRule type="cellIs" dxfId="203" priority="2226" operator="lessThan">
      <formula>0</formula>
    </cfRule>
  </conditionalFormatting>
  <conditionalFormatting sqref="H1:H1048576">
    <cfRule type="cellIs" dxfId="202" priority="2225" operator="lessThan">
      <formula>0</formula>
    </cfRule>
  </conditionalFormatting>
  <conditionalFormatting sqref="H1:H1048576">
    <cfRule type="cellIs" dxfId="201" priority="2224" operator="lessThan">
      <formula>0</formula>
    </cfRule>
  </conditionalFormatting>
  <conditionalFormatting sqref="H1:H1048576">
    <cfRule type="cellIs" dxfId="200" priority="2223" operator="lessThan">
      <formula>0</formula>
    </cfRule>
  </conditionalFormatting>
  <conditionalFormatting sqref="H1:H1048576">
    <cfRule type="cellIs" dxfId="199" priority="2222" operator="lessThan">
      <formula>0</formula>
    </cfRule>
  </conditionalFormatting>
  <conditionalFormatting sqref="H1:H1048576">
    <cfRule type="cellIs" dxfId="198" priority="2221" operator="lessThan">
      <formula>0</formula>
    </cfRule>
  </conditionalFormatting>
  <conditionalFormatting sqref="H1:H1048576">
    <cfRule type="cellIs" dxfId="197" priority="2220" operator="lessThan">
      <formula>0</formula>
    </cfRule>
  </conditionalFormatting>
  <conditionalFormatting sqref="H1:H1048576">
    <cfRule type="cellIs" dxfId="196" priority="2219" operator="lessThan">
      <formula>0</formula>
    </cfRule>
  </conditionalFormatting>
  <conditionalFormatting sqref="H1:H1048576">
    <cfRule type="cellIs" dxfId="195" priority="2218" operator="lessThan">
      <formula>0</formula>
    </cfRule>
  </conditionalFormatting>
  <conditionalFormatting sqref="H1:H1048576">
    <cfRule type="cellIs" dxfId="194" priority="2217" operator="lessThan">
      <formula>0</formula>
    </cfRule>
  </conditionalFormatting>
  <conditionalFormatting sqref="H1:H1048576">
    <cfRule type="cellIs" dxfId="193" priority="2216" operator="lessThan">
      <formula>0</formula>
    </cfRule>
  </conditionalFormatting>
  <conditionalFormatting sqref="H1:H1048576">
    <cfRule type="cellIs" dxfId="192" priority="2215" operator="lessThan">
      <formula>0</formula>
    </cfRule>
  </conditionalFormatting>
  <conditionalFormatting sqref="H1:H1048576">
    <cfRule type="cellIs" dxfId="191" priority="2214" operator="lessThan">
      <formula>0</formula>
    </cfRule>
  </conditionalFormatting>
  <conditionalFormatting sqref="H1:H1048576">
    <cfRule type="cellIs" dxfId="190" priority="2213" operator="lessThan">
      <formula>0</formula>
    </cfRule>
  </conditionalFormatting>
  <conditionalFormatting sqref="H1:H1048576">
    <cfRule type="cellIs" dxfId="189" priority="2212" operator="lessThan">
      <formula>0</formula>
    </cfRule>
  </conditionalFormatting>
  <conditionalFormatting sqref="H1:H1048576">
    <cfRule type="cellIs" dxfId="188" priority="2211" operator="lessThan">
      <formula>0</formula>
    </cfRule>
  </conditionalFormatting>
  <conditionalFormatting sqref="H1:H1048576">
    <cfRule type="cellIs" dxfId="187" priority="2210" operator="lessThan">
      <formula>0</formula>
    </cfRule>
  </conditionalFormatting>
  <conditionalFormatting sqref="H1:H1048576">
    <cfRule type="cellIs" dxfId="186" priority="2209" operator="lessThan">
      <formula>0</formula>
    </cfRule>
  </conditionalFormatting>
  <conditionalFormatting sqref="H1:H1048576">
    <cfRule type="cellIs" dxfId="185" priority="2208" operator="lessThan">
      <formula>0</formula>
    </cfRule>
  </conditionalFormatting>
  <conditionalFormatting sqref="H1:H1048576">
    <cfRule type="cellIs" dxfId="184" priority="2207" operator="lessThan">
      <formula>0</formula>
    </cfRule>
  </conditionalFormatting>
  <conditionalFormatting sqref="H1:H1048576">
    <cfRule type="cellIs" dxfId="183" priority="2206" operator="lessThan">
      <formula>0</formula>
    </cfRule>
  </conditionalFormatting>
  <conditionalFormatting sqref="H1:H1048576">
    <cfRule type="cellIs" dxfId="182" priority="2205" operator="lessThan">
      <formula>0</formula>
    </cfRule>
  </conditionalFormatting>
  <conditionalFormatting sqref="H1:H1048576">
    <cfRule type="cellIs" dxfId="181" priority="2204" operator="lessThan">
      <formula>0</formula>
    </cfRule>
  </conditionalFormatting>
  <conditionalFormatting sqref="H1:H1048576">
    <cfRule type="cellIs" dxfId="180" priority="2203" operator="lessThan">
      <formula>0</formula>
    </cfRule>
  </conditionalFormatting>
  <conditionalFormatting sqref="H1:H1048576">
    <cfRule type="cellIs" dxfId="179" priority="2202" operator="lessThan">
      <formula>0</formula>
    </cfRule>
  </conditionalFormatting>
  <conditionalFormatting sqref="H1:H1048576">
    <cfRule type="cellIs" dxfId="178" priority="2201" operator="lessThan">
      <formula>0</formula>
    </cfRule>
  </conditionalFormatting>
  <conditionalFormatting sqref="H1:H1048576">
    <cfRule type="cellIs" dxfId="177" priority="2200" operator="lessThan">
      <formula>0</formula>
    </cfRule>
  </conditionalFormatting>
  <conditionalFormatting sqref="H1:H1048576">
    <cfRule type="cellIs" dxfId="176" priority="2199" operator="lessThan">
      <formula>0</formula>
    </cfRule>
  </conditionalFormatting>
  <conditionalFormatting sqref="H1:H1048576">
    <cfRule type="cellIs" dxfId="175" priority="2198" operator="lessThan">
      <formula>0</formula>
    </cfRule>
  </conditionalFormatting>
  <conditionalFormatting sqref="H1:H1048576">
    <cfRule type="cellIs" dxfId="174" priority="2197" operator="lessThan">
      <formula>0</formula>
    </cfRule>
  </conditionalFormatting>
  <conditionalFormatting sqref="H1:H1048576">
    <cfRule type="cellIs" dxfId="173" priority="2196" operator="lessThan">
      <formula>0</formula>
    </cfRule>
  </conditionalFormatting>
  <conditionalFormatting sqref="H1:H1048576">
    <cfRule type="cellIs" dxfId="172" priority="2195" operator="lessThan">
      <formula>0</formula>
    </cfRule>
  </conditionalFormatting>
  <conditionalFormatting sqref="H1:H1048576">
    <cfRule type="cellIs" dxfId="171" priority="2194" operator="lessThan">
      <formula>0</formula>
    </cfRule>
  </conditionalFormatting>
  <conditionalFormatting sqref="H1:H1048576">
    <cfRule type="cellIs" dxfId="170" priority="2193" operator="lessThan">
      <formula>0</formula>
    </cfRule>
  </conditionalFormatting>
  <conditionalFormatting sqref="H1:H1048576">
    <cfRule type="cellIs" dxfId="169" priority="2192" operator="lessThan">
      <formula>0</formula>
    </cfRule>
  </conditionalFormatting>
  <conditionalFormatting sqref="H1:H1048576">
    <cfRule type="cellIs" dxfId="168" priority="2191" operator="lessThan">
      <formula>0</formula>
    </cfRule>
  </conditionalFormatting>
  <conditionalFormatting sqref="H1:H1048576">
    <cfRule type="cellIs" dxfId="167" priority="2190" operator="lessThan">
      <formula>0</formula>
    </cfRule>
  </conditionalFormatting>
  <conditionalFormatting sqref="H1:H1048576">
    <cfRule type="cellIs" dxfId="166" priority="2189" operator="lessThan">
      <formula>0</formula>
    </cfRule>
  </conditionalFormatting>
  <conditionalFormatting sqref="H1:H1048576">
    <cfRule type="cellIs" dxfId="165" priority="2188" operator="lessThan">
      <formula>0</formula>
    </cfRule>
  </conditionalFormatting>
  <conditionalFormatting sqref="H1:H1048576">
    <cfRule type="cellIs" dxfId="164" priority="2187" operator="lessThan">
      <formula>0</formula>
    </cfRule>
  </conditionalFormatting>
  <conditionalFormatting sqref="H1:H1048576">
    <cfRule type="cellIs" dxfId="163" priority="2186" operator="lessThan">
      <formula>0</formula>
    </cfRule>
  </conditionalFormatting>
  <conditionalFormatting sqref="H1:H1048576">
    <cfRule type="cellIs" dxfId="162" priority="2185" operator="lessThan">
      <formula>0</formula>
    </cfRule>
  </conditionalFormatting>
  <conditionalFormatting sqref="H1:H1048576">
    <cfRule type="cellIs" dxfId="161" priority="2184" operator="lessThan">
      <formula>0</formula>
    </cfRule>
  </conditionalFormatting>
  <conditionalFormatting sqref="H1:H1048576">
    <cfRule type="cellIs" dxfId="160" priority="2183" operator="lessThan">
      <formula>0</formula>
    </cfRule>
  </conditionalFormatting>
  <conditionalFormatting sqref="H1:H1048576">
    <cfRule type="cellIs" dxfId="159" priority="2182" operator="lessThan">
      <formula>0</formula>
    </cfRule>
  </conditionalFormatting>
  <conditionalFormatting sqref="H1:H1048576">
    <cfRule type="cellIs" dxfId="158" priority="2181" operator="lessThan">
      <formula>0</formula>
    </cfRule>
  </conditionalFormatting>
  <conditionalFormatting sqref="H1:H1048576">
    <cfRule type="cellIs" dxfId="157" priority="2180" operator="lessThan">
      <formula>0</formula>
    </cfRule>
  </conditionalFormatting>
  <conditionalFormatting sqref="H1:H1048576">
    <cfRule type="cellIs" dxfId="156" priority="2179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44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I27" sqref="I27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hidden="1" customWidth="1" outlineLevel="1"/>
    <col min="4" max="4" width="7.42578125" hidden="1" customWidth="1" outlineLevel="1"/>
    <col min="5" max="5" width="8.42578125" hidden="1" customWidth="1" outlineLevel="1"/>
    <col min="6" max="6" width="8" customWidth="1" collapsed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hidden="1" customWidth="1" outlineLevel="2"/>
    <col min="12" max="12" width="8.42578125" style="1" hidden="1" customWidth="1" outlineLevel="2"/>
    <col min="13" max="13" width="8.5703125" style="1" hidden="1" customWidth="1" outlineLevel="2"/>
    <col min="14" max="14" width="13.140625" hidden="1" customWidth="1" outlineLevel="1"/>
    <col min="15" max="15" width="10.5703125" hidden="1" customWidth="1" outlineLevel="1"/>
    <col min="16" max="16" width="8.28515625" hidden="1" customWidth="1" outlineLevel="1"/>
    <col min="17" max="17" width="12.28515625" hidden="1" customWidth="1" outlineLevel="1"/>
    <col min="18" max="18" width="8.140625" hidden="1" customWidth="1" outlineLevel="1"/>
    <col min="19" max="19" width="8.28515625" hidden="1" customWidth="1" outlineLevel="1"/>
    <col min="20" max="20" width="13.7109375" customWidth="1" collapsed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317.54000000000002</v>
      </c>
      <c r="D1" s="172">
        <f t="shared" ref="D1:D10" si="0">C1/E1-1</f>
        <v>-2.4424713508863549E-2</v>
      </c>
      <c r="E1" s="239">
        <f>_xll.BDP(B1&amp;" EQUITY","PX_YEST_CLOSE")</f>
        <v>325.49</v>
      </c>
      <c r="H1" t="s">
        <v>6</v>
      </c>
      <c r="I1" s="173" cm="1">
        <f t="array" ref="I1">_xll.BDP(H1&amp;" EQUITY","LAST_PRICE")</f>
        <v>85</v>
      </c>
      <c r="J1" s="172">
        <f t="shared" ref="J1:J10" si="1">I1/K1-1</f>
        <v>-1.4949588596593011E-2</v>
      </c>
      <c r="K1" s="239">
        <f>_xll.BDP(H1&amp;" EQUITY","PX_YEST_CLOSE")</f>
        <v>86.29</v>
      </c>
      <c r="M1" s="5">
        <f>J26/4</f>
        <v>6.5293093441671779E-3</v>
      </c>
      <c r="P1" s="50"/>
      <c r="Q1" t="s">
        <v>1912</v>
      </c>
      <c r="R1" s="5">
        <f>SUM(U16:U28)</f>
        <v>2.134838314161442E-2</v>
      </c>
      <c r="S1" s="5">
        <f>T1/R1/10000</f>
        <v>1.0106541000652228E-2</v>
      </c>
      <c r="T1" s="276">
        <f>SUM(V16:V28)</f>
        <v>2.1575830951835897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187.655</v>
      </c>
      <c r="D2" s="172">
        <f t="shared" si="0"/>
        <v>1.5229387578446163E-2</v>
      </c>
      <c r="E2" s="239" cm="1">
        <f t="array" ref="E2">_xll.BDP(B2&amp;" EQUITY","PX_YEST_CLOSE")</f>
        <v>184.84</v>
      </c>
      <c r="H2" t="s">
        <v>89</v>
      </c>
      <c r="I2" s="173" cm="1">
        <f t="array" ref="I2">_xll.BDP(H2&amp;" EQUITY","LAST_PRICE")</f>
        <v>97.77</v>
      </c>
      <c r="J2" s="172">
        <f t="shared" si="1"/>
        <v>8.561997111615316E-3</v>
      </c>
      <c r="K2" s="239">
        <f>_xll.BDP(H2&amp;" EQUITY","PX_YEST_CLOSE")</f>
        <v>96.94</v>
      </c>
      <c r="O2" s="50"/>
      <c r="P2" s="50"/>
      <c r="R2" s="5"/>
      <c r="S2" s="5"/>
      <c r="T2" s="276"/>
      <c r="U2" s="369"/>
      <c r="V2" s="368"/>
      <c r="W2" s="276">
        <f>W5/W6</f>
        <v>-10.031880846567146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335.92</v>
      </c>
      <c r="D3" s="172">
        <f t="shared" si="0"/>
        <v>2.6117237376668712E-2</v>
      </c>
      <c r="E3" s="239">
        <f>_xll.BDP(B3&amp;" EQUITY","PX_YEST_CLOSE")</f>
        <v>327.37</v>
      </c>
      <c r="H3" t="s">
        <v>136</v>
      </c>
      <c r="I3" s="173" cm="1">
        <f t="array" ref="I3">_xll.BDP(H3&amp;" EQUITY","LAST_PRICE")</f>
        <v>402.17</v>
      </c>
      <c r="J3" s="172">
        <f t="shared" si="1"/>
        <v>-1.6136239511443939E-3</v>
      </c>
      <c r="K3" s="239" cm="1">
        <f t="array" ref="K3">_xll.BDP(H3&amp;" EQUITY","PX_YEST_CLOSE")</f>
        <v>402.82</v>
      </c>
      <c r="L3" s="174"/>
      <c r="O3" s="5"/>
      <c r="R3" s="5"/>
      <c r="S3" s="5"/>
      <c r="T3" s="276"/>
      <c r="U3" s="276">
        <f>U5/-U6</f>
        <v>18.29386078252681</v>
      </c>
      <c r="W3" s="45" t="s">
        <v>154</v>
      </c>
      <c r="X3" s="5">
        <f>_xll.BDP("SPY Equity","LAST_PRICE")/_xll.BDP("SPY Equity","PX_YEST_CLOSE")-1</f>
        <v>9.7970913524325631E-4</v>
      </c>
      <c r="AC3" s="93" cm="1">
        <f t="array" ref="AC3">_xll.BDP("brl Curncy","LAST_PRICE")</f>
        <v>5.2896000000000001</v>
      </c>
      <c r="AD3" s="8">
        <f>AD5*$AC$3</f>
        <v>11880627095.692801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407.82</v>
      </c>
      <c r="D4" s="172">
        <f t="shared" si="0"/>
        <v>2.5755822727501432E-2</v>
      </c>
      <c r="E4" s="239" cm="1">
        <f t="array" ref="E4">_xll.BDP(B4&amp;" EQUITY","PX_YEST_CLOSE")</f>
        <v>397.58</v>
      </c>
      <c r="F4" s="7"/>
      <c r="G4" s="7"/>
      <c r="H4" t="s">
        <v>0</v>
      </c>
      <c r="I4" s="173" cm="1">
        <f t="array" ref="I4">_xll.BDP(H4&amp;" EQUITY","LAST_PRICE")</f>
        <v>689.65499999999997</v>
      </c>
      <c r="J4" s="172">
        <f t="shared" si="1"/>
        <v>9.7970913524325631E-4</v>
      </c>
      <c r="K4" s="239" cm="1">
        <f t="array" ref="K4">_xll.BDP(H4&amp;" EQUITY","PX_YEST_CLOSE")</f>
        <v>688.98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237.66499999999999</v>
      </c>
      <c r="D5" s="172">
        <f t="shared" si="0"/>
        <v>1.4188785525305114E-2</v>
      </c>
      <c r="E5" s="239" cm="1">
        <f t="array" ref="E5">_xll.BDP(B5&amp;" EQUITY","PX_YEST_CLOSE")</f>
        <v>234.34</v>
      </c>
      <c r="H5" t="s">
        <v>3</v>
      </c>
      <c r="I5" s="175" cm="1">
        <f t="array" ref="I5">_xll.BDP(H5&amp;" EQUITY","LAST_PRICE")</f>
        <v>198.81</v>
      </c>
      <c r="J5" s="172">
        <f t="shared" si="1"/>
        <v>-4.2572373034157618E-3</v>
      </c>
      <c r="K5" s="239" cm="1">
        <f t="array" ref="K5">_xll.BDP(H5&amp;" EQUITY","PX_YEST_CLOSE")</f>
        <v>199.66</v>
      </c>
      <c r="L5" s="174"/>
      <c r="O5" s="27">
        <f>SUMIF(O12:O33,"&gt;0")</f>
        <v>1.22719155841634E-2</v>
      </c>
      <c r="P5" s="20">
        <f>SUMIF($F$12:$F$33,"Long",P12:P33)</f>
        <v>0.56082033990342073</v>
      </c>
      <c r="R5" s="27">
        <f>SUMIF(R12:R33,"&gt;0")</f>
        <v>1.2481134063206757E-2</v>
      </c>
      <c r="S5" s="170">
        <f>SUMIF($F$12:$F$33,"Long",S12:S33)</f>
        <v>1.3382784189254062</v>
      </c>
      <c r="T5" t="s">
        <v>99</v>
      </c>
      <c r="U5" s="33">
        <f>SUMIF($F$12:$F$33,"Long",U12:U33)</f>
        <v>2.3620116455209964E-2</v>
      </c>
      <c r="V5" s="39">
        <f>SUMIF($F$12:$F$33,"Long",V12:V33)</f>
        <v>1.8990987588288273</v>
      </c>
      <c r="W5" s="5">
        <f>V5/U5/10000</f>
        <v>8.0401752566716788E-3</v>
      </c>
      <c r="X5" s="5">
        <f>W5-$X$3</f>
        <v>7.0604661214284225E-3</v>
      </c>
      <c r="Y5" s="55">
        <f>$U5*X5*10000</f>
        <v>1.6676903201620394</v>
      </c>
      <c r="Z5" s="9">
        <f>U5*$X$3*10000</f>
        <v>0.23140843866678762</v>
      </c>
      <c r="AA5" s="33" t="e">
        <f>SUMIF($F$12:$F$33,"Long",AA12:AA33)</f>
        <v>#VALUE!</v>
      </c>
      <c r="AB5" s="276" t="e">
        <f>AA5/U5</f>
        <v>#VALUE!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248.16</v>
      </c>
      <c r="D6" s="172">
        <f t="shared" si="0"/>
        <v>-7.6504932554866123E-4</v>
      </c>
      <c r="E6" s="239" cm="1">
        <f t="array" ref="E6">_xll.BDP(B6&amp;" EQUITY","PX_YEST_CLOSE")</f>
        <v>248.35</v>
      </c>
      <c r="H6" t="s">
        <v>135</v>
      </c>
      <c r="I6" s="176" cm="1">
        <f t="array" ref="I6">_xll.BDP(H6&amp;" EQUITY","LAST_PRICE")</f>
        <v>623.66</v>
      </c>
      <c r="J6" s="172">
        <f t="shared" si="1"/>
        <v>4.6716927637089345E-3</v>
      </c>
      <c r="K6" s="239" cm="1">
        <f t="array" ref="K6">_xll.BDP(H6&amp;" EQUITY","PX_YEST_CLOSE")</f>
        <v>620.76</v>
      </c>
      <c r="L6" s="1">
        <f>$S$1/J6</f>
        <v>2.1633573764017129</v>
      </c>
      <c r="O6" s="27">
        <f>SUMIF(O12:O33,"&lt;0")</f>
        <v>-1.0440196160754942E-3</v>
      </c>
      <c r="P6" s="20">
        <f>SUMIF($F$12:$F$33,"Short",P12:P33)</f>
        <v>-3.3158955933380758E-2</v>
      </c>
      <c r="R6" s="27">
        <f>SUMIF(R12:R33,"&lt;0")</f>
        <v>-2.4713028038433183E-4</v>
      </c>
      <c r="S6" s="170">
        <f>SUMIF($F$12:$F$33,"Short",S12:S33)</f>
        <v>4.3507036825632228E-2</v>
      </c>
      <c r="T6" t="s">
        <v>100</v>
      </c>
      <c r="U6" s="33">
        <f>SUMIF($F$12:$F$33,"Short",U12:U33)</f>
        <v>-1.2911498964598262E-3</v>
      </c>
      <c r="V6" s="39">
        <f>SUMIF($F$12:$F$33,"Short",V12:V33)</f>
        <v>1.0348080892251466E-2</v>
      </c>
      <c r="W6" s="5">
        <f>V6/U6/10000</f>
        <v>-8.0146239570050141E-4</v>
      </c>
      <c r="X6" s="5">
        <f>$X$3-W6</f>
        <v>1.7811715309437577E-3</v>
      </c>
      <c r="Y6" s="55">
        <f>-$U6*X6*10000</f>
        <v>2.2997594377552229E-2</v>
      </c>
      <c r="Z6" s="9">
        <f>U6*$X$3*10000</f>
        <v>-1.2649513485300762E-2</v>
      </c>
      <c r="AA6" s="33">
        <f>SUMIF($F$12:$F$33,"Short",AA12:AA33)</f>
        <v>-1.47687334128794E-3</v>
      </c>
      <c r="AB6" s="276">
        <f>AA6/U6</f>
        <v>1.1438434416773333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465.39499999999998</v>
      </c>
      <c r="D7" s="172">
        <f t="shared" si="0"/>
        <v>3.1597730194617979E-2</v>
      </c>
      <c r="E7" s="239" cm="1">
        <f t="array" ref="E7">_xll.BDP(B7&amp;" EQUITY","PX_YEST_CLOSE")</f>
        <v>451.14</v>
      </c>
      <c r="H7" t="s">
        <v>143</v>
      </c>
      <c r="I7" s="175" cm="1">
        <f t="array" ref="I7">_xll.BDP(H7&amp;" EQUITY","LAST_PRICE")</f>
        <v>105.09</v>
      </c>
      <c r="J7" s="172">
        <f t="shared" si="1"/>
        <v>-4.755564009891744E-4</v>
      </c>
      <c r="K7" s="239">
        <f>_xll.BDP(H7&amp;" EQUITY","PX_YEST_CLOSE")</f>
        <v>105.14</v>
      </c>
      <c r="L7" s="174"/>
      <c r="M7"/>
      <c r="N7" s="28"/>
      <c r="O7" s="29">
        <f>O5+O6</f>
        <v>1.1227895968087905E-2</v>
      </c>
      <c r="P7" s="169">
        <f>SUM(P12:P33)</f>
        <v>0.59869157742541201</v>
      </c>
      <c r="Q7" s="28"/>
      <c r="R7" s="29">
        <f>R5+R6</f>
        <v>1.2234003782822425E-2</v>
      </c>
      <c r="S7" s="169">
        <f>SUM(S12:S33)</f>
        <v>1.4735988667979361</v>
      </c>
      <c r="T7" s="458" t="s">
        <v>2302</v>
      </c>
      <c r="U7" s="344">
        <f>U5+U6</f>
        <v>2.2328966558750139E-2</v>
      </c>
      <c r="V7" s="345">
        <f>V5+V6</f>
        <v>1.9094468397210786</v>
      </c>
      <c r="W7" s="44">
        <f>V7/U7/10000</f>
        <v>8.5514340070199819E-3</v>
      </c>
      <c r="X7" s="44"/>
      <c r="Y7" s="56">
        <f>Y5+Y6</f>
        <v>1.6906879145395917</v>
      </c>
      <c r="Z7" s="47">
        <f>Z5+Z6</f>
        <v>0.21875892518148685</v>
      </c>
      <c r="AA7" s="34" t="e">
        <f>AA5+AA6</f>
        <v>#VALUE!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331.38</v>
      </c>
      <c r="D8" s="172">
        <f t="shared" si="0"/>
        <v>2.5412960609909607E-3</v>
      </c>
      <c r="E8" s="239" cm="1">
        <f t="array" ref="E8">_xll.BDP(B8&amp;" EQUITY","PX_YEST_CLOSE")</f>
        <v>330.54</v>
      </c>
      <c r="F8" s="16"/>
      <c r="G8" s="16"/>
      <c r="H8" t="s">
        <v>144</v>
      </c>
      <c r="I8" s="175" cm="1">
        <f t="array" ref="I8">_xll.BDP(H8&amp;" EQUITY","LAST_PRICE")</f>
        <v>267.10000000000002</v>
      </c>
      <c r="J8" s="172">
        <f t="shared" si="1"/>
        <v>-9.9707179658252709E-3</v>
      </c>
      <c r="K8" s="239" cm="1">
        <f t="array" ref="K8">_xll.BDP(H8&amp;" EQUITY","PX_YEST_CLOSE")</f>
        <v>269.79000000000002</v>
      </c>
      <c r="M8"/>
      <c r="N8" s="6"/>
      <c r="O8" s="30">
        <f>O5-O6</f>
        <v>1.3315935200238894E-2</v>
      </c>
      <c r="P8" s="31"/>
      <c r="Q8" s="6"/>
      <c r="R8" s="30">
        <f>R5-R6</f>
        <v>1.2728264343591089E-2</v>
      </c>
      <c r="S8" s="31"/>
      <c r="T8" s="6" t="s">
        <v>67</v>
      </c>
      <c r="U8" s="35">
        <f>U5-U6</f>
        <v>2.4911266351669788E-2</v>
      </c>
      <c r="V8" s="41"/>
      <c r="AA8" s="35" t="e">
        <f>AA5-AA6</f>
        <v>#VALUE!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657.13499999999999</v>
      </c>
      <c r="D9" s="172">
        <f t="shared" si="0"/>
        <v>1.4676590028256831E-2</v>
      </c>
      <c r="E9" s="239">
        <f>_xll.BDP(B9&amp;" EQUITY","PX_YEST_CLOSE")</f>
        <v>647.63</v>
      </c>
      <c r="F9" s="16"/>
      <c r="G9" s="16"/>
      <c r="H9" t="s">
        <v>484</v>
      </c>
      <c r="I9" s="175" cm="1">
        <f t="array" ref="I9">_xll.BDP(H9&amp;" EQUITY","LAST_PRICE")</f>
        <v>84.709299999999999</v>
      </c>
      <c r="J9" s="172">
        <f t="shared" si="1"/>
        <v>3.0150796546272618E-2</v>
      </c>
      <c r="K9" s="239" cm="1">
        <f t="array" ref="K9">_xll.BDP(H9&amp;" EQUITY","PX_YEST_CLOSE")</f>
        <v>82.23</v>
      </c>
      <c r="N9" s="6"/>
      <c r="O9" s="30"/>
      <c r="P9" s="46"/>
      <c r="Q9" s="6"/>
      <c r="R9" s="30"/>
      <c r="S9" s="46"/>
      <c r="T9" s="339" t="s">
        <v>2139</v>
      </c>
      <c r="U9" s="340">
        <f>SUM(U15:U15)</f>
        <v>1.1329331921601901E-3</v>
      </c>
      <c r="V9" s="341">
        <f>SUM(V15:V15)</f>
        <v>0.16284360450226945</v>
      </c>
      <c r="W9" s="123">
        <v>3.5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177.79</v>
      </c>
      <c r="D10" s="172">
        <f t="shared" si="0"/>
        <v>-2.1887978448760226E-3</v>
      </c>
      <c r="E10" s="239">
        <f>_xll.BDP(B10&amp;" EQUITY","PX_YEST_CLOSE")</f>
        <v>178.18</v>
      </c>
      <c r="F10" s="13"/>
      <c r="G10" s="13"/>
      <c r="H10" t="s">
        <v>131</v>
      </c>
      <c r="I10" s="175" cm="1">
        <f t="array" ref="I10">_xll.BDP(H10&amp;" EQUITY","LAST_PRICE")</f>
        <v>106.32</v>
      </c>
      <c r="J10" s="172">
        <f t="shared" si="1"/>
        <v>1.0934677189312403E-2</v>
      </c>
      <c r="K10" s="239">
        <f>_xll.BDP(H10&amp;" EQUITY","PX_YEST_CLOSE")</f>
        <v>105.17</v>
      </c>
      <c r="N10" s="6"/>
      <c r="P10" s="50">
        <f>SUM(Tabelad[D1 P&amp;L bps])</f>
        <v>0.59869157742541201</v>
      </c>
      <c r="Q10" s="6"/>
      <c r="S10" s="50">
        <f>SUM(Tabelad[Options P&amp;L bps])</f>
        <v>1.4735988667979361</v>
      </c>
      <c r="T10" s="342" t="s">
        <v>2303</v>
      </c>
      <c r="U10" s="342">
        <f>U7+U9</f>
        <v>2.3461899750910328E-2</v>
      </c>
      <c r="V10" s="343">
        <f>V7+V9</f>
        <v>2.0722904442233481</v>
      </c>
      <c r="W10" s="17">
        <f>AE7*W9/10000</f>
        <v>838657.43709999998</v>
      </c>
      <c r="X10" s="347"/>
      <c r="Y10" s="54">
        <v>0.35</v>
      </c>
      <c r="Z10" s="38">
        <f>SUM(Tabelad[Beta Adj])</f>
        <v>5.1827295388643968</v>
      </c>
      <c r="AA10" s="71" t="e">
        <f>AA7-SUM(#REF!)</f>
        <v>#VALUE!</v>
      </c>
      <c r="AD10" s="15">
        <f>SUM(Tabelad[Daily P&amp;L])</f>
        <v>134468.22778137127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SUM(AH12:AH33)+#REF!+#REF!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>IF(T12&gt;0,"Long","Short")</f>
        <v>Long</v>
      </c>
      <c r="G12" s="15"/>
      <c r="H12" s="456">
        <v>3378</v>
      </c>
      <c r="I12" s="36" cm="1">
        <f t="array" ref="I12">_xll.BDP(B12&amp;" Equity","LAST_PRICE")</f>
        <v>173.46</v>
      </c>
      <c r="J12" s="51">
        <f t="shared" ref="J12:J29" si="2">I12/K12-1</f>
        <v>-2.0995597697257007E-2</v>
      </c>
      <c r="K12" s="438" cm="1">
        <f t="array" ref="K12">_xll.BDP(B12&amp;" EQUITY","PX_YEST_CLOSE")</f>
        <v>177.18</v>
      </c>
      <c r="L12" s="53" cm="1">
        <f t="array" ref="L12">_xll.BDP(E12&amp;" Curncy","PX_LAST")</f>
        <v>1</v>
      </c>
      <c r="M12" s="52">
        <v>1</v>
      </c>
      <c r="N12" s="15">
        <f t="shared" ref="N12:N29" si="3">IFERROR(IF(((I12/L12)*H12*M12)&lt;&gt;0,((I12/L12)*H12*M12),0),"-")</f>
        <v>585947.88</v>
      </c>
      <c r="O12" s="357">
        <f>IFERROR(IF(Tabelad[[#This Row],[D1 Exp USD]]&lt;&gt;0,N12/$AE$7,0),"-")</f>
        <v>2.4453578890226479E-4</v>
      </c>
      <c r="P12" s="20">
        <f>IFERROR(IF(Tabelad[[#This Row],[D1 Exp USD]]&lt;&gt;0,((I12-K12)/L12*M12*H12)/$AD$7*10000,0),"-")</f>
        <v>-5.244281878914013E-2</v>
      </c>
      <c r="Q12" s="15">
        <f>IF(SUM(SUMIFS(Options!$AL$4:$AL$23, Options!$D$4:$D$23, B12), SUMIFS(Options!$AL$4:$AL$23, Options!$D$4:$D$23, B12 &amp; " US"))=0,0,SUM(SUMIFS(Options!$AL$4:$AL$23, Options!$D$4:$D$23, B12), SUMIFS(Options!$AL$4:$AL$23, Options!$D$4:$D$23, B12 &amp; " US")))</f>
        <v>0</v>
      </c>
      <c r="R12" s="19">
        <f t="shared" ref="R12:R14" si="4">Q12/$AE$7</f>
        <v>0</v>
      </c>
      <c r="S12" s="20">
        <f>IF(SUM(SUMIFS(Options!$AK$4:$AK$23, Options!$D$4:$D$23, B12), SUMIFS(Options!$AK$4:$AK$23, Options!$D$4:$D$23, B12 &amp; " US"))=0,0,SUM(SUMIFS(Options!$AK$4:$AK$23, Options!$D$4:$D$23, B12), SUMIFS(Options!AK$4:$AK$23, Options!$D$4:$D$23, B12 &amp; " US")))</f>
        <v>0</v>
      </c>
      <c r="T12" s="13">
        <f t="shared" ref="T12:T29" si="5">N12+Q12</f>
        <v>585947.88</v>
      </c>
      <c r="U12" s="48">
        <f t="shared" ref="U12:U29" si="6">T12/$AE$7</f>
        <v>2.4453578890226479E-4</v>
      </c>
      <c r="V12" s="20">
        <f t="shared" ref="V12:V29" si="7">P12+S12</f>
        <v>-5.244281878914013E-2</v>
      </c>
      <c r="W12" s="15">
        <f t="shared" ref="W12:W29" si="8">$W$10/(I12/L12*M12)</f>
        <v>4834.8751129943503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0.10202478780025215</v>
      </c>
      <c r="AA12" s="19">
        <f>Tabelad[[#This Row],[Exp %]]*Tabelad[[#This Row],[Beta Adj2]]</f>
        <v>2.0875807060643365E-4</v>
      </c>
      <c r="AB12" s="36">
        <f>_xll.BDP($B12&amp;" Equity","volatility_10d")</f>
        <v>66.754916003581997</v>
      </c>
      <c r="AC12" s="36">
        <f>_xll.BDP(B12&amp;" EQUITY","eqy_beta")</f>
        <v>0.85369127988815308</v>
      </c>
      <c r="AD12" s="15">
        <f>Tabelad[[#This Row],[D1 P&amp;L bps]]*$AD$5/10000</f>
        <v>-11778.841006517803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29" si="9">(T12*AG12)/$AD$7*10000</f>
        <v>#VALUE!</v>
      </c>
      <c r="AI12" s="455" t="str">
        <f>_xll.BDP(B12&amp;" Equity","DVD_EX_DT")</f>
        <v>12/06/2025</v>
      </c>
    </row>
    <row r="13" spans="1:39">
      <c r="B13" s="40" t="s">
        <v>2144</v>
      </c>
      <c r="C13" t="s">
        <v>1907</v>
      </c>
      <c r="E13" t="s">
        <v>194</v>
      </c>
      <c r="F13" s="22" t="str">
        <f>IF(T13&gt;0,"Long","Short")</f>
        <v>Long</v>
      </c>
      <c r="G13" s="15"/>
      <c r="H13" s="456">
        <v>3510</v>
      </c>
      <c r="I13" s="36" cm="1">
        <f t="array" ref="I13">_xll.BDP(B13&amp;" Equity","LAST_PRICE")</f>
        <v>162.43</v>
      </c>
      <c r="J13" s="51">
        <f t="shared" si="2"/>
        <v>-5.5377799655431659E-4</v>
      </c>
      <c r="K13" s="438" cm="1">
        <f t="array" ref="K13">_xll.BDP(B13&amp;" EQUITY","PX_YEST_CLOSE")</f>
        <v>162.52000000000001</v>
      </c>
      <c r="L13" s="53" cm="1">
        <f t="array" ref="L13">_xll.BDP(E13&amp;" Curncy","PX_LAST")</f>
        <v>1</v>
      </c>
      <c r="M13" s="52">
        <v>1</v>
      </c>
      <c r="N13" s="15">
        <f t="shared" si="3"/>
        <v>570129.30000000005</v>
      </c>
      <c r="O13" s="357">
        <f>IFERROR(IF(Tabelad[[#This Row],[D1 Exp USD]]&lt;&gt;0,N13/$AE$7,0),"-")</f>
        <v>2.3793416259445464E-4</v>
      </c>
      <c r="P13" s="20">
        <f>IFERROR(IF(Tabelad[[#This Row],[D1 Exp USD]]&lt;&gt;0,((I13-K13)/L13*M13*H13)/$AD$7*10000,0),"-")</f>
        <v>-1.3183571158961846E-3</v>
      </c>
      <c r="Q13" s="15">
        <f>IF(SUM(SUMIFS(Options!$AL$4:$AL$23, Options!$D$4:$D$23, B13), SUMIFS(Options!$AL$4:$AL$23, Options!$D$4:$D$23, B13 &amp; " US"))=0,0,SUM(SUMIFS(Options!$AL$4:$AL$23, Options!$D$4:$D$23, B13), SUMIFS(Options!$AL$4:$AL$23, Options!$D$4:$D$23, B13 &amp; " US")))</f>
        <v>0</v>
      </c>
      <c r="R13" s="19">
        <f t="shared" si="4"/>
        <v>0</v>
      </c>
      <c r="S13" s="20">
        <f>IF(SUM(SUMIFS(Options!$AK$4:$AK$23, Options!$D$4:$D$23, B13), SUMIFS(Options!$AK$4:$AK$23, Options!$D$4:$D$23, B13 &amp; " US"))=0,0,SUM(SUMIFS(Options!$AK$4:$AK$23, Options!$D$4:$D$23, B13), SUMIFS(Options!AK$4:$AK$23, Options!$D$4:$D$23, B13 &amp; " US")))</f>
        <v>0</v>
      </c>
      <c r="T13" s="13">
        <f t="shared" si="5"/>
        <v>570129.30000000005</v>
      </c>
      <c r="U13" s="48">
        <f t="shared" si="6"/>
        <v>2.3793416259445464E-4</v>
      </c>
      <c r="V13" s="20">
        <f t="shared" si="7"/>
        <v>-1.3183571158961846E-3</v>
      </c>
      <c r="W13" s="15">
        <f t="shared" si="8"/>
        <v>5163.1929883642179</v>
      </c>
      <c r="X13" s="19"/>
      <c r="Y13" s="375">
        <f>Tabelad[[#This Row],[Exp %]]*$Y$10*$AD$7/Tabelad[[#This Row],[Price Today]]</f>
        <v>1228.5</v>
      </c>
      <c r="Z13" s="266">
        <f>Tabelad[[#This Row],[Vol 10d]]/16*Tabelad[[#This Row],[Exp %]]*100</f>
        <v>7.8994535645430616E-2</v>
      </c>
      <c r="AA13" s="19">
        <f>Tabelad[[#This Row],[Exp %]]*Tabelad[[#This Row],[Beta Adj2]]</f>
        <v>2.4633783739884234E-4</v>
      </c>
      <c r="AB13" s="36">
        <f>_xll.BDP($B13&amp;" Equity","volatility_10d")</f>
        <v>53.120264721344682</v>
      </c>
      <c r="AC13" s="36">
        <f>_xll.BDP(B13&amp;" EQUITY","eqy_beta")</f>
        <v>1.0353193283081055</v>
      </c>
      <c r="AD13" s="15">
        <f>Tabelad[[#This Row],[D1 P&amp;L bps]]*$AD$5/10000</f>
        <v>-296.10763144501709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9"/>
        <v>#VALUE!</v>
      </c>
      <c r="AI13" s="455" t="str">
        <f>_xll.BDP(B13&amp;" Equity","DVD_EX_DT")</f>
        <v>#N/A Field Not Applicable</v>
      </c>
    </row>
    <row r="14" spans="1:39">
      <c r="B14" s="40" t="s">
        <v>38</v>
      </c>
      <c r="C14" t="s">
        <v>1907</v>
      </c>
      <c r="E14" t="s">
        <v>194</v>
      </c>
      <c r="F14" s="22" t="str">
        <f>IF(T14&gt;0,"Long","Short")</f>
        <v>Long</v>
      </c>
      <c r="G14" s="15"/>
      <c r="H14" s="456"/>
      <c r="I14" s="36" cm="1">
        <f t="array" ref="I14">_xll.BDP(B14&amp;" Equity","LAST_PRICE")</f>
        <v>33.49</v>
      </c>
      <c r="J14" s="51">
        <f t="shared" si="2"/>
        <v>-5.9364796675570597E-3</v>
      </c>
      <c r="K14" s="438" cm="1">
        <f t="array" ref="K14">_xll.BDP(B14&amp;" EQUITY","PX_YEST_CLOSE")</f>
        <v>33.69</v>
      </c>
      <c r="L14" s="53" cm="1">
        <f t="array" ref="L14">_xll.BDP(E14&amp;" Curncy","PX_LAST")</f>
        <v>1</v>
      </c>
      <c r="M14" s="52">
        <v>1</v>
      </c>
      <c r="N14" s="15">
        <f t="shared" si="3"/>
        <v>0</v>
      </c>
      <c r="O14" s="357">
        <f>IFERROR(IF(Tabelad[[#This Row],[D1 Exp USD]]&lt;&gt;0,N14/$AE$7,0),"-")</f>
        <v>0</v>
      </c>
      <c r="P14" s="20">
        <f>IFERROR(IF(Tabelad[[#This Row],[D1 Exp USD]]&lt;&gt;0,((I14-K14)/L14*M14*H14)/$AD$7*10000,0),"-")</f>
        <v>0</v>
      </c>
      <c r="Q14" s="15">
        <f>IF(SUM(SUMIFS(Options!$AL$4:$AL$23, Options!$D$4:$D$23, B14), SUMIFS(Options!$AL$4:$AL$23, Options!$D$4:$D$23, B14 &amp; " US"))=0,0,SUM(SUMIFS(Options!$AL$4:$AL$23, Options!$D$4:$D$23, B14), SUMIFS(Options!$AL$4:$AL$23, Options!$D$4:$D$23, B14 &amp; " US")))</f>
        <v>1411991.6444420815</v>
      </c>
      <c r="R14" s="19">
        <f t="shared" si="4"/>
        <v>5.8927167839066259E-4</v>
      </c>
      <c r="S14" s="20">
        <f>IF(SUM(SUMIFS(Options!$AK$4:$AK$23, Options!$D$4:$D$23, B14), SUMIFS(Options!$AK$4:$AK$23, Options!$D$4:$D$23, B14 &amp; " US"))=0,0,SUM(SUMIFS(Options!$AK$4:$AK$23, Options!$D$4:$D$23, B14), SUMIFS(Options!AK$4:$AK$23, Options!$D$4:$D$23, B14 &amp; " US")))</f>
        <v>-7.026450663997752E-2</v>
      </c>
      <c r="T14" s="13">
        <f t="shared" si="5"/>
        <v>1411991.6444420815</v>
      </c>
      <c r="U14" s="48">
        <f t="shared" si="6"/>
        <v>5.8927167839066259E-4</v>
      </c>
      <c r="V14" s="20">
        <f t="shared" si="7"/>
        <v>-7.026450663997752E-2</v>
      </c>
      <c r="W14" s="15">
        <f t="shared" si="8"/>
        <v>25042.025592714243</v>
      </c>
      <c r="X14" s="19"/>
      <c r="Y14" s="375">
        <f>Tabelad[[#This Row],[Exp %]]*$Y$10*$AD$7/Tabelad[[#This Row],[Price Today]]</f>
        <v>14756.556451320648</v>
      </c>
      <c r="Z14" s="266">
        <f>Tabelad[[#This Row],[Vol 10d]]/16*Tabelad[[#This Row],[Exp %]]*100</f>
        <v>5.4969577123108758E-2</v>
      </c>
      <c r="AA14" s="19">
        <f>Tabelad[[#This Row],[Exp %]]*Tabelad[[#This Row],[Beta Adj2]]</f>
        <v>6.7463134304813458E-4</v>
      </c>
      <c r="AB14" s="36">
        <f>_xll.BDP($B14&amp;" Equity","volatility_10d")</f>
        <v>14.925428562454337</v>
      </c>
      <c r="AC14" s="36">
        <f>_xll.BDP(B14&amp;" EQUITY","eqy_beta")</f>
        <v>1.1448562145233154</v>
      </c>
      <c r="AD14" s="15">
        <f>Tabelad[[#This Row],[D1 P&amp;L bps]]*$AD$5/10000</f>
        <v>0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-8.0142619999999994E-3</v>
      </c>
      <c r="AH14" s="20">
        <f t="shared" si="9"/>
        <v>-4.7225776198025086E-2</v>
      </c>
      <c r="AI14" s="455" t="str">
        <f>_xll.BDP(B14&amp;" Equity","DVD_EX_DT")</f>
        <v>19/12/2025</v>
      </c>
    </row>
    <row r="15" spans="1:39">
      <c r="B15" s="40" t="s">
        <v>131</v>
      </c>
      <c r="C15" t="s">
        <v>2139</v>
      </c>
      <c r="E15" t="s">
        <v>194</v>
      </c>
      <c r="F15" s="22"/>
      <c r="G15" s="15"/>
      <c r="H15" s="456">
        <v>14800</v>
      </c>
      <c r="I15" s="36" cm="1">
        <f t="array" ref="I15">_xll.BDP(B15&amp;" Equity","LAST_PRICE")</f>
        <v>106.32</v>
      </c>
      <c r="J15" s="51">
        <f t="shared" ref="J15:J17" si="10">I15/K15-1</f>
        <v>1.0934677189312403E-2</v>
      </c>
      <c r="K15" s="438" cm="1">
        <f t="array" ref="K15">_xll.BDP(B15&amp;" EQUITY","PX_YEST_CLOSE")</f>
        <v>105.17</v>
      </c>
      <c r="L15" s="53" cm="1">
        <f t="array" ref="L15">_xll.BDP(E15&amp;" Curncy","PX_LAST")</f>
        <v>1</v>
      </c>
      <c r="M15" s="52">
        <v>1</v>
      </c>
      <c r="N15" s="15">
        <f t="shared" ref="N15:N17" si="11">IFERROR(IF(((I15/L15)*H15*M15)&lt;&gt;0,((I15/L15)*H15*M15),0),"-")</f>
        <v>1573536</v>
      </c>
      <c r="O15" s="357">
        <f>IFERROR(IF(Tabelad[[#This Row],[D1 Exp USD]]&lt;&gt;0,N15/$AE$7,0),"-")</f>
        <v>6.566895798413233E-4</v>
      </c>
      <c r="P15" s="20">
        <f>IFERROR(IF(Tabelad[[#This Row],[D1 Exp USD]]&lt;&gt;0,((I15-K15)/L15*M15*H15)/$AD$7*10000,0),"-")</f>
        <v>7.1030193455372093E-2</v>
      </c>
      <c r="Q15" s="15">
        <f>IF(SUM(SUMIFS(Options!$AL$4:$AL$23, Options!$D$4:$D$23, B15), SUMIFS(Options!$AL$4:$AL$23, Options!$D$4:$D$23, B15 &amp; " US"))=0,0,SUM(SUMIFS(Options!$AL$4:$AL$23, Options!$D$4:$D$23, B15), SUMIFS(Options!$AL$4:$AL$23, Options!$D$4:$D$23, B15 &amp; " US")))</f>
        <v>1141157.8495502481</v>
      </c>
      <c r="R15" s="19">
        <f t="shared" ref="R15" si="12">Q15/$AE$7</f>
        <v>4.7624361231886684E-4</v>
      </c>
      <c r="S15" s="20">
        <f>IF(SUM(SUMIFS(Options!$AK$4:$AK$23, Options!$D$4:$D$23, B15), SUMIFS(Options!$AK$4:$AK$23, Options!$D$4:$D$23, B15 &amp; " US"))=0,0,SUM(SUMIFS(Options!$AK$4:$AK$23, Options!$D$4:$D$23, B15), SUMIFS(Options!AK$4:$AK$23, Options!$D$4:$D$23, B15 &amp; " US")))</f>
        <v>9.1813411046897359E-2</v>
      </c>
      <c r="T15" s="13">
        <f t="shared" ref="T15:T17" si="13">N15+Q15</f>
        <v>2714693.8495502481</v>
      </c>
      <c r="U15" s="48">
        <f t="shared" ref="U15:U17" si="14">T15/$AE$7</f>
        <v>1.1329331921601901E-3</v>
      </c>
      <c r="V15" s="20">
        <f t="shared" ref="V15:V17" si="15">P15+S15</f>
        <v>0.16284360450226945</v>
      </c>
      <c r="W15" s="15">
        <f t="shared" si="8"/>
        <v>7888.0496341234011</v>
      </c>
      <c r="X15" s="19"/>
      <c r="Y15" s="375">
        <f>Tabelad[[#This Row],[Exp %]]*$Y$10*$AD$7/Tabelad[[#This Row],[Price Today]]</f>
        <v>8936.6332519054449</v>
      </c>
      <c r="Z15" s="266">
        <f>Tabelad[[#This Row],[Vol 10d]]/16*Tabelad[[#This Row],[Exp %]]*100</f>
        <v>0.25162677496042868</v>
      </c>
      <c r="AA15" s="19">
        <f>Tabelad[[#This Row],[Exp %]]*Tabelad[[#This Row],[Beta Adj2]]</f>
        <v>1.1219647411051287E-3</v>
      </c>
      <c r="AB15" s="36">
        <f>_xll.BDP($B15&amp;" Equity","volatility_10d")</f>
        <v>35.536326653916248</v>
      </c>
      <c r="AC15" s="36">
        <f>_xll.BDP(B15&amp;" EQUITY","eqy_beta")</f>
        <v>0.99031853675842285</v>
      </c>
      <c r="AD15" s="15">
        <f>Tabelad[[#This Row],[D1 P&amp;L bps]]*$AD$5/10000</f>
        <v>15953.630538758982</v>
      </c>
      <c r="AE15" s="277"/>
      <c r="AF15" s="231" t="str">
        <f>_xll.BDP(B15&amp;" Equity","EXPECTED_REPORT_DT")</f>
        <v>#N/A N/A</v>
      </c>
      <c r="AG15" s="172">
        <f>_xll.BDP(B15&amp;" Index","CHG_PCT_1D_PRE_FROM_REGULAR")/100</f>
        <v>3.0426900000000002E-3</v>
      </c>
      <c r="AH15" s="20">
        <f t="shared" si="9"/>
        <v>3.4471644944538887E-2</v>
      </c>
      <c r="AI15" s="455" t="str">
        <f>_xll.BDP(B15&amp;" Equity","DVD_EX_DT")</f>
        <v>22/12/2025</v>
      </c>
    </row>
    <row r="16" spans="1:39">
      <c r="B16" s="40" t="s">
        <v>2152</v>
      </c>
      <c r="C16" t="s">
        <v>2259</v>
      </c>
      <c r="E16" t="s">
        <v>194</v>
      </c>
      <c r="F16" s="22" t="s">
        <v>99</v>
      </c>
      <c r="G16" s="15"/>
      <c r="H16" s="456">
        <v>14800</v>
      </c>
      <c r="I16" s="36" cm="1">
        <f t="array" ref="I16">_xll.BDP(B16&amp;" Equity","LAST_PRICE")</f>
        <v>331.75</v>
      </c>
      <c r="J16" s="51">
        <f t="shared" si="10"/>
        <v>2.7505742957321111E-3</v>
      </c>
      <c r="K16" s="438" cm="1">
        <f t="array" ref="K16">_xll.BDP(B16&amp;" EQUITY","PX_YEST_CLOSE")</f>
        <v>330.84</v>
      </c>
      <c r="L16" s="53" cm="1">
        <f t="array" ref="L16">_xll.BDP(E16&amp;" Curncy","PX_LAST")</f>
        <v>1</v>
      </c>
      <c r="M16" s="52">
        <v>1</v>
      </c>
      <c r="N16" s="15">
        <f t="shared" si="11"/>
        <v>4909900</v>
      </c>
      <c r="O16" s="357">
        <f>IFERROR(IF(Tabelad[[#This Row],[D1 Exp USD]]&lt;&gt;0,N16/$AE$7,0),"-")</f>
        <v>2.0490666677234668E-3</v>
      </c>
      <c r="P16" s="20">
        <f>IFERROR(IF(Tabelad[[#This Row],[D1 Exp USD]]&lt;&gt;0,((I16-K16)/L16*M16*H16)/$AD$7*10000,0),"-")</f>
        <v>5.6206500908165979E-2</v>
      </c>
      <c r="Q16" s="15">
        <f>IF(SUM(SUMIFS(Options!$AL$4:$AL$23, Options!$D$4:$D$23, B16), SUMIFS(Options!$AL$4:$AL$23, Options!$D$4:$D$23, B16 &amp; " US"))=0,0,SUM(SUMIFS(Options!$AL$4:$AL$23, Options!$D$4:$D$23, B16), SUMIFS(Options!$AL$4:$AL$23, Options!$D$4:$D$23, B16 &amp; " US")))</f>
        <v>0</v>
      </c>
      <c r="R16" s="19">
        <f t="shared" ref="R16:R33" si="16">Q16/$AE$7</f>
        <v>0</v>
      </c>
      <c r="S16" s="20">
        <f>IF(SUM(SUMIFS(Options!$AK$4:$AK$23, Options!$D$4:$D$23, B16), SUMIFS(Options!$AK$4:$AK$23, Options!$D$4:$D$23, B16 &amp; " US"))=0,0,SUM(SUMIFS(Options!$AK$4:$AK$23, Options!$D$4:$D$23, B16), SUMIFS(Options!AK$4:$AK$23, Options!$D$4:$D$23, B16 &amp; " US")))</f>
        <v>0</v>
      </c>
      <c r="T16" s="13">
        <f t="shared" si="13"/>
        <v>4909900</v>
      </c>
      <c r="U16" s="48">
        <f t="shared" si="14"/>
        <v>2.0490666677234668E-3</v>
      </c>
      <c r="V16" s="20">
        <f t="shared" si="15"/>
        <v>5.6206500908165979E-2</v>
      </c>
      <c r="W16" s="15">
        <f t="shared" si="8"/>
        <v>2527.9802173323287</v>
      </c>
      <c r="X16" s="19"/>
      <c r="Y16" s="375">
        <f>Tabelad[[#This Row],[Exp %]]*$Y$10*$AD$7/Tabelad[[#This Row],[Price Today]]</f>
        <v>5180</v>
      </c>
      <c r="Z16" s="266">
        <f>Tabelad[[#This Row],[Vol 10d]]/16*Tabelad[[#This Row],[Exp %]]*100</f>
        <v>0.27785539346833737</v>
      </c>
      <c r="AA16" s="19">
        <f>Tabelad[[#This Row],[Exp %]]*Tabelad[[#This Row],[Beta Adj2]]</f>
        <v>2.0878791083613632E-3</v>
      </c>
      <c r="AB16" s="36">
        <f>_xll.BDP($B16&amp;" Equity","volatility_10d")</f>
        <v>21.696152524078677</v>
      </c>
      <c r="AC16" s="36" cm="1">
        <f t="array" ref="AC16">_xll.BDP(B16&amp;" EQUITY","eqy_beta")</f>
        <v>1.0189415216445923</v>
      </c>
      <c r="AD16" s="15">
        <f>Tabelad[[#This Row],[D1 P&amp;L bps]]*$AD$5/10000</f>
        <v>12624.177208931464</v>
      </c>
      <c r="AE16" s="277"/>
      <c r="AF16" s="231" t="str">
        <f>_xll.BDP(B16&amp;" Equity","EXPECTED_REPORT_DT")</f>
        <v>04/02/2026</v>
      </c>
      <c r="AG16" s="172">
        <f>_xll.BDP(B16&amp;" Index","CHG_PCT_1D_PRE_FROM_REGULAR")/100</f>
        <v>5.6522640000000006E-3</v>
      </c>
      <c r="AH16" s="20">
        <f t="shared" si="9"/>
        <v>0.11581865759573313</v>
      </c>
      <c r="AI16" s="455" t="str">
        <f>_xll.BDP(B16&amp;" Equity","DVD_EX_DT")</f>
        <v>08/12/2025</v>
      </c>
    </row>
    <row r="17" spans="1:35">
      <c r="B17" s="40" t="s">
        <v>399</v>
      </c>
      <c r="C17" t="s">
        <v>2259</v>
      </c>
      <c r="E17" t="s">
        <v>194</v>
      </c>
      <c r="F17" s="22" t="s">
        <v>99</v>
      </c>
      <c r="G17" s="15"/>
      <c r="H17" s="456">
        <v>11435</v>
      </c>
      <c r="I17" s="36" cm="1">
        <f t="array" ref="I17">_xll.BDP(B17&amp;" Equity","LAST_PRICE")</f>
        <v>237.66499999999999</v>
      </c>
      <c r="J17" s="51">
        <f t="shared" si="10"/>
        <v>1.4188785525305114E-2</v>
      </c>
      <c r="K17" s="438" cm="1">
        <f t="array" ref="K17">_xll.BDP(B17&amp;" EQUITY","PX_YEST_CLOSE")</f>
        <v>234.34</v>
      </c>
      <c r="L17" s="53" cm="1">
        <f t="array" ref="L17">_xll.BDP(E17&amp;" Curncy","PX_LAST")</f>
        <v>1</v>
      </c>
      <c r="M17" s="52">
        <v>1</v>
      </c>
      <c r="N17" s="15">
        <f t="shared" si="11"/>
        <v>2717699.2749999999</v>
      </c>
      <c r="O17" s="357">
        <f>IFERROR(IF(Tabelad[[#This Row],[D1 Exp USD]]&lt;&gt;0,N17/$AE$7,0),"-")</f>
        <v>1.1341874574428668E-3</v>
      </c>
      <c r="P17" s="20">
        <f>IFERROR(IF(Tabelad[[#This Row],[D1 Exp USD]]&lt;&gt;0,((I17-K17)/L17*M17*H17)/$AD$7*10000,0),"-")</f>
        <v>0.15867600597469209</v>
      </c>
      <c r="Q17" s="15">
        <f>IF(SUM(SUMIFS(Options!$AL$4:$AL$23, Options!$D$4:$D$23, B17), SUMIFS(Options!$AL$4:$AL$23, Options!$D$4:$D$23, B17 &amp; " US"))=0,0,SUM(SUMIFS(Options!$AL$4:$AL$23, Options!$D$4:$D$23, B17), SUMIFS(Options!$AL$4:$AL$23, Options!$D$4:$D$23, B17 &amp; " US")))</f>
        <v>622574.83832836151</v>
      </c>
      <c r="R17" s="19">
        <f t="shared" si="16"/>
        <v>2.5982145244953501E-4</v>
      </c>
      <c r="S17" s="20">
        <f>IF(SUM(SUMIFS(Options!$AK$4:$AK$23, Options!$D$4:$D$23, B17), SUMIFS(Options!$AK$4:$AK$23, Options!$D$4:$D$23, B17 &amp; " US"))=0,0,SUM(SUMIFS(Options!$AK$4:$AK$23, Options!$D$4:$D$23, B17), SUMIFS(Options!AK$4:$AK$23, Options!$D$4:$D$23, B17 &amp; " US")))</f>
        <v>3.7038364683691628E-2</v>
      </c>
      <c r="T17" s="13">
        <f t="shared" si="13"/>
        <v>3340274.1133283614</v>
      </c>
      <c r="U17" s="48">
        <f t="shared" si="14"/>
        <v>1.3940089098924018E-3</v>
      </c>
      <c r="V17" s="20">
        <f t="shared" si="15"/>
        <v>0.19571437065838371</v>
      </c>
      <c r="W17" s="15">
        <f t="shared" si="8"/>
        <v>3528.737664780258</v>
      </c>
      <c r="X17" s="19"/>
      <c r="Y17" s="375">
        <f>Tabelad[[#This Row],[Exp %]]*$Y$10*$AD$7/Tabelad[[#This Row],[Price Today]]</f>
        <v>4919.091745376586</v>
      </c>
      <c r="Z17" s="266">
        <f>Tabelad[[#This Row],[Vol 10d]]/16*Tabelad[[#This Row],[Exp %]]*100</f>
        <v>0.23404050862743994</v>
      </c>
      <c r="AA17" s="19">
        <f>Tabelad[[#This Row],[Exp %]]*Tabelad[[#This Row],[Beta Adj2]]</f>
        <v>1.7832304301513453E-3</v>
      </c>
      <c r="AB17" s="36">
        <f>_xll.BDP($B17&amp;" Equity","volatility_10d")</f>
        <v>26.862440487041606</v>
      </c>
      <c r="AC17" s="36" cm="1">
        <f t="array" ref="AC17">_xll.BDP(B17&amp;" EQUITY","eqy_beta")</f>
        <v>1.2792102098464966</v>
      </c>
      <c r="AD17" s="15">
        <f>Tabelad[[#This Row],[D1 P&amp;L bps]]*$AD$5/10000</f>
        <v>35639.187386933598</v>
      </c>
      <c r="AE17" s="277"/>
      <c r="AF17" s="231" t="str">
        <f>_xll.BDP(B17&amp;" Equity","EXPECTED_REPORT_DT")</f>
        <v>05/02/2026</v>
      </c>
      <c r="AG17" s="172">
        <f>_xll.BDP(B17&amp;" Index","CHG_PCT_1D_PRE_FROM_REGULAR")/100</f>
        <v>1.6642460000000001E-3</v>
      </c>
      <c r="AH17" s="20">
        <f t="shared" si="9"/>
        <v>2.3199737522527901E-2</v>
      </c>
      <c r="AI17" s="455" t="str">
        <f>_xll.BDP(B17&amp;" Equity","DVD_EX_DT")</f>
        <v>#N/A Field Not Applicable</v>
      </c>
    </row>
    <row r="18" spans="1:35">
      <c r="B18" s="40" t="s">
        <v>81</v>
      </c>
      <c r="C18" t="s">
        <v>2259</v>
      </c>
      <c r="E18" t="s">
        <v>194</v>
      </c>
      <c r="F18" s="22" t="s">
        <v>99</v>
      </c>
      <c r="G18" s="15"/>
      <c r="H18" s="456">
        <v>1345</v>
      </c>
      <c r="I18" s="36" cm="1">
        <f t="array" ref="I18">_xll.BDP(B18&amp;" Equity","LAST_PRICE")</f>
        <v>657.13499999999999</v>
      </c>
      <c r="J18" s="51">
        <f t="shared" si="2"/>
        <v>1.4676590028256831E-2</v>
      </c>
      <c r="K18" s="438" cm="1">
        <f t="array" ref="K18">_xll.BDP(B18&amp;" EQUITY","PX_YEST_CLOSE")</f>
        <v>647.63</v>
      </c>
      <c r="L18" s="53" cm="1">
        <f t="array" ref="L18">_xll.BDP(E18&amp;" Curncy","PX_LAST")</f>
        <v>1</v>
      </c>
      <c r="M18" s="52">
        <v>1</v>
      </c>
      <c r="N18" s="15">
        <f t="shared" si="3"/>
        <v>883846.57499999995</v>
      </c>
      <c r="O18" s="357">
        <f>IFERROR(IF(Tabelad[[#This Row],[D1 Exp USD]]&lt;&gt;0,N18/$AE$7,0),"-")</f>
        <v>3.6885894951303472E-4</v>
      </c>
      <c r="P18" s="20">
        <f>IFERROR(IF(Tabelad[[#This Row],[D1 Exp USD]]&lt;&gt;0,((I18-K18)/L18*M18*H18)/$AD$7*10000,0),"-")</f>
        <v>5.3352877492773829E-2</v>
      </c>
      <c r="Q18" s="15">
        <f>IF(SUM(SUMIFS(Options!$AL$4:$AL$23, Options!$D$4:$D$23, B18), SUMIFS(Options!$AL$4:$AL$23, Options!$D$4:$D$23, B18 &amp; " US"))=0,0,SUM(SUMIFS(Options!$AL$4:$AL$23, Options!$D$4:$D$23, B18), SUMIFS(Options!$AL$4:$AL$23, Options!$D$4:$D$23, B18 &amp; " US")))</f>
        <v>4430128.8845461607</v>
      </c>
      <c r="R18" s="19">
        <f t="shared" si="16"/>
        <v>1.848842019398049E-3</v>
      </c>
      <c r="S18" s="20">
        <f>IF(SUM(SUMIFS(Options!$AK$4:$AK$23, Options!$D$4:$D$23, B18), SUMIFS(Options!$AK$4:$AK$23, Options!$D$4:$D$23, B18 &amp; " US"))=0,0,SUM(SUMIFS(Options!$AK$4:$AK$23, Options!$D$4:$D$23, B18), SUMIFS(Options!AK$4:$AK$23, Options!$D$4:$D$23, B18 &amp; " US")))</f>
        <v>0.26057272055639402</v>
      </c>
      <c r="T18" s="13">
        <f t="shared" si="5"/>
        <v>5313975.4595461609</v>
      </c>
      <c r="U18" s="48">
        <f t="shared" si="6"/>
        <v>2.2177009689110837E-3</v>
      </c>
      <c r="V18" s="20">
        <f t="shared" si="7"/>
        <v>0.31392559804916786</v>
      </c>
      <c r="W18" s="15">
        <f t="shared" si="8"/>
        <v>1276.2330983740023</v>
      </c>
      <c r="X18" s="19"/>
      <c r="Y18" s="375">
        <f>Tabelad[[#This Row],[Exp %]]*$Y$10*$AD$7/Tabelad[[#This Row],[Price Today]]</f>
        <v>2830.3033788204193</v>
      </c>
      <c r="Z18" s="266">
        <f>Tabelad[[#This Row],[Vol 10d]]/16*Tabelad[[#This Row],[Exp %]]*100</f>
        <v>0.5884417822176049</v>
      </c>
      <c r="AA18" s="19">
        <f>Tabelad[[#This Row],[Exp %]]*Tabelad[[#This Row],[Beta Adj2]]</f>
        <v>2.6935447067940183E-3</v>
      </c>
      <c r="AB18" s="36">
        <f>_xll.BDP($B18&amp;" Equity","volatility_10d")</f>
        <v>42.454184073809479</v>
      </c>
      <c r="AC18" s="36" cm="1">
        <f t="array" ref="AC18">_xll.BDP(B18&amp;" EQUITY","eqy_beta")</f>
        <v>1.2145662307739258</v>
      </c>
      <c r="AD18" s="15">
        <f>Tabelad[[#This Row],[D1 P&amp;L bps]]*$AD$5/10000</f>
        <v>11983.243382747793</v>
      </c>
      <c r="AE18" s="277"/>
      <c r="AF18" s="231" t="str">
        <f>_xll.BDP(B18&amp;" Equity","EXPECTED_REPORT_DT")</f>
        <v>28/01/2026</v>
      </c>
      <c r="AG18" s="172" t="e">
        <f>_xll.BDP(B18&amp;" Index","CHG_PCT_1D_PRE_FROM_REGULAR")/100</f>
        <v>#VALUE!</v>
      </c>
      <c r="AH18" s="20" t="e">
        <f t="shared" si="9"/>
        <v>#VALUE!</v>
      </c>
      <c r="AI18" s="455" t="str">
        <f>_xll.BDP(B18&amp;" Equity","DVD_EX_DT")</f>
        <v>15/12/2025</v>
      </c>
    </row>
    <row r="19" spans="1:35">
      <c r="B19" s="40" t="s">
        <v>90</v>
      </c>
      <c r="C19" t="s">
        <v>2259</v>
      </c>
      <c r="E19" t="s">
        <v>194</v>
      </c>
      <c r="F19" s="22" t="s">
        <v>99</v>
      </c>
      <c r="G19" s="15"/>
      <c r="H19" s="456">
        <v>3500</v>
      </c>
      <c r="I19" s="36" cm="1">
        <f t="array" ref="I19">_xll.BDP(B19&amp;" Equity","LAST_PRICE")</f>
        <v>465.39499999999998</v>
      </c>
      <c r="J19" s="51">
        <f t="shared" si="2"/>
        <v>3.1597730194617979E-2</v>
      </c>
      <c r="K19" s="438" cm="1">
        <f t="array" ref="K19">_xll.BDP(B19&amp;" EQUITY","PX_YEST_CLOSE")</f>
        <v>451.14</v>
      </c>
      <c r="L19" s="53" cm="1">
        <f t="array" ref="L19">_xll.BDP(E19&amp;" Curncy","PX_LAST")</f>
        <v>1</v>
      </c>
      <c r="M19" s="52">
        <v>1</v>
      </c>
      <c r="N19" s="15">
        <f t="shared" si="3"/>
        <v>1628882.5</v>
      </c>
      <c r="O19" s="357">
        <f>IFERROR(IF(Tabelad[[#This Row],[D1 Exp USD]]&lt;&gt;0,N19/$AE$7,0),"-")</f>
        <v>6.7978753872544658E-4</v>
      </c>
      <c r="P19" s="20">
        <f>IFERROR(IF(Tabelad[[#This Row],[D1 Exp USD]]&lt;&gt;0,((I19-K19)/L19*M19*H19)/$AD$7*10000,0),"-")</f>
        <v>0.20821820957533357</v>
      </c>
      <c r="Q19" s="15">
        <f>IF(SUM(SUMIFS(Options!$AL$4:$AL$23, Options!$D$4:$D$23, B19), SUMIFS(Options!$AL$4:$AL$23, Options!$D$4:$D$23, B19 &amp; " US"))=0,0,SUM(SUMIFS(Options!$AL$4:$AL$23, Options!$D$4:$D$23, B19), SUMIFS(Options!$AL$4:$AL$23, Options!$D$4:$D$23, B19 &amp; " US")))</f>
        <v>1746580.3011380134</v>
      </c>
      <c r="R19" s="19">
        <f t="shared" si="16"/>
        <v>7.2890679597635761E-4</v>
      </c>
      <c r="S19" s="20">
        <f>IF(SUM(SUMIFS(Options!$AK$4:$AK$23, Options!$D$4:$D$23, B19), SUMIFS(Options!$AK$4:$AK$23, Options!$D$4:$D$23, B19 &amp; " US"))=0,0,SUM(SUMIFS(Options!$AK$4:$AK$23, Options!$D$4:$D$23, B19), SUMIFS(Options!AK$4:$AK$23, Options!$D$4:$D$23, B19 &amp; " US")))</f>
        <v>0.23167236276095021</v>
      </c>
      <c r="T19" s="13">
        <f t="shared" si="5"/>
        <v>3375462.8011380136</v>
      </c>
      <c r="U19" s="48">
        <f t="shared" si="6"/>
        <v>1.4086943347018043E-3</v>
      </c>
      <c r="V19" s="20">
        <f t="shared" si="7"/>
        <v>0.43989057233628381</v>
      </c>
      <c r="W19" s="15">
        <f t="shared" si="8"/>
        <v>1802.0336211175454</v>
      </c>
      <c r="X19" s="19"/>
      <c r="Y19" s="375">
        <f>Tabelad[[#This Row],[Exp %]]*$Y$10*$AD$7/Tabelad[[#This Row],[Price Today]]</f>
        <v>2538.5145530104637</v>
      </c>
      <c r="Z19" s="266">
        <f>Tabelad[[#This Row],[Vol 10d]]/16*Tabelad[[#This Row],[Exp %]]*100</f>
        <v>0.228951794242061</v>
      </c>
      <c r="AA19" s="19">
        <f>Tabelad[[#This Row],[Exp %]]*Tabelad[[#This Row],[Beta Adj2]]</f>
        <v>1.4405240186717847E-3</v>
      </c>
      <c r="AB19" s="36">
        <f>_xll.BDP($B19&amp;" Equity","volatility_10d")</f>
        <v>26.00442564176576</v>
      </c>
      <c r="AC19" s="36" cm="1">
        <f t="array" ref="AC19">_xll.BDP(B19&amp;" EQUITY","eqy_beta")</f>
        <v>1.0225951671600342</v>
      </c>
      <c r="AD19" s="15">
        <f>Tabelad[[#This Row],[D1 P&amp;L bps]]*$AD$5/10000</f>
        <v>46766.540050237265</v>
      </c>
      <c r="AE19" s="277"/>
      <c r="AF19" s="231" t="str">
        <f>_xll.BDP(B19&amp;" Equity","EXPECTED_REPORT_DT")</f>
        <v>28/01/2026</v>
      </c>
      <c r="AG19" s="172" t="e">
        <f>_xll.BDP(B19&amp;" Index","CHG_PCT_1D_PRE_FROM_REGULAR")/100</f>
        <v>#VALUE!</v>
      </c>
      <c r="AH19" s="20" t="e">
        <f t="shared" si="9"/>
        <v>#VALUE!</v>
      </c>
      <c r="AI19" s="455" t="str">
        <f>_xll.BDP(B19&amp;" Equity","DVD_EX_DT")</f>
        <v>19/02/2026</v>
      </c>
    </row>
    <row r="20" spans="1:35">
      <c r="B20" s="452" t="s">
        <v>2295</v>
      </c>
      <c r="C20" t="s">
        <v>2138</v>
      </c>
      <c r="E20" t="s">
        <v>2111</v>
      </c>
      <c r="F20" s="22" t="s">
        <v>99</v>
      </c>
      <c r="G20" s="15"/>
      <c r="H20" s="456">
        <v>2400</v>
      </c>
      <c r="I20" s="36" cm="1">
        <f t="array" ref="I20">_xll.BDP(B20&amp;" Equity","LAST_PRICE")</f>
        <v>767000</v>
      </c>
      <c r="J20" s="51">
        <f t="shared" si="2"/>
        <v>1.5894039735099286E-2</v>
      </c>
      <c r="K20" s="438" cm="1">
        <f t="array" ref="K20">_xll.BDP(B20&amp;" EQUITY","PX_YEST_CLOSE")</f>
        <v>755000</v>
      </c>
      <c r="L20" s="53" cm="1">
        <f t="array" ref="L20">_xll.BDP(E20&amp;" Curncy","PX_LAST")</f>
        <v>1467.95</v>
      </c>
      <c r="M20" s="52">
        <v>1</v>
      </c>
      <c r="N20" s="15">
        <f t="shared" si="3"/>
        <v>1253993.6646343539</v>
      </c>
      <c r="O20" s="357">
        <f>IFERROR(IF(Tabelad[[#This Row],[D1 Exp USD]]&lt;&gt;0,N20/$AE$7,0),"-")</f>
        <v>5.2333379900581568E-4</v>
      </c>
      <c r="P20" s="20">
        <f>IFERROR(IF(Tabelad[[#This Row],[D1 Exp USD]]&lt;&gt;0,((I20-K20)/L20*M20*H20)/$AD$7*10000,0),"-")</f>
        <v>8.187751744549919E-2</v>
      </c>
      <c r="Q20" s="15">
        <f>IF(SUM(SUMIFS(Options!$AL$4:$AL$23, Options!$D$4:$D$23, B20), SUMIFS(Options!$AL$4:$AL$23, Options!$D$4:$D$23, B20 &amp; " US"))=0,0,SUM(SUMIFS(Options!$AL$4:$AL$23, Options!$D$4:$D$23, B20), SUMIFS(Options!$AL$4:$AL$23, Options!$D$4:$D$23, B20 &amp; " US")))</f>
        <v>0</v>
      </c>
      <c r="R20" s="19">
        <f t="shared" si="16"/>
        <v>0</v>
      </c>
      <c r="S20" s="20">
        <f>IF(SUM(SUMIFS(Options!$AK$4:$AK$23, Options!$D$4:$D$23, B20), SUMIFS(Options!$AK$4:$AK$23, Options!$D$4:$D$23, B20 &amp; " US"))=0,0,SUM(SUMIFS(Options!$AK$4:$AK$23, Options!$D$4:$D$23, B20), SUMIFS(Options!AK$4:$AK$23, Options!$D$4:$D$23, B20 &amp; " US")))</f>
        <v>0</v>
      </c>
      <c r="T20" s="13">
        <f t="shared" si="5"/>
        <v>1253993.6646343539</v>
      </c>
      <c r="U20" s="48">
        <f t="shared" si="6"/>
        <v>5.2333379900581568E-4</v>
      </c>
      <c r="V20" s="20">
        <f t="shared" si="7"/>
        <v>8.187751744549919E-2</v>
      </c>
      <c r="W20" s="15">
        <f t="shared" si="8"/>
        <v>1605.094113156382</v>
      </c>
      <c r="X20" s="19"/>
      <c r="Y20" s="375">
        <f>Tabelad[[#This Row],[Exp %]]*$Y$10*$AD$7/Tabelad[[#This Row],[Price Today]]</f>
        <v>0.57222657447460745</v>
      </c>
      <c r="Z20" s="266">
        <f>Tabelad[[#This Row],[Vol 10d]]/16*Tabelad[[#This Row],[Exp %]]*100</f>
        <v>8.1610373451813656E-2</v>
      </c>
      <c r="AA20" s="19">
        <f>Tabelad[[#This Row],[Exp %]]*Tabelad[[#This Row],[Beta Adj2]]</f>
        <v>8.3174278010072697E-4</v>
      </c>
      <c r="AB20" s="36">
        <f>_xll.BDP($B20&amp;" Equity","volatility_10d")</f>
        <v>24.95092</v>
      </c>
      <c r="AC20" s="36" cm="1">
        <f t="array" ref="AC20">_xll.BDP(B20&amp;" EQUITY","eqy_beta")</f>
        <v>1.589316</v>
      </c>
      <c r="AD20" s="15">
        <f>Tabelad[[#This Row],[D1 P&amp;L bps]]*$AD$5/10000</f>
        <v>18389.977546337293</v>
      </c>
      <c r="AE20" s="277"/>
      <c r="AF20" s="231" t="str">
        <f>_xll.BDP(B20&amp;" Equity","EXPECTED_REPORT_DT")</f>
        <v>29/01/2026</v>
      </c>
      <c r="AG20" s="172" t="e">
        <f>_xll.BDP(B20&amp;" Index","CHG_PCT_1D_PRE_FROM_REGULAR")/100</f>
        <v>#VALUE!</v>
      </c>
      <c r="AH20" s="20" t="e">
        <f t="shared" si="9"/>
        <v>#VALUE!</v>
      </c>
      <c r="AI20" s="455" t="str">
        <f>_xll.BDP(B20&amp;" Equity","DVD_EX_DT")</f>
        <v>27/11/2025</v>
      </c>
    </row>
    <row r="21" spans="1:35">
      <c r="B21" s="40" t="s">
        <v>2298</v>
      </c>
      <c r="C21" t="s">
        <v>2138</v>
      </c>
      <c r="E21" t="s">
        <v>194</v>
      </c>
      <c r="F21" s="22" t="s">
        <v>99</v>
      </c>
      <c r="G21" s="15"/>
      <c r="H21" s="456"/>
      <c r="I21" s="36" cm="1">
        <f t="array" ref="I21">_xll.BDP(B21&amp;" Equity","LAST_PRICE")</f>
        <v>500.75</v>
      </c>
      <c r="J21" s="51">
        <f t="shared" ref="J21" si="17">I21/K21-1</f>
        <v>-5.3432385189893239E-3</v>
      </c>
      <c r="K21" s="438" cm="1">
        <f t="array" ref="K21">_xll.BDP(B21&amp;" EQUITY","PX_YEST_CLOSE")</f>
        <v>503.44</v>
      </c>
      <c r="L21" s="53" cm="1">
        <f t="array" ref="L21">_xll.BDP(E21&amp;" Curncy","PX_LAST")</f>
        <v>1</v>
      </c>
      <c r="M21" s="52">
        <v>1</v>
      </c>
      <c r="N21" s="15">
        <f t="shared" ref="N21" si="18">IFERROR(IF(((I21/L21)*H21*M21)&lt;&gt;0,((I21/L21)*H21*M21),0),"-")</f>
        <v>0</v>
      </c>
      <c r="O21" s="357">
        <f>IFERROR(IF(Tabelad[[#This Row],[D1 Exp USD]]&lt;&gt;0,N21/$AE$7,0),"-")</f>
        <v>0</v>
      </c>
      <c r="P21" s="20">
        <f>IFERROR(IF(Tabelad[[#This Row],[D1 Exp USD]]&lt;&gt;0,((I21-K21)/L21*M21*H21)/$AD$7*10000,0),"-")</f>
        <v>0</v>
      </c>
      <c r="Q21" s="15">
        <f>IF(SUM(SUMIFS(Options!$AL$4:$AL$23, Options!$D$4:$D$23, B21), SUMIFS(Options!$AL$4:$AL$23, Options!$D$4:$D$23, B21 &amp; " US"))=0,0,SUM(SUMIFS(Options!$AL$4:$AL$23, Options!$D$4:$D$23, B21), SUMIFS(Options!$AL$4:$AL$23, Options!$D$4:$D$23, B21 &amp; " US")))</f>
        <v>329298.05785417557</v>
      </c>
      <c r="R21" s="19">
        <f t="shared" si="16"/>
        <v>1.374271724668659E-4</v>
      </c>
      <c r="S21" s="20">
        <f>IF(SUM(SUMIFS(Options!$AK$4:$AK$23, Options!$D$4:$D$23, B21), SUMIFS(Options!$AK$4:$AK$23, Options!$D$4:$D$23, B21 &amp; " US"))=0,0,SUM(SUMIFS(Options!$AK$4:$AK$23, Options!$D$4:$D$23, B21), SUMIFS(Options!AK$4:$AK$23, Options!$D$4:$D$23, B21 &amp; " US")))</f>
        <v>-1.377201165703462E-2</v>
      </c>
      <c r="T21" s="13">
        <f t="shared" ref="T21" si="19">N21+Q21</f>
        <v>329298.05785417557</v>
      </c>
      <c r="U21" s="48">
        <f t="shared" ref="U21" si="20">T21/$AE$7</f>
        <v>1.374271724668659E-4</v>
      </c>
      <c r="V21" s="20">
        <f t="shared" ref="V21" si="21">P21+S21</f>
        <v>-1.377201165703462E-2</v>
      </c>
      <c r="W21" s="15">
        <f t="shared" ref="W21" si="22">$W$10/(I21/L21*M21)</f>
        <v>1674.8026701947078</v>
      </c>
      <c r="X21" s="19"/>
      <c r="Y21" s="375">
        <f>Tabelad[[#This Row],[Exp %]]*$Y$10*$AD$7/Tabelad[[#This Row],[Price Today]]</f>
        <v>230.16339540481565</v>
      </c>
      <c r="Z21" s="266">
        <f>Tabelad[[#This Row],[Vol 10d]]/16*Tabelad[[#This Row],[Exp %]]*100</f>
        <v>5.8339561445304638E-2</v>
      </c>
      <c r="AA21" s="19" t="e">
        <f>Tabelad[[#This Row],[Exp %]]*Tabelad[[#This Row],[Beta Adj2]]</f>
        <v>#VALUE!</v>
      </c>
      <c r="AB21" s="36">
        <f>_xll.BDP($B21&amp;" Equity","volatility_10d")</f>
        <v>67.922010354242545</v>
      </c>
      <c r="AC21" s="36" t="str" cm="1">
        <f t="array" ref="AC21">_xll.BDP(B21&amp;" EQUITY","eqy_beta")</f>
        <v>#N/A N/A</v>
      </c>
      <c r="AD21" s="15">
        <f>Tabelad[[#This Row],[D1 P&amp;L bps]]*$AD$5/10000</f>
        <v>0</v>
      </c>
      <c r="AE21" s="277"/>
      <c r="AF21" s="231" t="str">
        <f>_xll.BDP(B21&amp;" Equity","EXPECTED_REPORT_DT")</f>
        <v>29/01/2026</v>
      </c>
      <c r="AG21" s="172">
        <f>_xll.BDP(B21&amp;" Index","CHG_PCT_1D_PRE_FROM_REGULAR")/100</f>
        <v>1.191752E-4</v>
      </c>
      <c r="AH21" s="20">
        <f t="shared" ref="AH21" si="23">(T21*AG21)/$AD$7*10000</f>
        <v>1.6377910764173238E-4</v>
      </c>
      <c r="AI21" s="455" t="str">
        <f>_xll.BDP(B21&amp;" Equity","DVD_EX_DT")</f>
        <v>#N/A N/A</v>
      </c>
    </row>
    <row r="22" spans="1:35">
      <c r="B22" s="40" t="s">
        <v>1754</v>
      </c>
      <c r="C22" t="s">
        <v>2138</v>
      </c>
      <c r="E22" t="s">
        <v>194</v>
      </c>
      <c r="F22" s="22" t="s">
        <v>99</v>
      </c>
      <c r="G22" s="15"/>
      <c r="H22" s="456">
        <v>42000</v>
      </c>
      <c r="I22" s="36" cm="1">
        <f t="array" ref="I22">_xll.BDP(B22&amp;" Equity","LAST_PRICE")</f>
        <v>116.27</v>
      </c>
      <c r="J22" s="51">
        <f t="shared" si="2"/>
        <v>2.4140012070006378E-3</v>
      </c>
      <c r="K22" s="438" cm="1">
        <f t="array" ref="K22">_xll.BDP(B22&amp;" EQUITY","PX_YEST_CLOSE")</f>
        <v>115.99</v>
      </c>
      <c r="L22" s="53" cm="1">
        <f t="array" ref="L22">_xll.BDP(E22&amp;" Curncy","PX_LAST")</f>
        <v>1</v>
      </c>
      <c r="M22" s="52">
        <v>1</v>
      </c>
      <c r="N22" s="15">
        <f t="shared" si="3"/>
        <v>4883340</v>
      </c>
      <c r="O22" s="357">
        <f>IFERROR(IF(Tabelad[[#This Row],[D1 Exp USD]]&lt;&gt;0,N22/$AE$7,0),"-")</f>
        <v>2.0379822850079866E-3</v>
      </c>
      <c r="P22" s="20">
        <f>IFERROR(IF(Tabelad[[#This Row],[D1 Exp USD]]&lt;&gt;0,((I22-K22)/L22*M22*H22)/$AD$7*10000,0),"-")</f>
        <v>4.9078441541432753E-2</v>
      </c>
      <c r="Q22" s="15">
        <f>IF(SUM(SUMIFS(Options!$AL$4:$AL$23, Options!$D$4:$D$23, B22), SUMIFS(Options!$AL$4:$AL$23, Options!$D$4:$D$23, B22 &amp; " US"))=0,0,SUM(SUMIFS(Options!$AL$4:$AL$23, Options!$D$4:$D$23, B22), SUMIFS(Options!$AL$4:$AL$23, Options!$D$4:$D$23, B22 &amp; " US")))</f>
        <v>0</v>
      </c>
      <c r="R22" s="19">
        <f t="shared" si="16"/>
        <v>0</v>
      </c>
      <c r="S22" s="20">
        <f>IF(SUM(SUMIFS(Options!$AK$4:$AK$23, Options!$D$4:$D$23, B22), SUMIFS(Options!$AK$4:$AK$23, Options!$D$4:$D$23, B22 &amp; " US"))=0,0,SUM(SUMIFS(Options!$AK$4:$AK$23, Options!$D$4:$D$23, B22), SUMIFS(Options!AK$4:$AK$23, Options!$D$4:$D$23, B22 &amp; " US")))</f>
        <v>0</v>
      </c>
      <c r="T22" s="13">
        <f t="shared" si="5"/>
        <v>4883340</v>
      </c>
      <c r="U22" s="48">
        <f t="shared" si="6"/>
        <v>2.0379822850079866E-3</v>
      </c>
      <c r="V22" s="20">
        <f t="shared" si="7"/>
        <v>4.9078441541432753E-2</v>
      </c>
      <c r="W22" s="15">
        <f t="shared" si="8"/>
        <v>7213.0165743527996</v>
      </c>
      <c r="X22" s="19"/>
      <c r="Y22" s="375">
        <f>Tabelad[[#This Row],[Exp %]]*$Y$10*$AD$7/Tabelad[[#This Row],[Price Today]]</f>
        <v>14699.999999999998</v>
      </c>
      <c r="Z22" s="266">
        <f>Tabelad[[#This Row],[Vol 10d]]/16*Tabelad[[#This Row],[Exp %]]*100</f>
        <v>0.34296809732236289</v>
      </c>
      <c r="AA22" s="19">
        <f>Tabelad[[#This Row],[Exp %]]*Tabelad[[#This Row],[Beta Adj2]]</f>
        <v>1.8948083717499394E-3</v>
      </c>
      <c r="AB22" s="36">
        <f>_xll.BDP($B22&amp;" Equity","volatility_10d")</f>
        <v>26.926090562834805</v>
      </c>
      <c r="AC22" s="36" cm="1">
        <f t="array" ref="AC22">_xll.BDP(B22&amp;" EQUITY","eqy_beta")</f>
        <v>0.92974722385406494</v>
      </c>
      <c r="AD22" s="15">
        <f>Tabelad[[#This Row],[D1 P&amp;L bps]]*$AD$5/10000</f>
        <v>11023.190078484593</v>
      </c>
      <c r="AE22" s="277"/>
      <c r="AF22" s="231" t="str">
        <f>_xll.BDP(B22&amp;" Equity","EXPECTED_REPORT_DT")</f>
        <v>#N/A N/A</v>
      </c>
      <c r="AG22" s="172">
        <f>_xll.BDP(B22&amp;" Index","CHG_PCT_1D_PRE_FROM_REGULAR")/100</f>
        <v>-5.6039449999999999E-3</v>
      </c>
      <c r="AH22" s="20">
        <f t="shared" si="9"/>
        <v>-0.11420740636159082</v>
      </c>
      <c r="AI22" s="455" t="str">
        <f>_xll.BDP(B22&amp;" Equity","DVD_EX_DT")</f>
        <v>16/12/2025</v>
      </c>
    </row>
    <row r="23" spans="1:35">
      <c r="B23" s="40" t="s">
        <v>2064</v>
      </c>
      <c r="C23" t="s">
        <v>2065</v>
      </c>
      <c r="E23" t="s">
        <v>194</v>
      </c>
      <c r="F23" s="22" t="s">
        <v>99</v>
      </c>
      <c r="G23" s="15"/>
      <c r="H23" s="456">
        <v>1200</v>
      </c>
      <c r="I23" s="36" cm="1">
        <f t="array" ref="I23">_xll.BDP(B23&amp;" Equity","LAST_PRICE")</f>
        <v>345.73</v>
      </c>
      <c r="J23" s="51">
        <f t="shared" si="2"/>
        <v>-2.4711557448729105E-2</v>
      </c>
      <c r="K23" s="438" cm="1">
        <f t="array" ref="K23">_xll.BDP(B23&amp;" EQUITY","PX_YEST_CLOSE")</f>
        <v>354.49</v>
      </c>
      <c r="L23" s="53" cm="1">
        <f t="array" ref="L23">_xll.BDP(E23&amp;" Curncy","PX_LAST")</f>
        <v>1</v>
      </c>
      <c r="M23" s="52">
        <v>1</v>
      </c>
      <c r="N23" s="15">
        <f t="shared" si="3"/>
        <v>414876</v>
      </c>
      <c r="O23" s="357">
        <f>IFERROR(IF(Tabelad[[#This Row],[D1 Exp USD]]&lt;&gt;0,N23/$AE$7,0),"-")</f>
        <v>1.7314173055223955E-4</v>
      </c>
      <c r="P23" s="20">
        <f>IFERROR(IF(Tabelad[[#This Row],[D1 Exp USD]]&lt;&gt;0,((I23-K23)/L23*M23*H23)/$AD$7*10000,0),"-")</f>
        <v>-4.3870117132953954E-2</v>
      </c>
      <c r="Q23" s="15">
        <f>IF(SUM(SUMIFS(Options!$AL$4:$AL$23, Options!$D$4:$D$23, B23), SUMIFS(Options!$AL$4:$AL$23, Options!$D$4:$D$23, B23 &amp; " US"))=0,0,SUM(SUMIFS(Options!$AL$4:$AL$23, Options!$D$4:$D$23, B23), SUMIFS(Options!$AL$4:$AL$23, Options!$D$4:$D$23, B23 &amp; " US")))</f>
        <v>851421.07259988785</v>
      </c>
      <c r="R23" s="19">
        <f t="shared" si="16"/>
        <v>3.553266950572908E-4</v>
      </c>
      <c r="S23" s="20">
        <f>IF(SUM(SUMIFS(Options!$AK$4:$AK$23, Options!$D$4:$D$23, B23), SUMIFS(Options!$AK$4:$AK$23, Options!$D$4:$D$23, B23 &amp; " US"))=0,0,SUM(SUMIFS(Options!$AK$4:$AK$23, Options!$D$4:$D$23, B23), SUMIFS(Options!AK$4:$AK$23, Options!$D$4:$D$23, B23 &amp; " US")))</f>
        <v>-0.10141208583816412</v>
      </c>
      <c r="T23" s="13">
        <f t="shared" si="5"/>
        <v>1266297.0725998878</v>
      </c>
      <c r="U23" s="48">
        <f t="shared" si="6"/>
        <v>5.284684256095304E-4</v>
      </c>
      <c r="V23" s="20">
        <f t="shared" si="7"/>
        <v>-0.14528220297111807</v>
      </c>
      <c r="W23" s="15">
        <f t="shared" si="8"/>
        <v>2425.7583579671996</v>
      </c>
      <c r="X23" s="19"/>
      <c r="Y23" s="375">
        <f>Tabelad[[#This Row],[Exp %]]*$Y$10*$AD$7/Tabelad[[#This Row],[Price Today]]</f>
        <v>1281.9367003440855</v>
      </c>
      <c r="Z23" s="266">
        <f>Tabelad[[#This Row],[Vol 10d]]/16*Tabelad[[#This Row],[Exp %]]*100</f>
        <v>0.31127476239837887</v>
      </c>
      <c r="AA23" s="19">
        <f>Tabelad[[#This Row],[Exp %]]*Tabelad[[#This Row],[Beta Adj2]]</f>
        <v>1.0677534151595208E-3</v>
      </c>
      <c r="AB23" s="36">
        <f>_xll.BDP($B23&amp;" Equity","volatility_10d")</f>
        <v>94.242076858796636</v>
      </c>
      <c r="AC23" s="36" cm="1">
        <f t="array" ref="AC23">_xll.BDP(B23&amp;" EQUITY","eqy_beta")</f>
        <v>2.0204677581787109</v>
      </c>
      <c r="AD23" s="15">
        <f>Tabelad[[#This Row],[D1 P&amp;L bps]]*$AD$5/10000</f>
        <v>-9853.3821517882207</v>
      </c>
      <c r="AE23" s="277"/>
      <c r="AF23" s="231" t="str">
        <f>_xll.BDP(B23&amp;" Equity","EXPECTED_REPORT_DT")</f>
        <v>03/02/2026</v>
      </c>
      <c r="AG23" s="172" t="e">
        <f>_xll.BDP(B23&amp;" Index","CHG_PCT_1D_PRE_FROM_REGULAR")/100</f>
        <v>#VALUE!</v>
      </c>
      <c r="AH23" s="20" t="e">
        <f t="shared" si="9"/>
        <v>#VALUE!</v>
      </c>
      <c r="AI23" s="455" t="str">
        <f>_xll.BDP(B23&amp;" Equity","DVD_EX_DT")</f>
        <v>#N/A N/A</v>
      </c>
    </row>
    <row r="24" spans="1:35" s="479" customFormat="1">
      <c r="A24" s="474"/>
      <c r="B24" s="478" t="s">
        <v>135</v>
      </c>
      <c r="C24" s="479" t="s">
        <v>78</v>
      </c>
      <c r="E24" s="479" t="s">
        <v>194</v>
      </c>
      <c r="F24" s="480" t="s">
        <v>99</v>
      </c>
      <c r="G24" s="481"/>
      <c r="H24" s="473"/>
      <c r="I24" s="482" cm="1">
        <f t="array" ref="I24">_xll.BDP(B24&amp;" Equity","LAST_PRICE")</f>
        <v>623.66</v>
      </c>
      <c r="J24" s="483">
        <f>I24/K24-1</f>
        <v>4.6716927637089345E-3</v>
      </c>
      <c r="K24" s="484" cm="1">
        <f t="array" ref="K24">_xll.BDP(B24&amp;" EQUITY","PX_YEST_CLOSE")</f>
        <v>620.76</v>
      </c>
      <c r="L24" s="485" cm="1">
        <f t="array" ref="L24">_xll.BDP(E24&amp;" Curncy","PX_LAST")</f>
        <v>1</v>
      </c>
      <c r="M24" s="486">
        <v>1</v>
      </c>
      <c r="N24" s="481">
        <f>IFERROR(IF(((I24/L24)*H24*M24)&lt;&gt;0,((I24/L24)*H24*M24),0),"-")</f>
        <v>0</v>
      </c>
      <c r="O24" s="487">
        <f>IFERROR(IF(Tabelad[[#This Row],[D1 Exp USD]]&lt;&gt;0,N24/$AE$7,0),"-")</f>
        <v>0</v>
      </c>
      <c r="P24" s="475">
        <f>IFERROR(IF(Tabelad[[#This Row],[D1 Exp USD]]&lt;&gt;0,((I24-K24)/L24*M24*H24)/$AD$7*10000,0),"-")</f>
        <v>0</v>
      </c>
      <c r="Q24" s="481">
        <f>IF(SUM(SUMIFS(Options!$AL$4:$AL$23, Options!$D$4:$D$23, B24), SUMIFS(Options!$AL$4:$AL$23, Options!$D$4:$D$23, B24 &amp; " US"))=0,0,SUM(SUMIFS(Options!$AL$4:$AL$23, Options!$D$4:$D$23, B24), SUMIFS(Options!$AL$4:$AL$23, Options!$D$4:$D$23, B24 &amp; " US")))</f>
        <v>6302549.6996790171</v>
      </c>
      <c r="R24" s="488">
        <f>Q24/$AE$7</f>
        <v>2.6302663010005947E-3</v>
      </c>
      <c r="S24" s="475">
        <f>IF(SUM(SUMIFS(Options!$AK$4:$AK$23, Options!$D$4:$D$23, B24), SUMIFS(Options!$AK$4:$AK$23, Options!$D$4:$D$23, B24 &amp; " US"))=0,0,SUM(SUMIFS(Options!$AK$4:$AK$23, Options!$D$4:$D$23, B24), SUMIFS(Options!AK$4:$AK$23, Options!$D$4:$D$23, B24 &amp; " US")))</f>
        <v>0.10016008477843387</v>
      </c>
      <c r="T24" s="489">
        <f>N24+Q24</f>
        <v>6302549.6996790171</v>
      </c>
      <c r="U24" s="490">
        <f>T24/$AE$7</f>
        <v>2.6302663010005947E-3</v>
      </c>
      <c r="V24" s="475">
        <f>P24+S24</f>
        <v>0.10016008477843387</v>
      </c>
      <c r="W24" s="481">
        <f t="shared" ref="W24" si="24">$W$10/(I24/L24*M24)</f>
        <v>1344.7350112240645</v>
      </c>
      <c r="X24" s="488"/>
      <c r="Y24" s="491">
        <f>Tabelad[[#This Row],[Exp %]]*$Y$10*$AD$7/Tabelad[[#This Row],[Price Today]]</f>
        <v>3537.0111837983131</v>
      </c>
      <c r="Z24" s="492">
        <f>Tabelad[[#This Row],[Vol 10d]]/16*Tabelad[[#This Row],[Exp %]]*100</f>
        <v>0.26901036246960058</v>
      </c>
      <c r="AA24" s="488">
        <f>Tabelad[[#This Row],[Exp %]]*Tabelad[[#This Row],[Beta Adj2]]</f>
        <v>2.6328132853349479E-3</v>
      </c>
      <c r="AB24" s="482">
        <f>_xll.BDP($B24&amp;" Equity","volatility_10d")</f>
        <v>16.363992489567451</v>
      </c>
      <c r="AC24" s="482">
        <f>_xll.BDP(B24&amp;" EQUITY","eqy_beta")</f>
        <v>1.000968337059021</v>
      </c>
      <c r="AD24" s="481">
        <f>Tabelad[[#This Row],[D1 P&amp;L bps]]*$AD$5/10000</f>
        <v>0</v>
      </c>
      <c r="AE24" s="493"/>
      <c r="AF24" s="494" t="str">
        <f>_xll.BDP(B24&amp;" Equity","EXPECTED_REPORT_DT")</f>
        <v>#N/A N/A</v>
      </c>
      <c r="AG24" s="495">
        <f>_xll.BDP(B24&amp;" Index","CHG_PCT_1D_PRE_FROM_REGULAR")/100</f>
        <v>-1.804232E-3</v>
      </c>
      <c r="AH24" s="475">
        <f t="shared" ref="AH24" si="25">(T24*AG24)/$AD$7*10000</f>
        <v>-4.7456106287869053E-2</v>
      </c>
      <c r="AI24" s="496" t="str">
        <f>_xll.BDP(B24&amp;" Equity","DVD_EX_DT")</f>
        <v>22/12/2025</v>
      </c>
    </row>
    <row r="25" spans="1:35">
      <c r="B25" s="40" t="s">
        <v>137</v>
      </c>
      <c r="C25" t="s">
        <v>1880</v>
      </c>
      <c r="E25" t="s">
        <v>194</v>
      </c>
      <c r="F25" s="22" t="s">
        <v>99</v>
      </c>
      <c r="G25" s="15"/>
      <c r="H25" s="456">
        <v>3430</v>
      </c>
      <c r="I25" s="36" cm="1">
        <f t="array" ref="I25">_xll.BDP(B25&amp;" Equity","LAST_PRICE")</f>
        <v>317.54000000000002</v>
      </c>
      <c r="J25" s="51">
        <f t="shared" si="2"/>
        <v>-2.4424713508863549E-2</v>
      </c>
      <c r="K25" s="438" cm="1">
        <f t="array" ref="K25">_xll.BDP(B25&amp;" EQUITY","PX_YEST_CLOSE")</f>
        <v>325.49</v>
      </c>
      <c r="L25" s="53" cm="1">
        <f t="array" ref="L25">_xll.BDP(E25&amp;" Curncy","PX_LAST")</f>
        <v>1</v>
      </c>
      <c r="M25" s="52">
        <v>1</v>
      </c>
      <c r="N25" s="15">
        <f t="shared" si="3"/>
        <v>1089162.2000000002</v>
      </c>
      <c r="O25" s="357">
        <f>IFERROR(IF(Tabelad[[#This Row],[D1 Exp USD]]&lt;&gt;0,N25/$AE$7,0),"-")</f>
        <v>4.5454407620610613E-4</v>
      </c>
      <c r="P25" s="20">
        <f>IFERROR(IF(Tabelad[[#This Row],[D1 Exp USD]]&lt;&gt;0,((I25-K25)/L25*M25*H25)/$AD$7*10000,0),"-")</f>
        <v>-0.11380063632419657</v>
      </c>
      <c r="Q25" s="15">
        <f>IF(SUM(SUMIFS(Options!$AL$4:$AL$23, Options!$D$4:$D$23, B25), SUMIFS(Options!$AL$4:$AL$23, Options!$D$4:$D$23, B25 &amp; " US"))=0,0,SUM(SUMIFS(Options!$AL$4:$AL$23, Options!$D$4:$D$23, B25), SUMIFS(Options!$AL$4:$AL$23, Options!$D$4:$D$23, B25 &amp; " US")))</f>
        <v>1739839.202105999</v>
      </c>
      <c r="R25" s="19">
        <f t="shared" si="16"/>
        <v>7.2609350826574777E-4</v>
      </c>
      <c r="S25" s="20">
        <f>IF(SUM(SUMIFS(Options!$AK$4:$AK$23, Options!$D$4:$D$23, B25), SUMIFS(Options!$AK$4:$AK$23, Options!$D$4:$D$23, B25 &amp; " US"))=0,0,SUM(SUMIFS(Options!$AK$4:$AK$23, Options!$D$4:$D$23, B25), SUMIFS(Options!AK$4:$AK$23, Options!$D$4:$D$23, B25 &amp; " US")))</f>
        <v>-0.21008577782276508</v>
      </c>
      <c r="T25" s="13">
        <f t="shared" si="5"/>
        <v>2829001.4021059992</v>
      </c>
      <c r="U25" s="48">
        <f t="shared" si="6"/>
        <v>1.180637584471854E-3</v>
      </c>
      <c r="V25" s="20">
        <f t="shared" si="7"/>
        <v>-0.32388641414696162</v>
      </c>
      <c r="W25" s="15">
        <f t="shared" si="8"/>
        <v>2641.1080087548025</v>
      </c>
      <c r="X25" s="19"/>
      <c r="Y25" s="375">
        <f>Tabelad[[#This Row],[Exp %]]*$Y$10*$AD$7/Tabelad[[#This Row],[Price Today]]</f>
        <v>3118.1913797855377</v>
      </c>
      <c r="Z25" s="266">
        <f>Tabelad[[#This Row],[Vol 10d]]/16*Tabelad[[#This Row],[Exp %]]*100</f>
        <v>0.335607371282449</v>
      </c>
      <c r="AA25" s="19">
        <f>Tabelad[[#This Row],[Exp %]]*Tabelad[[#This Row],[Beta Adj2]]</f>
        <v>2.3835201579545323E-3</v>
      </c>
      <c r="AB25" s="36">
        <f>_xll.BDP($B25&amp;" Equity","volatility_10d")</f>
        <v>45.481509407658507</v>
      </c>
      <c r="AC25" s="36" cm="1">
        <f t="array" ref="AC25">_xll.BDP(B25&amp;" EQUITY","eqy_beta")</f>
        <v>2.0188415050506592</v>
      </c>
      <c r="AD25" s="15">
        <f>Tabelad[[#This Row],[D1 P&amp;L bps]]*$AD$5/10000</f>
        <v>-25560.021994486011</v>
      </c>
      <c r="AE25" s="277"/>
      <c r="AF25" s="231" t="str">
        <f>_xll.BDP(B25&amp;" Equity","EXPECTED_REPORT_DT")</f>
        <v>06/03/2026</v>
      </c>
      <c r="AG25" s="172">
        <f>_xll.BDP(B25&amp;" Index","CHG_PCT_1D_PRE_FROM_REGULAR")/100</f>
        <v>-2.0983710000000003E-2</v>
      </c>
      <c r="AH25" s="20">
        <f t="shared" si="9"/>
        <v>-0.24774156687657883</v>
      </c>
      <c r="AI25" s="455" t="str">
        <f>_xll.BDP(B25&amp;" Equity","DVD_EX_DT")</f>
        <v>22/12/2025</v>
      </c>
    </row>
    <row r="26" spans="1:35">
      <c r="B26" s="40" t="s">
        <v>96</v>
      </c>
      <c r="C26" t="s">
        <v>1880</v>
      </c>
      <c r="E26" t="s">
        <v>194</v>
      </c>
      <c r="F26" s="22" t="s">
        <v>99</v>
      </c>
      <c r="G26" s="15"/>
      <c r="H26" s="456">
        <v>4100</v>
      </c>
      <c r="I26" s="36" cm="1">
        <f t="array" ref="I26">_xll.BDP(B26&amp;" Equity","LAST_PRICE")</f>
        <v>335.92</v>
      </c>
      <c r="J26" s="51">
        <f t="shared" si="2"/>
        <v>2.6117237376668712E-2</v>
      </c>
      <c r="K26" s="438" cm="1">
        <f t="array" ref="K26">_xll.BDP(B26&amp;" EQUITY","PX_YEST_CLOSE")</f>
        <v>327.37</v>
      </c>
      <c r="L26" s="53" cm="1">
        <f t="array" ref="L26">_xll.BDP(E26&amp;" Curncy","PX_LAST")</f>
        <v>1</v>
      </c>
      <c r="M26" s="52">
        <v>1</v>
      </c>
      <c r="N26" s="15">
        <f t="shared" si="3"/>
        <v>1377272</v>
      </c>
      <c r="O26" s="357">
        <f>IFERROR(IF(Tabelad[[#This Row],[D1 Exp USD]]&lt;&gt;0,N26/$AE$7,0),"-")</f>
        <v>5.7478200117901275E-4</v>
      </c>
      <c r="P26" s="20">
        <f>IFERROR(IF(Tabelad[[#This Row],[D1 Exp USD]]&lt;&gt;0,((I26-K26)/L26*M26*H26)/$AD$7*10000,0),"-")</f>
        <v>0.14629632382950003</v>
      </c>
      <c r="Q26" s="15">
        <f>IF(SUM(SUMIFS(Options!$AL$4:$AL$23, Options!$D$4:$D$23, B26), SUMIFS(Options!$AL$4:$AL$23, Options!$D$4:$D$23, B26 &amp; " US"))=0,0,SUM(SUMIFS(Options!$AL$4:$AL$23, Options!$D$4:$D$23, B26), SUMIFS(Options!$AL$4:$AL$23, Options!$D$4:$D$23, B26 &amp; " US")))</f>
        <v>11331303.89418602</v>
      </c>
      <c r="R26" s="19">
        <f t="shared" si="16"/>
        <v>4.7289348278827864E-3</v>
      </c>
      <c r="S26" s="20">
        <f>IF(SUM(SUMIFS(Options!$AK$4:$AK$23, Options!$D$4:$D$23, B26), SUMIFS(Options!$AK$4:$AK$23, Options!$D$4:$D$23, B26 &amp; " US"))=0,0,SUM(SUMIFS(Options!$AK$4:$AK$23, Options!$D$4:$D$23, B26), SUMIFS(Options!AK$4:$AK$23, Options!$D$4:$D$23, B26 &amp; " US")))</f>
        <v>1.1043692681038779</v>
      </c>
      <c r="T26" s="13">
        <f t="shared" si="5"/>
        <v>12708575.89418602</v>
      </c>
      <c r="U26" s="48">
        <f t="shared" si="6"/>
        <v>5.3037168290617984E-3</v>
      </c>
      <c r="V26" s="20">
        <f t="shared" si="7"/>
        <v>1.250665591933378</v>
      </c>
      <c r="W26" s="15">
        <f t="shared" si="8"/>
        <v>2496.598705346511</v>
      </c>
      <c r="X26" s="19"/>
      <c r="Y26" s="375">
        <f>Tabelad[[#This Row],[Exp %]]*$Y$10*$AD$7/Tabelad[[#This Row],[Price Today]]</f>
        <v>13241.252568960186</v>
      </c>
      <c r="Z26" s="266">
        <f>Tabelad[[#This Row],[Vol 10d]]/16*Tabelad[[#This Row],[Exp %]]*100</f>
        <v>1.3528427141746069</v>
      </c>
      <c r="AA26" s="19">
        <f>Tabelad[[#This Row],[Exp %]]*Tabelad[[#This Row],[Beta Adj2]]</f>
        <v>7.805500040549823E-3</v>
      </c>
      <c r="AB26" s="36">
        <f>_xll.BDP($B26&amp;" Equity","volatility_10d")</f>
        <v>40.811913841604344</v>
      </c>
      <c r="AC26" s="36" cm="1">
        <f t="array" ref="AC26">_xll.BDP(B26&amp;" EQUITY","eqy_beta")</f>
        <v>1.4717037677764893</v>
      </c>
      <c r="AD26" s="15">
        <f>Tabelad[[#This Row],[D1 P&amp;L bps]]*$AD$5/10000</f>
        <v>32858.667364054112</v>
      </c>
      <c r="AE26" s="277"/>
      <c r="AF26" s="231" t="str">
        <f>_xll.BDP(B26&amp;" Equity","EXPECTED_REPORT_DT")</f>
        <v>17/04/2026</v>
      </c>
      <c r="AG26" s="172" t="e">
        <f>_xll.BDP(B26&amp;" Index","CHG_PCT_1D_PRE_FROM_REGULAR")/100</f>
        <v>#VALUE!</v>
      </c>
      <c r="AH26" s="20" t="e">
        <f t="shared" si="9"/>
        <v>#VALUE!</v>
      </c>
      <c r="AI26" s="455" t="str">
        <f>_xll.BDP(B26&amp;" Equity","DVD_EX_DT")</f>
        <v>17/03/2026</v>
      </c>
    </row>
    <row r="27" spans="1:35" s="59" customFormat="1">
      <c r="A27" s="469"/>
      <c r="B27" s="423" t="s">
        <v>708</v>
      </c>
      <c r="C27" s="59" t="s">
        <v>1880</v>
      </c>
      <c r="E27" s="59" t="s">
        <v>194</v>
      </c>
      <c r="F27" s="163" t="s">
        <v>99</v>
      </c>
      <c r="G27" s="404"/>
      <c r="H27" s="462">
        <v>7000</v>
      </c>
      <c r="I27" s="14" cm="1">
        <f t="array" ref="I27">_xll.BDP(B27&amp;" Equity","LAST_PRICE")</f>
        <v>46.284999999999997</v>
      </c>
      <c r="J27" s="461">
        <f t="shared" ref="J27" si="26">I27/K27-1</f>
        <v>-7.9821073558648092E-2</v>
      </c>
      <c r="K27" s="470">
        <v>50.3</v>
      </c>
      <c r="L27" s="8" cm="1">
        <f t="array" ref="L27">_xll.BDP(E27&amp;" Curncy","PX_LAST")</f>
        <v>1</v>
      </c>
      <c r="M27" s="467">
        <v>1</v>
      </c>
      <c r="N27" s="404">
        <f t="shared" ref="N27" si="27">IFERROR(IF(((I27/L27)*H27*M27)&lt;&gt;0,((I27/L27)*H27*M27),0),"-")</f>
        <v>323995</v>
      </c>
      <c r="O27" s="468">
        <f>IFERROR(IF(Tabelad[[#This Row],[D1 Exp USD]]&lt;&gt;0,N27/$AE$7,0),"-")</f>
        <v>1.3521402778245273E-4</v>
      </c>
      <c r="P27" s="463">
        <f>IFERROR(IF(Tabelad[[#This Row],[D1 Exp USD]]&lt;&gt;0,((I27-K27)/L27*M27*H27)/$AD$7*10000,0),"-")</f>
        <v>-0.11729163261241175</v>
      </c>
      <c r="Q27" s="404">
        <f>IF(SUM(SUMIFS(Options!$AL$4:$AL$23, Options!$D$4:$D$23, B27), SUMIFS(Options!$AL$4:$AL$23, Options!$D$4:$D$23, B27 &amp; " US"))=0,0,SUM(SUMIFS(Options!$AL$4:$AL$23, Options!$D$4:$D$23, B27), SUMIFS(Options!$AL$4:$AL$23, Options!$D$4:$D$23, B27 &amp; " US")))</f>
        <v>0</v>
      </c>
      <c r="R27" s="128">
        <f t="shared" ref="R27" si="28">Q27/$AE$7</f>
        <v>0</v>
      </c>
      <c r="S27" s="463">
        <f>IF(SUM(SUMIFS(Options!$AK$4:$AK$23, Options!$D$4:$D$23, B27), SUMIFS(Options!$AK$4:$AK$23, Options!$D$4:$D$23, B27 &amp; " US"))=0,0,SUM(SUMIFS(Options!$AK$4:$AK$23, Options!$D$4:$D$23, B27), SUMIFS(Options!AK$4:$AK$23, Options!$D$4:$D$23, B27 &amp; " US")))</f>
        <v>0</v>
      </c>
      <c r="T27" s="464">
        <f t="shared" ref="T27" si="29">N27+Q27</f>
        <v>323995</v>
      </c>
      <c r="U27" s="460">
        <f t="shared" ref="U27" si="30">T27/$AE$7</f>
        <v>1.3521402778245273E-4</v>
      </c>
      <c r="V27" s="463">
        <f t="shared" ref="V27" si="31">P27+S27</f>
        <v>-0.11729163261241175</v>
      </c>
      <c r="W27" s="404">
        <f t="shared" ref="W27" si="32">$W$10/(I27/L27*M27)</f>
        <v>18119.421780274388</v>
      </c>
      <c r="X27" s="128"/>
      <c r="Y27" s="459">
        <f>Tabelad[[#This Row],[Exp %]]*$Y$10*$AD$7/Tabelad[[#This Row],[Price Today]]</f>
        <v>2450</v>
      </c>
      <c r="Z27" s="465">
        <f>Tabelad[[#This Row],[Vol 10d]]/16*Tabelad[[#This Row],[Exp %]]*100</f>
        <v>0.10996171183365508</v>
      </c>
      <c r="AA27" s="128">
        <f>Tabelad[[#This Row],[Exp %]]*Tabelad[[#This Row],[Beta Adj2]]</f>
        <v>1.9759796438594045E-4</v>
      </c>
      <c r="AB27" s="14">
        <f>_xll.BDP($B27&amp;" Equity","volatility_10d")</f>
        <v>130.11870278497867</v>
      </c>
      <c r="AC27" s="14" cm="1">
        <f t="array" ref="AC27">_xll.BDP(B27&amp;" EQUITY","eqy_beta")</f>
        <v>1.4613717794418335</v>
      </c>
      <c r="AD27" s="404">
        <f>Tabelad[[#This Row],[D1 P&amp;L bps]]*$AD$5/10000</f>
        <v>-26344.112003044924</v>
      </c>
      <c r="AE27" s="337"/>
      <c r="AF27" s="466" t="str">
        <f>_xll.BDP(B27&amp;" Equity","EXPECTED_REPORT_DT")</f>
        <v>24/04/2026</v>
      </c>
      <c r="AG27" s="472" t="e">
        <f>_xll.BDP(B27&amp;" Index","CHG_PCT_1D_PRE_FROM_REGULAR")/100</f>
        <v>#VALUE!</v>
      </c>
      <c r="AH27" s="463" t="e">
        <f t="shared" ref="AH27" si="33">(T27*AG27)/$AD$7*10000</f>
        <v>#VALUE!</v>
      </c>
      <c r="AI27" s="471" t="str">
        <f>_xll.BDP(B27&amp;" Equity","DVD_EX_DT")</f>
        <v>03/09/2024</v>
      </c>
    </row>
    <row r="28" spans="1:35">
      <c r="B28" s="40" t="s">
        <v>94</v>
      </c>
      <c r="C28" t="s">
        <v>1880</v>
      </c>
      <c r="E28" t="s">
        <v>194</v>
      </c>
      <c r="F28" s="22" t="s">
        <v>99</v>
      </c>
      <c r="G28" s="15"/>
      <c r="H28" s="456">
        <f>25392-2384</f>
        <v>23008</v>
      </c>
      <c r="I28" s="36" cm="1">
        <f t="array" ref="I28">_xll.BDP(B28&amp;" Equity","LAST_PRICE")</f>
        <v>187.655</v>
      </c>
      <c r="J28" s="51">
        <f t="shared" si="2"/>
        <v>1.5229387578446163E-2</v>
      </c>
      <c r="K28" s="438" cm="1">
        <f t="array" ref="K28">_xll.BDP(B28&amp;" EQUITY","PX_YEST_CLOSE")</f>
        <v>184.84</v>
      </c>
      <c r="L28" s="53" cm="1">
        <f t="array" ref="L28">_xll.BDP(E28&amp;" Curncy","PX_LAST")</f>
        <v>1</v>
      </c>
      <c r="M28" s="52">
        <v>1</v>
      </c>
      <c r="N28" s="15">
        <f t="shared" si="3"/>
        <v>4317566.24</v>
      </c>
      <c r="O28" s="357">
        <f>IFERROR(IF(Tabelad[[#This Row],[D1 Exp USD]]&lt;&gt;0,N28/$AE$7,0),"-")</f>
        <v>1.8018658359787651E-3</v>
      </c>
      <c r="P28" s="20">
        <f>IFERROR(IF(Tabelad[[#This Row],[D1 Exp USD]]&lt;&gt;0,((I28-K28)/L28*M28*H28)/$AD$7*10000,0),"-")</f>
        <v>0.27029667892037085</v>
      </c>
      <c r="Q28" s="15">
        <f>IF(SUM(SUMIFS(Options!$AL$4:$AL$23, Options!$D$4:$D$23, B28), SUMIFS(Options!$AL$4:$AL$23, Options!$D$4:$D$23, B28 &amp; " US"))=0,0,SUM(SUMIFS(Options!$AL$4:$AL$23, Options!$D$4:$D$23, B28), SUMIFS(Options!$AL$4:$AL$23, Options!$D$4:$D$23, B28 &amp; " US")))</f>
        <v>0</v>
      </c>
      <c r="R28" s="19">
        <f t="shared" si="16"/>
        <v>0</v>
      </c>
      <c r="S28" s="20">
        <f>IF(SUM(SUMIFS(Options!$AK$4:$AK$23, Options!$D$4:$D$23, B28), SUMIFS(Options!$AK$4:$AK$23, Options!$D$4:$D$23, B28 &amp; " US"))=0,0,SUM(SUMIFS(Options!$AK$4:$AK$23, Options!$D$4:$D$23, B28), SUMIFS(Options!AK$4:$AK$23, Options!$D$4:$D$23, B28 &amp; " US")))</f>
        <v>0</v>
      </c>
      <c r="T28" s="13">
        <f t="shared" si="5"/>
        <v>4317566.24</v>
      </c>
      <c r="U28" s="48">
        <f t="shared" si="6"/>
        <v>1.8018658359787651E-3</v>
      </c>
      <c r="V28" s="20">
        <f t="shared" si="7"/>
        <v>0.27029667892037085</v>
      </c>
      <c r="W28" s="15">
        <f t="shared" si="8"/>
        <v>4469.1451711918144</v>
      </c>
      <c r="X28" s="19"/>
      <c r="Y28" s="375">
        <f>Tabelad[[#This Row],[Exp %]]*$Y$10*$AD$7/Tabelad[[#This Row],[Price Today]]</f>
        <v>8052.7999999999993</v>
      </c>
      <c r="Z28" s="266">
        <f>Tabelad[[#This Row],[Vol 10d]]/16*Tabelad[[#This Row],[Exp %]]*100</f>
        <v>0.39825988724422995</v>
      </c>
      <c r="AA28" s="19">
        <f>Tabelad[[#This Row],[Exp %]]*Tabelad[[#This Row],[Beta Adj2]]</f>
        <v>3.3488810769892871E-3</v>
      </c>
      <c r="AB28" s="36">
        <f>_xll.BDP($B28&amp;" Equity","volatility_10d")</f>
        <v>35.364221179355191</v>
      </c>
      <c r="AC28" s="36" cm="1">
        <f t="array" ref="AC28">_xll.BDP(B28&amp;" EQUITY","eqy_beta")</f>
        <v>1.8585629463195801</v>
      </c>
      <c r="AD28" s="15">
        <f>Tabelad[[#This Row],[D1 P&amp;L bps]]*$AD$5/10000</f>
        <v>60709.581961908923</v>
      </c>
      <c r="AE28" s="277"/>
      <c r="AF28" s="231" t="str">
        <f>_xll.BDP(B28&amp;" Equity","EXPECTED_REPORT_DT")</f>
        <v>25/02/2026</v>
      </c>
      <c r="AG28" s="172">
        <f>_xll.BDP(B28&amp;" Index","CHG_PCT_1D_PRE_FROM_REGULAR")/100</f>
        <v>1.514825E-2</v>
      </c>
      <c r="AH28" s="20">
        <f t="shared" si="9"/>
        <v>0.27295114149865329</v>
      </c>
      <c r="AI28" s="455" t="str">
        <f>_xll.BDP(B28&amp;" Equity","DVD_EX_DT")</f>
        <v>04/12/2025</v>
      </c>
    </row>
    <row r="29" spans="1:35">
      <c r="B29" s="40" t="s">
        <v>138</v>
      </c>
      <c r="C29" t="s">
        <v>1880</v>
      </c>
      <c r="E29" t="s">
        <v>194</v>
      </c>
      <c r="F29" s="22" t="s">
        <v>100</v>
      </c>
      <c r="G29" s="15"/>
      <c r="H29" s="456">
        <v>-49</v>
      </c>
      <c r="I29" s="36" cm="1">
        <f t="array" ref="I29">_xll.BDP(B29&amp;" Equity","LAST_PRICE")</f>
        <v>81.17</v>
      </c>
      <c r="J29" s="51">
        <f t="shared" si="2"/>
        <v>-2.322503008423582E-2</v>
      </c>
      <c r="K29" s="438" cm="1">
        <f t="array" ref="K29">_xll.BDP(B29&amp;" EQUITY","PX_YEST_CLOSE")</f>
        <v>83.1</v>
      </c>
      <c r="L29" s="53" cm="1">
        <f t="array" ref="L29">_xll.BDP(E29&amp;" Curncy","PX_LAST")</f>
        <v>1</v>
      </c>
      <c r="M29" s="52">
        <v>1</v>
      </c>
      <c r="N29" s="15">
        <f t="shared" si="3"/>
        <v>-3977.33</v>
      </c>
      <c r="O29" s="357">
        <f>IFERROR(IF(Tabelad[[#This Row],[D1 Exp USD]]&lt;&gt;0,N29/$AE$7,0),"-")</f>
        <v>-1.6598737916325336E-6</v>
      </c>
      <c r="P29" s="20">
        <f>IFERROR(IF(Tabelad[[#This Row],[D1 Exp USD]]&lt;&gt;0,((I29-K29)/L29*M29*H29)/$AD$7*10000,0),"-")</f>
        <v>3.946724673956853E-4</v>
      </c>
      <c r="Q29" s="15">
        <f>IF(SUM(SUMIFS(Options!$AL$4:$AL$23, Options!$D$4:$D$23, B29), SUMIFS(Options!$AL$4:$AL$23, Options!$D$4:$D$23, B29 &amp; " US"))=0,0,SUM(SUMIFS(Options!$AL$4:$AL$23, Options!$D$4:$D$23, B29), SUMIFS(Options!$AL$4:$AL$23, Options!$D$4:$D$23, B29 &amp; " US")))</f>
        <v>-592164.70736265182</v>
      </c>
      <c r="R29" s="19">
        <f t="shared" si="16"/>
        <v>-2.4713028038433183E-4</v>
      </c>
      <c r="S29" s="20">
        <f>IF(SUM(SUMIFS(Options!$AK$4:$AK$23, Options!$D$4:$D$23, B29), SUMIFS(Options!$AK$4:$AK$23, Options!$D$4:$D$23, B29 &amp; " US"))=0,0,SUM(SUMIFS(Options!$AK$4:$AK$23, Options!$D$4:$D$23, B29), SUMIFS(Options!AK$4:$AK$23, Options!$D$4:$D$23, B29 &amp; " US")))</f>
        <v>4.3507036825632228E-2</v>
      </c>
      <c r="T29" s="13">
        <f t="shared" si="5"/>
        <v>-596142.03736265178</v>
      </c>
      <c r="U29" s="48">
        <f t="shared" si="6"/>
        <v>-2.4879015417596435E-4</v>
      </c>
      <c r="V29" s="20">
        <f t="shared" si="7"/>
        <v>4.3901709293027912E-2</v>
      </c>
      <c r="W29" s="15">
        <f t="shared" si="8"/>
        <v>10332.110842675866</v>
      </c>
      <c r="X29" s="19"/>
      <c r="Y29" s="375">
        <f>Tabelad[[#This Row],[Exp %]]*$Y$10*$AD$7/Tabelad[[#This Row],[Price Today]]</f>
        <v>-2570.5274495124813</v>
      </c>
      <c r="Z29" s="266">
        <f>Tabelad[[#This Row],[Vol 10d]]/16*Tabelad[[#This Row],[Exp %]]*100</f>
        <v>-4.433086632282713E-2</v>
      </c>
      <c r="AA29" s="19">
        <f>Tabelad[[#This Row],[Exp %]]*Tabelad[[#This Row],[Beta Adj2]]</f>
        <v>-4.922008633063687E-4</v>
      </c>
      <c r="AB29" s="36">
        <f>_xll.BDP($B29&amp;" Equity","volatility_10d")</f>
        <v>28.509723928365933</v>
      </c>
      <c r="AC29" s="36" cm="1">
        <f t="array" ref="AC29">_xll.BDP(B29&amp;" EQUITY","eqy_beta")</f>
        <v>1.9783775806427002</v>
      </c>
      <c r="AD29" s="15">
        <f>Tabelad[[#This Row],[D1 P&amp;L bps]]*$AD$5/10000</f>
        <v>88.64482021447958</v>
      </c>
      <c r="AE29" s="277"/>
      <c r="AF29" s="231" t="str">
        <f>_xll.BDP(B29&amp;" Equity","EXPECTED_REPORT_DT")</f>
        <v>05/03/2026</v>
      </c>
      <c r="AG29" s="172">
        <f>_xll.BDP(B29&amp;" Index","CHG_PCT_1D_PRE_FROM_REGULAR")/100</f>
        <v>-2.2743679999999999E-2</v>
      </c>
      <c r="AH29" s="20">
        <f t="shared" si="9"/>
        <v>5.6584036537287968E-2</v>
      </c>
      <c r="AI29" s="455" t="str">
        <f>_xll.BDP(B29&amp;" Equity","DVD_EX_DT")</f>
        <v>09/01/2026</v>
      </c>
    </row>
    <row r="30" spans="1:35">
      <c r="B30" s="40" t="s">
        <v>2132</v>
      </c>
      <c r="C30" t="s">
        <v>2133</v>
      </c>
      <c r="E30" t="s">
        <v>194</v>
      </c>
      <c r="F30" s="22" t="s">
        <v>99</v>
      </c>
      <c r="G30" s="15"/>
      <c r="H30" s="456">
        <v>26100</v>
      </c>
      <c r="I30" s="36" cm="1">
        <f t="array" ref="I30">_xll.BDP(B30&amp;" Equity","LAST_PRICE")</f>
        <v>17.02</v>
      </c>
      <c r="J30" s="51">
        <f>I30/K30-1</f>
        <v>-3.5128805620607828E-3</v>
      </c>
      <c r="K30" s="438" cm="1">
        <f t="array" ref="K30">_xll.BDP(B30&amp;" EQUITY","PX_YEST_CLOSE")</f>
        <v>17.079999999999998</v>
      </c>
      <c r="L30" s="53" cm="1">
        <f t="array" ref="L30">_xll.BDP(E30&amp;" Curncy","PX_LAST")</f>
        <v>1</v>
      </c>
      <c r="M30" s="52">
        <v>1</v>
      </c>
      <c r="N30" s="15">
        <f>IFERROR(IF(((I30/L30)*H30*M30)&lt;&gt;0,((I30/L30)*H30*M30),0),"-")</f>
        <v>444222</v>
      </c>
      <c r="O30" s="357">
        <f>IFERROR(IF(Tabelad[[#This Row],[D1 Exp USD]]&lt;&gt;0,N30/$AE$7,0),"-")</f>
        <v>1.8538880491852255E-4</v>
      </c>
      <c r="P30" s="20">
        <f>IFERROR(IF(Tabelad[[#This Row],[D1 Exp USD]]&lt;&gt;0,((I30-K30)/L30*M30*H30)/$AD$7*10000,0),"-")</f>
        <v>-6.5354455317926646E-3</v>
      </c>
      <c r="Q30" s="15">
        <f>IF(SUM(SUMIFS(Options!$AL$4:$AL$23, Options!$D$4:$D$23, B30), SUMIFS(Options!$AL$4:$AL$23, Options!$D$4:$D$23, B30 &amp; " US"))=0,0,SUM(SUMIFS(Options!$AL$4:$AL$23, Options!$D$4:$D$23, B30), SUMIFS(Options!$AL$4:$AL$23, Options!$D$4:$D$23, B30 &amp; " US")))</f>
        <v>0</v>
      </c>
      <c r="R30" s="19">
        <f t="shared" si="16"/>
        <v>0</v>
      </c>
      <c r="S30" s="20">
        <f>IF(SUM(SUMIFS(Options!$AK$4:$AK$23, Options!$D$4:$D$23, B30), SUMIFS(Options!$AK$4:$AK$23, Options!$D$4:$D$23, B30 &amp; " US"))=0,0,SUM(SUMIFS(Options!$AK$4:$AK$23, Options!$D$4:$D$23, B30), SUMIFS(Options!AK$4:$AK$23, Options!$D$4:$D$23, B30 &amp; " US")))</f>
        <v>0</v>
      </c>
      <c r="T30" s="13">
        <f>N30+Q30</f>
        <v>444222</v>
      </c>
      <c r="U30" s="48">
        <f>T30/$AE$7</f>
        <v>1.8538880491852255E-4</v>
      </c>
      <c r="V30" s="20">
        <f>P30+S30</f>
        <v>-6.5354455317926646E-3</v>
      </c>
      <c r="W30" s="15">
        <f>$W$10/(I30/L30*M30)</f>
        <v>49274.820041128085</v>
      </c>
      <c r="X30" s="19"/>
      <c r="Y30" s="375">
        <f>Tabelad[[#This Row],[Exp %]]*$Y$10*$AD$7/Tabelad[[#This Row],[Price Today]]</f>
        <v>9135</v>
      </c>
      <c r="Z30" s="266">
        <f>Tabelad[[#This Row],[Vol 10d]]/16*Tabelad[[#This Row],[Exp %]]*100</f>
        <v>0.12715460196497658</v>
      </c>
      <c r="AA30" s="19">
        <f>Tabelad[[#This Row],[Exp %]]*Tabelad[[#This Row],[Beta Adj2]]</f>
        <v>3.8076096183073269E-4</v>
      </c>
      <c r="AB30" s="36">
        <f>_xll.BDP($B30&amp;" Equity","volatility_10d")</f>
        <v>109.74091085671363</v>
      </c>
      <c r="AC30" s="36" cm="1">
        <f t="array" ref="AC30">_xll.BDP(B30&amp;" EQUITY","eqy_beta")</f>
        <v>2.0538508892059326</v>
      </c>
      <c r="AD30" s="15">
        <f>Tabelad[[#This Row],[D1 P&amp;L bps]]*$AD$5/10000</f>
        <v>-1467.8839849410233</v>
      </c>
      <c r="AE30" s="277"/>
      <c r="AF30" s="231" t="str">
        <f>_xll.BDP(B30&amp;" Equity","EXPECTED_REPORT_DT")</f>
        <v>24/02/2026</v>
      </c>
      <c r="AG30" s="172">
        <f>_xll.BDP(B30&amp;" Index","CHG_PCT_1D_PRE_FROM_REGULAR")/100</f>
        <v>-1.1709870000000001E-3</v>
      </c>
      <c r="AH30" s="20">
        <f>(T30*AG30)/$AD$7*10000</f>
        <v>-2.1708788050512598E-3</v>
      </c>
      <c r="AI30" s="455" t="str">
        <f>_xll.BDP(B30&amp;" Equity","DVD_EX_DT")</f>
        <v>12/10/2017</v>
      </c>
    </row>
    <row r="31" spans="1:35">
      <c r="B31" s="40" t="s">
        <v>88</v>
      </c>
      <c r="C31" t="s">
        <v>2265</v>
      </c>
      <c r="E31" t="s">
        <v>194</v>
      </c>
      <c r="F31" s="22" t="s">
        <v>99</v>
      </c>
      <c r="G31" s="15"/>
      <c r="H31" s="456">
        <v>45750</v>
      </c>
      <c r="I31" s="36" cm="1">
        <f t="array" ref="I31">_xll.BDP(B31&amp;" Equity","LAST_PRICE")</f>
        <v>53.14</v>
      </c>
      <c r="J31" s="51">
        <f t="shared" ref="J31:J33" si="34">I31/K31-1</f>
        <v>-1.2451217245865065E-2</v>
      </c>
      <c r="K31" s="438" cm="1">
        <f t="array" ref="K31">_xll.BDP(B31&amp;" EQUITY","PX_YEST_CLOSE")</f>
        <v>53.81</v>
      </c>
      <c r="L31" s="53" cm="1">
        <f t="array" ref="L31">_xll.BDP(E31&amp;" Curncy","PX_LAST")</f>
        <v>1</v>
      </c>
      <c r="M31" s="52">
        <v>1</v>
      </c>
      <c r="N31" s="15">
        <f t="shared" ref="N31:N33" si="35">IFERROR(IF(((I31/L31)*H31*M31)&lt;&gt;0,((I31/L31)*H31*M31),0),"-")</f>
        <v>2431155</v>
      </c>
      <c r="O31" s="357">
        <f>IFERROR(IF(Tabelad[[#This Row],[D1 Exp USD]]&lt;&gt;0,N31/$AE$7,0),"-")</f>
        <v>1.0146028787896384E-3</v>
      </c>
      <c r="P31" s="20">
        <f>IFERROR(IF(Tabelad[[#This Row],[D1 Exp USD]]&lt;&gt;0,((I31-K31)/L31*M31*H31)/$AD$7*10000,0),"-")</f>
        <v>-0.12792320827795622</v>
      </c>
      <c r="Q31" s="15">
        <f>IF(SUM(SUMIFS(Options!$AL$4:$AL$23, Options!$D$4:$D$23, B31), SUMIFS(Options!$AL$4:$AL$23, Options!$D$4:$D$23, B31 &amp; " US"))=0,0,SUM(SUMIFS(Options!$AL$4:$AL$23, Options!$D$4:$D$23, B31), SUMIFS(Options!$AL$4:$AL$23, Options!$D$4:$D$23, B31 &amp; " US")))</f>
        <v>0</v>
      </c>
      <c r="R31" s="19">
        <f t="shared" si="16"/>
        <v>0</v>
      </c>
      <c r="S31" s="20">
        <f>IF(SUM(SUMIFS(Options!$AK$4:$AK$23, Options!$D$4:$D$23, B31), SUMIFS(Options!$AK$4:$AK$23, Options!$D$4:$D$23, B31 &amp; " US"))=0,0,SUM(SUMIFS(Options!$AK$4:$AK$23, Options!$D$4:$D$23, B31), SUMIFS(Options!AK$4:$AK$23, Options!$D$4:$D$23, B31 &amp; " US")))</f>
        <v>0</v>
      </c>
      <c r="T31" s="13">
        <f t="shared" ref="T31:T33" si="36">N31+Q31</f>
        <v>2431155</v>
      </c>
      <c r="U31" s="48">
        <f t="shared" ref="U31:U33" si="37">T31/$AE$7</f>
        <v>1.0146028787896384E-3</v>
      </c>
      <c r="V31" s="20">
        <f t="shared" ref="V31:V33" si="38">P31+S31</f>
        <v>-0.12792320827795622</v>
      </c>
      <c r="W31" s="15">
        <f t="shared" ref="W31:W33" si="39">$W$10/(I31/L31*M31)</f>
        <v>15782.036829130599</v>
      </c>
      <c r="X31" s="19"/>
      <c r="Y31" s="375">
        <f>Tabelad[[#This Row],[Exp %]]*$Y$10*$AD$7/Tabelad[[#This Row],[Price Today]]</f>
        <v>16012.5</v>
      </c>
      <c r="Z31" s="266">
        <f>Tabelad[[#This Row],[Vol 10d]]/16*Tabelad[[#This Row],[Exp %]]*100</f>
        <v>0.10943419943509167</v>
      </c>
      <c r="AA31" s="19">
        <f>Tabelad[[#This Row],[Exp %]]*Tabelad[[#This Row],[Beta Adj2]]</f>
        <v>1.0145004340648002E-3</v>
      </c>
      <c r="AB31" s="36">
        <f>_xll.BDP($B31&amp;" Equity","volatility_10d")</f>
        <v>17.257463265334351</v>
      </c>
      <c r="AC31" s="36">
        <f>_xll.BDP(B31&amp;" EQUITY","eqy_beta")</f>
        <v>0.99989902973175049</v>
      </c>
      <c r="AD31" s="15">
        <f>Tabelad[[#This Row],[D1 P&amp;L bps]]*$AD$5/10000</f>
        <v>-28732.001180335756</v>
      </c>
      <c r="AE31" s="277"/>
      <c r="AF31" s="231" t="str">
        <f>_xll.BDP(B31&amp;" Equity","EXPECTED_REPORT_DT")</f>
        <v>#N/A N/A</v>
      </c>
      <c r="AG31" s="172">
        <f>_xll.BDP(B31&amp;" Index","CHG_PCT_1D_PRE_FROM_REGULAR")/100</f>
        <v>-6.3185309999999996E-3</v>
      </c>
      <c r="AH31" s="20">
        <f t="shared" ref="AH31:AH33" si="40">(T31*AG31)/$AD$7*10000</f>
        <v>-6.4107997423215712E-2</v>
      </c>
      <c r="AI31" s="455" t="str">
        <f>_xll.BDP(B31&amp;" Equity","DVD_EX_DT")</f>
        <v>22/12/2025</v>
      </c>
    </row>
    <row r="32" spans="1:35">
      <c r="B32" s="40" t="s">
        <v>2284</v>
      </c>
      <c r="C32" t="s">
        <v>2265</v>
      </c>
      <c r="E32" t="s">
        <v>194</v>
      </c>
      <c r="F32" s="22" t="s">
        <v>100</v>
      </c>
      <c r="G32" s="15"/>
      <c r="H32" s="456">
        <v>-10000</v>
      </c>
      <c r="I32" s="36" cm="1">
        <f t="array" ref="I32">_xll.BDP(B32&amp;" Equity","LAST_PRICE")</f>
        <v>22.864000000000001</v>
      </c>
      <c r="J32" s="51">
        <f t="shared" ref="J32" si="41">I32/K32-1</f>
        <v>6.3380281690141871E-3</v>
      </c>
      <c r="K32" s="438" cm="1">
        <f t="array" ref="K32">_xll.BDP(B32&amp;" EQUITY","PX_YEST_CLOSE")</f>
        <v>22.72</v>
      </c>
      <c r="L32" s="53" cm="1">
        <f t="array" ref="L32">_xll.BDP(E32&amp;" Curncy","PX_LAST")</f>
        <v>1</v>
      </c>
      <c r="M32" s="52">
        <v>1</v>
      </c>
      <c r="N32" s="15">
        <f t="shared" ref="N32" si="42">IFERROR(IF(((I32/L32)*H32*M32)&lt;&gt;0,((I32/L32)*H32*M32),0),"-")</f>
        <v>-228640</v>
      </c>
      <c r="O32" s="357">
        <f>IFERROR(IF(Tabelad[[#This Row],[D1 Exp USD]]&lt;&gt;0,N32/$AE$7,0),"-")</f>
        <v>-9.5419174098921249E-5</v>
      </c>
      <c r="P32" s="20">
        <f>IFERROR(IF(Tabelad[[#This Row],[D1 Exp USD]]&lt;&gt;0,((I32-K32)/L32*M32*H32)/$AD$7*10000,0),"-")</f>
        <v>-6.0096050867061062E-3</v>
      </c>
      <c r="Q32" s="15">
        <f>IF(SUM(SUMIFS(Options!$AL$4:$AL$23, Options!$D$4:$D$23, B32), SUMIFS(Options!$AL$4:$AL$23, Options!$D$4:$D$23, B32 &amp; " US"))=0,0,SUM(SUMIFS(Options!$AL$4:$AL$23, Options!$D$4:$D$23, B32), SUMIFS(Options!$AL$4:$AL$23, Options!$D$4:$D$23, B32 &amp; " US")))</f>
        <v>0</v>
      </c>
      <c r="R32" s="19">
        <f t="shared" si="16"/>
        <v>0</v>
      </c>
      <c r="S32" s="20">
        <f>IF(SUM(SUMIFS(Options!$AK$4:$AK$23, Options!$D$4:$D$23, B32), SUMIFS(Options!$AK$4:$AK$23, Options!$D$4:$D$23, B32 &amp; " US"))=0,0,SUM(SUMIFS(Options!$AK$4:$AK$23, Options!$D$4:$D$23, B32), SUMIFS(Options!AK$4:$AK$23, Options!$D$4:$D$23, B32 &amp; " US")))</f>
        <v>0</v>
      </c>
      <c r="T32" s="13">
        <f t="shared" ref="T32" si="43">N32+Q32</f>
        <v>-228640</v>
      </c>
      <c r="U32" s="48">
        <f t="shared" ref="U32" si="44">T32/$AE$7</f>
        <v>-9.5419174098921249E-5</v>
      </c>
      <c r="V32" s="20">
        <f t="shared" ref="V32" si="45">P32+S32</f>
        <v>-6.0096050867061062E-3</v>
      </c>
      <c r="W32" s="15">
        <f t="shared" ref="W32" si="46">$W$10/(I32/L32*M32)</f>
        <v>36680.258795486356</v>
      </c>
      <c r="X32" s="19"/>
      <c r="Y32" s="375">
        <f>Tabelad[[#This Row],[Exp %]]*$Y$10*$AD$7/Tabelad[[#This Row],[Price Today]]</f>
        <v>-3499.9999999999991</v>
      </c>
      <c r="Z32" s="266">
        <f>Tabelad[[#This Row],[Vol 10d]]/16*Tabelad[[#This Row],[Exp %]]*100</f>
        <v>-2.6058882667225301E-2</v>
      </c>
      <c r="AA32" s="19">
        <f>Tabelad[[#This Row],[Exp %]]*Tabelad[[#This Row],[Beta Adj2]]</f>
        <v>-3.4965458854530769E-5</v>
      </c>
      <c r="AB32" s="36">
        <f>_xll.BDP($B32&amp;" Equity","volatility_10d")</f>
        <v>43.695842749944589</v>
      </c>
      <c r="AC32" s="36">
        <f>_xll.BDP(B32&amp;" EQUITY","eqy_beta")</f>
        <v>0.36644059419631958</v>
      </c>
      <c r="AD32" s="15">
        <f>Tabelad[[#This Row],[D1 P&amp;L bps]]*$AD$5/10000</f>
        <v>-1349.7783769573093</v>
      </c>
      <c r="AE32" s="277"/>
      <c r="AF32" s="231" t="str">
        <f>_xll.BDP(B32&amp;" Equity","EXPECTED_REPORT_DT")</f>
        <v>11/02/2026</v>
      </c>
      <c r="AG32" s="172" t="e">
        <f>_xll.BDP(B32&amp;" Index","CHG_PCT_1D_PRE_FROM_REGULAR")/100</f>
        <v>#VALUE!</v>
      </c>
      <c r="AH32" s="20" t="e">
        <f t="shared" ref="AH32" si="47">(T32*AG32)/$AD$7*10000</f>
        <v>#VALUE!</v>
      </c>
      <c r="AI32" s="455" t="str">
        <f>_xll.BDP(B32&amp;" Equity","DVD_EX_DT")</f>
        <v>28/11/2025</v>
      </c>
    </row>
    <row r="33" spans="2:35">
      <c r="B33" s="40" t="s">
        <v>4</v>
      </c>
      <c r="C33" t="s">
        <v>2265</v>
      </c>
      <c r="E33" t="s">
        <v>194</v>
      </c>
      <c r="F33" s="22" t="s">
        <v>100</v>
      </c>
      <c r="G33" s="15"/>
      <c r="H33" s="456">
        <v>-27500</v>
      </c>
      <c r="I33" s="36" cm="1">
        <f t="array" ref="I33">_xll.BDP(B33&amp;" Equity","LAST_PRICE")</f>
        <v>82.51</v>
      </c>
      <c r="J33" s="51">
        <f t="shared" si="34"/>
        <v>2.917223775373845E-3</v>
      </c>
      <c r="K33" s="438" cm="1">
        <f t="array" ref="K33">_xll.BDP(B33&amp;" EQUITY","PX_YEST_CLOSE")</f>
        <v>82.27</v>
      </c>
      <c r="L33" s="53" cm="1">
        <f t="array" ref="L33">_xll.BDP(E33&amp;" Curncy","PX_LAST")</f>
        <v>1</v>
      </c>
      <c r="M33" s="52">
        <v>1</v>
      </c>
      <c r="N33" s="15">
        <f t="shared" si="35"/>
        <v>-2269025</v>
      </c>
      <c r="O33" s="357">
        <f>IFERROR(IF(Tabelad[[#This Row],[D1 Exp USD]]&lt;&gt;0,N33/$AE$7,0),"-")</f>
        <v>-9.4694056818494046E-4</v>
      </c>
      <c r="P33" s="20">
        <f>IFERROR(IF(Tabelad[[#This Row],[D1 Exp USD]]&lt;&gt;0,((I33-K33)/L33*M33*H33)/$AD$7*10000,0),"-")</f>
        <v>-2.7544023314070337E-2</v>
      </c>
      <c r="Q33" s="15">
        <f>IF(SUM(SUMIFS(Options!$AL$4:$AL$23, Options!$D$4:$D$23, B33), SUMIFS(Options!$AL$4:$AL$23, Options!$D$4:$D$23, B33 &amp; " US"))=0,0,SUM(SUMIFS(Options!$AL$4:$AL$23, Options!$D$4:$D$23, B33), SUMIFS(Options!$AL$4:$AL$23, Options!$D$4:$D$23, B33 &amp; " US")))</f>
        <v>0</v>
      </c>
      <c r="R33" s="19">
        <f t="shared" si="16"/>
        <v>0</v>
      </c>
      <c r="S33" s="20">
        <f>IF(SUM(SUMIFS(Options!$AK$4:$AK$23, Options!$D$4:$D$23, B33), SUMIFS(Options!$AK$4:$AK$23, Options!$D$4:$D$23, B33 &amp; " US"))=0,0,SUM(SUMIFS(Options!$AK$4:$AK$23, Options!$D$4:$D$23, B33), SUMIFS(Options!AK$4:$AK$23, Options!$D$4:$D$23, B33 &amp; " US")))</f>
        <v>0</v>
      </c>
      <c r="T33" s="13">
        <f t="shared" si="36"/>
        <v>-2269025</v>
      </c>
      <c r="U33" s="48">
        <f t="shared" si="37"/>
        <v>-9.4694056818494046E-4</v>
      </c>
      <c r="V33" s="20">
        <f t="shared" si="38"/>
        <v>-2.7544023314070337E-2</v>
      </c>
      <c r="W33" s="15">
        <f t="shared" si="39"/>
        <v>10164.31265422373</v>
      </c>
      <c r="X33" s="19"/>
      <c r="Y33" s="375">
        <f>Tabelad[[#This Row],[Exp %]]*$Y$10*$AD$7/Tabelad[[#This Row],[Price Today]]</f>
        <v>-9625</v>
      </c>
      <c r="Z33" s="266">
        <f>Tabelad[[#This Row],[Vol 10d]]/16*Tabelad[[#This Row],[Exp %]]*100</f>
        <v>-6.0249509252684075E-2</v>
      </c>
      <c r="AA33" s="19">
        <f>Tabelad[[#This Row],[Exp %]]*Tabelad[[#This Row],[Beta Adj2]]</f>
        <v>-9.497070191270406E-4</v>
      </c>
      <c r="AB33" s="36">
        <f>_xll.BDP($B33&amp;" Equity","volatility_10d")</f>
        <v>10.180070222259973</v>
      </c>
      <c r="AC33" s="36">
        <f>_xll.BDP(B33&amp;" EQUITY","eqy_beta")</f>
        <v>1.002921462059021</v>
      </c>
      <c r="AD33" s="15">
        <f>Tabelad[[#This Row],[D1 P&amp;L bps]]*$AD$5/10000</f>
        <v>-6186.4842277211555</v>
      </c>
      <c r="AE33" s="277"/>
      <c r="AF33" s="231" t="str">
        <f>_xll.BDP(B33&amp;" Equity","EXPECTED_REPORT_DT")</f>
        <v>#N/A N/A</v>
      </c>
      <c r="AG33" s="172">
        <f>_xll.BDP(B33&amp;" Index","CHG_PCT_1D_PRE_FROM_REGULAR")/100</f>
        <v>-2.430612E-4</v>
      </c>
      <c r="AH33" s="20">
        <f t="shared" si="40"/>
        <v>2.3016451083171349E-3</v>
      </c>
      <c r="AI33" s="455" t="str">
        <f>_xll.BDP(B33&amp;" Equity","DVD_EX_DT")</f>
        <v>22/12/2025</v>
      </c>
    </row>
    <row r="34" spans="2:35">
      <c r="C34" s="40"/>
      <c r="D34" s="40"/>
      <c r="E34" s="40"/>
      <c r="H34" s="13"/>
      <c r="I34" s="53"/>
      <c r="K34" s="53"/>
      <c r="L34" s="53"/>
      <c r="M34" s="36"/>
      <c r="S34" s="277"/>
      <c r="U34" s="71"/>
      <c r="V34" s="65"/>
      <c r="X34" s="53"/>
      <c r="Y34" s="453"/>
      <c r="Z34" s="19"/>
      <c r="AG34" s="53"/>
      <c r="AI34" s="48"/>
    </row>
    <row r="35" spans="2:35">
      <c r="C35" s="21"/>
      <c r="D35" s="21"/>
      <c r="E35" s="21"/>
      <c r="H35" s="13"/>
      <c r="L35" s="3"/>
      <c r="S35" s="276"/>
    </row>
    <row r="36" spans="2:35">
      <c r="C36" s="21"/>
      <c r="D36" s="21"/>
      <c r="E36" s="21"/>
      <c r="H36" s="13"/>
      <c r="L36" s="3"/>
      <c r="S36" s="276"/>
    </row>
    <row r="37" spans="2:35">
      <c r="C37" s="21"/>
      <c r="D37" s="21"/>
      <c r="E37" s="21"/>
      <c r="H37" s="13"/>
      <c r="L37" s="3"/>
      <c r="S37" s="276"/>
    </row>
    <row r="38" spans="2:35">
      <c r="C38" s="21"/>
      <c r="D38" s="21"/>
      <c r="E38" s="21"/>
      <c r="H38" s="13"/>
      <c r="S38" s="276"/>
    </row>
    <row r="39" spans="2:35">
      <c r="C39" s="21"/>
      <c r="D39" s="21"/>
      <c r="E39" s="21"/>
      <c r="S39" s="276"/>
    </row>
    <row r="40" spans="2:35">
      <c r="C40" s="21"/>
      <c r="D40" s="21"/>
      <c r="E40" s="21"/>
      <c r="H40" s="13"/>
    </row>
    <row r="41" spans="2:35">
      <c r="C41" s="21"/>
      <c r="D41" s="21"/>
      <c r="E41" s="21"/>
    </row>
    <row r="42" spans="2:35">
      <c r="C42" s="21"/>
      <c r="D42" s="21"/>
      <c r="E42" s="21"/>
    </row>
    <row r="43" spans="2:35">
      <c r="C43" s="21"/>
      <c r="D43" s="21"/>
      <c r="E43" s="21"/>
    </row>
    <row r="44" spans="2:35">
      <c r="C44" s="21"/>
      <c r="D44" s="21"/>
      <c r="E44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3">
    <cfRule type="colorScale" priority="5499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33">
    <cfRule type="colorScale" priority="549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0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33">
    <cfRule type="dataBar" priority="550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33">
    <cfRule type="colorScale" priority="550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33">
    <cfRule type="dataBar" priority="550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33">
    <cfRule type="colorScale" priority="550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33">
    <cfRule type="colorScale" priority="550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50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33">
    <cfRule type="colorScale" priority="55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33">
    <cfRule type="colorScale" priority="550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AB12:AB33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2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D32" sqref="D32"/>
    </sheetView>
  </sheetViews>
  <sheetFormatPr defaultRowHeight="15" outlineLevelCol="1"/>
  <cols>
    <col min="1" max="1" width="3.5703125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2.0722904442233481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SUM(V4:V23)</f>
        <v>19.677325055465126</v>
      </c>
      <c r="W1" s="50">
        <f>SUM(W4:W23)</f>
        <v>18.747557768482828</v>
      </c>
      <c r="X1" s="50">
        <f>SUM(X4:X23)</f>
        <v>5.5449999999999733</v>
      </c>
      <c r="Y1" s="269"/>
      <c r="AG1" s="43"/>
      <c r="AI1" s="415">
        <f>SUM(AI4:AI23)*252</f>
        <v>-20.807726542602762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2125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 s="59" customFormat="1">
      <c r="A4" s="424"/>
      <c r="B4" s="59" t="s">
        <v>2258</v>
      </c>
      <c r="C4" s="59" t="str" cm="1">
        <f t="array" ref="C4">_xll.BDP($B4&amp;" Equity","opt_put_call")</f>
        <v>Put</v>
      </c>
      <c r="D4" s="59" t="str" cm="1">
        <f t="array" ref="D4">_xll.BDP(B4&amp;" Equity","OPT_UNDL_TICKER")</f>
        <v>AMAT US</v>
      </c>
      <c r="E4" s="59" t="str" cm="1">
        <f t="array" ref="E4">_xll.BDP($B4&amp;" Equity","mifid_Maturity_date")</f>
        <v>23/01/2026</v>
      </c>
      <c r="F4" s="59" cm="1">
        <f t="array" ref="F4">_xll.BDP($B4&amp;" Equity","opt_days_expire")</f>
        <v>0</v>
      </c>
      <c r="G4" s="59" t="str" cm="1">
        <f t="array" ref="G4">_xll.BDP(B4&amp;" Equity","QUOTED_CURRENCY_REALTIME")</f>
        <v>USD</v>
      </c>
      <c r="H4" s="404">
        <v>125</v>
      </c>
      <c r="I4" s="411">
        <v>3.75</v>
      </c>
      <c r="J4" s="14">
        <f>VLOOKUP(B4,Precificação!$B:$O,14,FALSE)</f>
        <v>6.9030078501015292E-3</v>
      </c>
      <c r="K4" s="14">
        <f>+J4</f>
        <v>6.9030078501015292E-3</v>
      </c>
      <c r="L4" s="14" cm="1">
        <f t="array" ref="L4">_xll.BDP($B4&amp;" Equity","mid")</f>
        <v>0.05</v>
      </c>
      <c r="M4" s="128">
        <f t="shared" ref="M4:M23" si="0">L4/Z4</f>
        <v>1.5603545125452505E-4</v>
      </c>
      <c r="N4" s="425"/>
      <c r="O4" s="128">
        <f t="shared" ref="O4:O23" si="1">L4/K4-1</f>
        <v>6.2432193452111759</v>
      </c>
      <c r="P4" s="14" cm="1">
        <f t="array" ref="P4">_xll.BDP($B4&amp;" Equity","bid")</f>
        <v>0.01</v>
      </c>
      <c r="Q4" s="14" cm="1">
        <f t="array" ref="Q4">_xll.BDP($B4&amp;" Equity","ask")</f>
        <v>0.08</v>
      </c>
      <c r="R4" s="423">
        <f t="shared" ref="R4:R23" si="2">(Q4/P4-1)</f>
        <v>7</v>
      </c>
      <c r="S4" s="14" cm="1">
        <f t="array" ref="S4">_xll.BDP(G4&amp;" Curncy","PX_LAST")</f>
        <v>1</v>
      </c>
      <c r="T4" s="404" cm="1">
        <f t="array" ref="T4">_xll.BDP(B4&amp;" Equity","OPT_MULTIPLIER")</f>
        <v>100</v>
      </c>
      <c r="U4" s="404">
        <f t="shared" ref="U4:U23" si="3">(L4/S4)*H4*T4</f>
        <v>625</v>
      </c>
      <c r="V4" s="426">
        <f>U4/'Master P&amp;L'!$AD$7*10000</f>
        <v>2.6083355411050469E-3</v>
      </c>
      <c r="W4" s="426">
        <f>(Y4*H4*T4/S4)/'Master P&amp;L'!$AD$7*10000</f>
        <v>2.6083355411050469E-3</v>
      </c>
      <c r="X4" s="427">
        <f t="shared" ref="X4:X23" si="4">IF(C4="Put",IF(Z4&lt;AA4,AA4-Z4,0),IF(Z4&gt;AA4,Z4-AA4,0))</f>
        <v>0</v>
      </c>
      <c r="Y4" s="428">
        <f t="shared" ref="Y4:Y23" si="5">L4-X4</f>
        <v>0.05</v>
      </c>
      <c r="Z4" s="429">
        <f>_xll.BDP(D4&amp;" Equity","LAST_PRICE")</f>
        <v>320.44</v>
      </c>
      <c r="AA4" s="429" cm="1">
        <f t="array" ref="AA4">_xll.BDP(B4&amp;" Equity","OPT_STRIKE_PX")</f>
        <v>290</v>
      </c>
      <c r="AB4" s="423">
        <f t="shared" ref="AB4:AB23" si="6">AA4/Z4-1</f>
        <v>-9.4994382723754822E-2</v>
      </c>
      <c r="AC4" s="430" cm="1">
        <f t="array" ref="AC4">_xll.BDP($D4&amp;" Equity","volatility_10d")</f>
        <v>42.312486091034962</v>
      </c>
      <c r="AD4" s="429" cm="1">
        <f t="array" ref="AD4">_xll.BDP(B4&amp;" Equity","ivol_mid")</f>
        <v>142.13570000000001</v>
      </c>
      <c r="AE4" s="429">
        <f t="shared" ref="AE4:AE23" si="7">AD4/AC4</f>
        <v>3.3591904690779981</v>
      </c>
      <c r="AF4" s="431" cm="1">
        <f t="array" ref="AF4">_xll.BDP(B4&amp;" Equity","DELTA_MID_RT")</f>
        <v>-9.4167161732912064E-3</v>
      </c>
      <c r="AG4" s="128">
        <f>AL4/'Master P&amp;L'!$AE$7</f>
        <v>-1.5741266025006522E-5</v>
      </c>
      <c r="AH4" s="128">
        <f>AM4/'Master P&amp;L'!$AE$7</f>
        <v>-1.6716300815834023E-3</v>
      </c>
      <c r="AI4" s="440">
        <f>AO4/'Master P&amp;L'!$AD$7*10000</f>
        <v>0</v>
      </c>
      <c r="AJ4" s="425">
        <f t="shared" ref="AJ4:AJ23" si="8">(252*AI4)/$AI$1</f>
        <v>0</v>
      </c>
      <c r="AK4" s="431">
        <f>AP4/'Master P&amp;L'!$AD$7*10000</f>
        <v>2.2482283267861078E-3</v>
      </c>
      <c r="AL4" s="404">
        <f t="shared" ref="AL4:AL23" si="9">Z4*AF4*H4*T4/S4</f>
        <v>-37718.656632117927</v>
      </c>
      <c r="AM4" s="404">
        <f t="shared" ref="AM4:AM23" si="10">IF(C4="Put",-Z4*H4*T4/S4,Z4*H4*T4/S4)</f>
        <v>-4005500</v>
      </c>
      <c r="AN4" s="431" cm="1">
        <f t="array" ref="AN4">_xll.BDP($B4&amp;" Equity","theta_mid_rt")</f>
        <v>0</v>
      </c>
      <c r="AO4" s="404">
        <f t="shared" ref="AO4:AO23" si="11">AN4*H4*T4/S4</f>
        <v>0</v>
      </c>
      <c r="AP4" s="404">
        <f t="shared" ref="AP4:AP23" si="12">(L4-K4)*T4/S4*H4</f>
        <v>538.71240187373098</v>
      </c>
      <c r="AQ4" s="14" t="str" cm="1">
        <f t="array" ref="AQ4">_xll.BDP($D4&amp;" Equity","EXPECTED_REPORT_DT")</f>
        <v>12/02/2026</v>
      </c>
      <c r="AR4" s="114" cm="1">
        <f t="array" ref="AR4">_xll.BDP($B4&amp;" Equity","GAMMA_LAST")</f>
        <v>8.2539999999999992E-3</v>
      </c>
      <c r="AS4" s="59">
        <f t="shared" ref="AS4:AS23" si="13">$Z4*($AR4*$Z4*$AS$3)*$H4*$T4/$S4</f>
        <v>105941.94054679999</v>
      </c>
      <c r="AT4" s="59">
        <f t="shared" ref="AT4:AT23" si="14">$Z4*($AR4*$Z4*$AT$3)*$H4*$T4/$S4</f>
        <v>529709.70273399993</v>
      </c>
      <c r="AU4" s="59" t="s">
        <v>151</v>
      </c>
      <c r="AV4" s="337" cm="1">
        <f t="array" ref="AV4">_xll.BDP($D4&amp;" Equity","EST_PE_NXT_YR")*(AA4/Z4)</f>
        <v>24.341583550347789</v>
      </c>
      <c r="AX4" s="404"/>
      <c r="AY4" s="404">
        <v>0.09</v>
      </c>
      <c r="AZ4" s="432"/>
      <c r="BA4" s="404">
        <f t="shared" ref="BA4:BA23" si="15">+AY4</f>
        <v>0.09</v>
      </c>
      <c r="BB4" s="433">
        <f t="shared" ref="BB4:BB23" si="16">+J4</f>
        <v>6.9030078501015292E-3</v>
      </c>
      <c r="BC4" s="433">
        <f t="shared" ref="BC4:BC23" si="17">(BB4-BA4)*H4*100</f>
        <v>-1038.7124018737309</v>
      </c>
      <c r="BD4" s="433">
        <f>BC4/'Master P&amp;L'!$AD$7*10000</f>
        <v>-4.3348967596701449E-3</v>
      </c>
    </row>
    <row r="5" spans="1:56" s="59" customFormat="1">
      <c r="A5" s="424"/>
      <c r="B5" s="59" t="s">
        <v>2257</v>
      </c>
      <c r="C5" s="59" t="str" cm="1">
        <f t="array" ref="C5">_xll.BDP($B5&amp;" Equity","opt_put_call")</f>
        <v>Put</v>
      </c>
      <c r="D5" s="59" t="str" cm="1">
        <f t="array" ref="D5">_xll.BDP(B5&amp;" Equity","OPT_UNDL_TICKER")</f>
        <v>AMAT US</v>
      </c>
      <c r="E5" s="59" t="str" cm="1">
        <f t="array" ref="E5">_xll.BDP($B5&amp;" Equity","mifid_Maturity_date")</f>
        <v>23/01/2026</v>
      </c>
      <c r="F5" s="59" cm="1">
        <f t="array" ref="F5">_xll.BDP($B5&amp;" Equity","opt_days_expire")</f>
        <v>0</v>
      </c>
      <c r="G5" s="59" t="str" cm="1">
        <f t="array" ref="G5">_xll.BDP(B5&amp;" Equity","QUOTED_CURRENCY_REALTIME")</f>
        <v>USD</v>
      </c>
      <c r="H5" s="404">
        <v>-25</v>
      </c>
      <c r="I5" s="411">
        <v>1.66</v>
      </c>
      <c r="J5" s="14">
        <f>VLOOKUP(B5,Precificação!$B:$O,14,FALSE)</f>
        <v>3.2383987497254919E-4</v>
      </c>
      <c r="K5" s="14">
        <f t="shared" ref="K5:K23" si="18">+J5</f>
        <v>3.2383987497254919E-4</v>
      </c>
      <c r="L5" s="14" cm="1">
        <f t="array" ref="L5">_xll.BDP($B5&amp;" Equity","mid")</f>
        <v>0.06</v>
      </c>
      <c r="M5" s="128">
        <f t="shared" si="0"/>
        <v>1.8724254150543002E-4</v>
      </c>
      <c r="N5" s="425"/>
      <c r="O5" s="128">
        <f t="shared" si="1"/>
        <v>184.27675137314696</v>
      </c>
      <c r="P5" s="14" t="str" cm="1">
        <f t="array" ref="P5">_xll.BDP($B5&amp;" Equity","bid")</f>
        <v>#N/A N/A</v>
      </c>
      <c r="Q5" s="14" cm="1">
        <f t="array" ref="Q5">_xll.BDP($B5&amp;" Equity","ask")</f>
        <v>0.06</v>
      </c>
      <c r="R5" s="423" t="e">
        <f t="shared" si="2"/>
        <v>#VALUE!</v>
      </c>
      <c r="S5" s="14" cm="1">
        <f t="array" ref="S5">_xll.BDP(G5&amp;" Curncy","PX_LAST")</f>
        <v>1</v>
      </c>
      <c r="T5" s="404" cm="1">
        <f t="array" ref="T5">_xll.BDP(B5&amp;" Equity","OPT_MULTIPLIER")</f>
        <v>100</v>
      </c>
      <c r="U5" s="404">
        <f t="shared" si="3"/>
        <v>-150</v>
      </c>
      <c r="V5" s="426">
        <f>U5/'Master P&amp;L'!$AD$7*10000</f>
        <v>-6.260005298652111E-4</v>
      </c>
      <c r="W5" s="426">
        <f>(Y5*H5*T5/S5)/'Master P&amp;L'!$AD$7*10000</f>
        <v>-6.260005298652111E-4</v>
      </c>
      <c r="X5" s="427">
        <f t="shared" si="4"/>
        <v>0</v>
      </c>
      <c r="Y5" s="428">
        <f t="shared" si="5"/>
        <v>0.06</v>
      </c>
      <c r="Z5" s="429">
        <f>_xll.BDP(D5&amp;" Equity","LAST_PRICE")</f>
        <v>320.44</v>
      </c>
      <c r="AA5" s="429" cm="1">
        <f t="array" ref="AA5">_xll.BDP(B5&amp;" Equity","OPT_STRIKE_PX")</f>
        <v>280</v>
      </c>
      <c r="AB5" s="423">
        <f t="shared" si="6"/>
        <v>-0.12620147297465989</v>
      </c>
      <c r="AC5" s="430" cm="1">
        <f t="array" ref="AC5">_xll.BDP($D5&amp;" Equity","volatility_10d")</f>
        <v>42.312486091034962</v>
      </c>
      <c r="AD5" s="429" cm="1">
        <f t="array" ref="AD5">_xll.BDP(B5&amp;" Equity","ivol_mid")</f>
        <v>247.05619999999999</v>
      </c>
      <c r="AE5" s="429">
        <f t="shared" si="7"/>
        <v>5.8388485958603482</v>
      </c>
      <c r="AF5" s="431" cm="1">
        <f t="array" ref="AF5">_xll.BDP(B5&amp;" Equity","DELTA_MID_RT")</f>
        <v>-9.3771759420633316E-3</v>
      </c>
      <c r="AG5" s="128">
        <f>AL5/'Master P&amp;L'!$AE$7</f>
        <v>3.1350338770106485E-6</v>
      </c>
      <c r="AH5" s="128">
        <f>AM5/'Master P&amp;L'!$AE$7</f>
        <v>3.3432601631668045E-4</v>
      </c>
      <c r="AI5" s="440">
        <f>AO5/'Master P&amp;L'!$AD$7*10000</f>
        <v>0</v>
      </c>
      <c r="AJ5" s="425">
        <f t="shared" si="8"/>
        <v>0</v>
      </c>
      <c r="AK5" s="431">
        <f>AP5/'Master P&amp;L'!$AD$7*10000</f>
        <v>-6.2262179764313943E-4</v>
      </c>
      <c r="AL5" s="404">
        <f t="shared" si="9"/>
        <v>7512.0556471869349</v>
      </c>
      <c r="AM5" s="404">
        <f t="shared" si="10"/>
        <v>801100</v>
      </c>
      <c r="AN5" s="431" cm="1">
        <f t="array" ref="AN5">_xll.BDP($B5&amp;" Equity","theta_mid_rt")</f>
        <v>0</v>
      </c>
      <c r="AO5" s="404">
        <f t="shared" si="11"/>
        <v>0</v>
      </c>
      <c r="AP5" s="404">
        <f t="shared" si="12"/>
        <v>-149.19040031256861</v>
      </c>
      <c r="AQ5" s="14" t="str" cm="1">
        <f t="array" ref="AQ5">_xll.BDP($D5&amp;" Equity","EXPECTED_REPORT_DT")</f>
        <v>12/02/2026</v>
      </c>
      <c r="AR5" s="114" cm="1">
        <f t="array" ref="AR5">_xll.BDP($B5&amp;" Equity","GAMMA_LAST")</f>
        <v>1.583E-3</v>
      </c>
      <c r="AS5" s="59">
        <f t="shared" si="13"/>
        <v>-4063.6319817200006</v>
      </c>
      <c r="AT5" s="59">
        <f t="shared" si="14"/>
        <v>-20318.159908599999</v>
      </c>
      <c r="AU5" s="59" t="s">
        <v>151</v>
      </c>
      <c r="AV5" s="337" cm="1">
        <f t="array" ref="AV5">_xll.BDP($D5&amp;" Equity","EST_PE_NXT_YR")*(AA5/Z5)</f>
        <v>23.502218600335794</v>
      </c>
      <c r="AX5" s="404"/>
      <c r="AY5" s="404">
        <v>0.24</v>
      </c>
      <c r="AZ5" s="432"/>
      <c r="BA5" s="404">
        <f t="shared" si="15"/>
        <v>0.24</v>
      </c>
      <c r="BB5" s="433">
        <f t="shared" si="16"/>
        <v>3.2383987497254919E-4</v>
      </c>
      <c r="BC5" s="433">
        <f t="shared" si="17"/>
        <v>599.1904003125685</v>
      </c>
      <c r="BD5" s="433">
        <f>BC5/'Master P&amp;L'!$AD$7*10000</f>
        <v>2.5006233872387723E-3</v>
      </c>
    </row>
    <row r="6" spans="1:56" s="59" customFormat="1">
      <c r="A6" s="356"/>
      <c r="B6" t="s">
        <v>2318</v>
      </c>
      <c r="C6" t="str" cm="1">
        <f t="array" ref="C6">_xll.BDP($B6&amp;" Equity","opt_put_call")</f>
        <v>Call</v>
      </c>
      <c r="D6" t="str" cm="1">
        <f t="array" ref="D6">_xll.BDP(B6&amp;" Equity","OPT_UNDL_TICKER")</f>
        <v>AMZN US</v>
      </c>
      <c r="E6" t="str" cm="1">
        <f t="array" ref="E6">_xll.BDP($B6&amp;" Equity","mifid_Maturity_date")</f>
        <v>17/07/2026</v>
      </c>
      <c r="F6" cm="1">
        <f t="array" ref="F6">_xll.BDP($B6&amp;" Equity","opt_days_expire")</f>
        <v>175</v>
      </c>
      <c r="G6" t="str" cm="1">
        <f t="array" ref="G6">_xll.BDP(B6&amp;" Equity","QUOTED_CURRENCY_REALTIME")</f>
        <v>USD</v>
      </c>
      <c r="H6" s="15">
        <v>50</v>
      </c>
      <c r="I6" s="410">
        <v>19.59</v>
      </c>
      <c r="J6" s="14">
        <f>VLOOKUP(B6,Precificação!$B:$O,14,FALSE)</f>
        <v>18.975000000000001</v>
      </c>
      <c r="K6" s="14">
        <f t="shared" si="18"/>
        <v>18.975000000000001</v>
      </c>
      <c r="L6" s="74" cm="1">
        <f t="array" ref="L6">_xll.BDP($B6&amp;" Equity","mid")</f>
        <v>20.75</v>
      </c>
      <c r="M6" s="19">
        <f t="shared" si="0"/>
        <v>8.7307765131592788E-2</v>
      </c>
      <c r="N6" s="350"/>
      <c r="O6" s="19">
        <f t="shared" si="1"/>
        <v>9.3544137022397722E-2</v>
      </c>
      <c r="P6" s="36" cm="1">
        <f t="array" ref="P6">_xll.BDP($B6&amp;" Equity","bid")</f>
        <v>20.65</v>
      </c>
      <c r="Q6" s="36" cm="1">
        <f t="array" ref="Q6">_xll.BDP($B6&amp;" Equity","ask")</f>
        <v>20.85</v>
      </c>
      <c r="R6" s="40">
        <f t="shared" si="2"/>
        <v>9.6852300242131761E-3</v>
      </c>
      <c r="S6" s="36" cm="1">
        <f t="array" ref="S6">_xll.BDP(G6&amp;" Curncy","PX_LAST")</f>
        <v>1</v>
      </c>
      <c r="T6" s="15" cm="1">
        <f t="array" ref="T6">_xll.BDP(B6&amp;" Equity","OPT_MULTIPLIER")</f>
        <v>100</v>
      </c>
      <c r="U6" s="15">
        <f t="shared" si="3"/>
        <v>103750</v>
      </c>
      <c r="V6" s="124">
        <f>U6/'Master P&amp;L'!$AD$7*10000</f>
        <v>0.43298369982343771</v>
      </c>
      <c r="W6" s="124">
        <f>(Y6*H6*T6/S6)/'Master P&amp;L'!$AD$7*10000</f>
        <v>0.43298369982343771</v>
      </c>
      <c r="X6" s="413">
        <f t="shared" si="4"/>
        <v>0</v>
      </c>
      <c r="Y6" s="273">
        <f t="shared" si="5"/>
        <v>20.75</v>
      </c>
      <c r="Z6" s="37">
        <f>_xll.BDP(D6&amp;" Equity","LAST_PRICE")</f>
        <v>237.66499999999999</v>
      </c>
      <c r="AA6" s="37" cm="1">
        <f t="array" ref="AA6">_xll.BDP(B6&amp;" Equity","OPT_STRIKE_PX")</f>
        <v>245</v>
      </c>
      <c r="AB6" s="40">
        <f t="shared" si="6"/>
        <v>3.0862769023625836E-2</v>
      </c>
      <c r="AC6" s="324" cm="1">
        <f t="array" ref="AC6">_xll.BDP($D6&amp;" Equity","volatility_10d")</f>
        <v>26.899136047493656</v>
      </c>
      <c r="AD6" s="37" cm="1">
        <f t="array" ref="AD6">_xll.BDP(B6&amp;" Equity","ivol_mid")</f>
        <v>33.713839999999998</v>
      </c>
      <c r="AE6" s="37">
        <f t="shared" si="7"/>
        <v>1.2533428560855695</v>
      </c>
      <c r="AF6" s="38" cm="1">
        <f t="array" ref="AF6">_xll.BDP(B6&amp;" Equity","DELTA_MID_RT")</f>
        <v>0.52390956878662109</v>
      </c>
      <c r="AG6" s="19">
        <f>AL6/'Master P&amp;L'!$AE$7</f>
        <v>2.5982145244953501E-4</v>
      </c>
      <c r="AH6" s="19">
        <f>AM6/'Master P&amp;L'!$AE$7</f>
        <v>4.959280531013847E-4</v>
      </c>
      <c r="AI6" s="434">
        <f>AO6/'Master P&amp;L'!$AD$7*10000</f>
        <v>-1.2844713361816261E-3</v>
      </c>
      <c r="AJ6" s="350">
        <f t="shared" si="8"/>
        <v>1.5556085671110565E-2</v>
      </c>
      <c r="AK6" s="38">
        <f>AP6/'Master P&amp;L'!$AD$7*10000</f>
        <v>3.7038364683691628E-2</v>
      </c>
      <c r="AL6" s="15">
        <f t="shared" si="9"/>
        <v>622574.83832836151</v>
      </c>
      <c r="AM6" s="15">
        <f t="shared" si="10"/>
        <v>1188325</v>
      </c>
      <c r="AN6" s="38" cm="1">
        <f t="array" ref="AN6">_xll.BDP($B6&amp;" Equity","theta_mid_rt")</f>
        <v>-6.1556082218885422E-2</v>
      </c>
      <c r="AO6" s="15">
        <f t="shared" si="11"/>
        <v>-307.78041109442711</v>
      </c>
      <c r="AP6" s="15">
        <f t="shared" si="12"/>
        <v>8874.9999999999927</v>
      </c>
      <c r="AQ6" s="36" t="str" cm="1">
        <f t="array" ref="AQ6">_xll.BDP($D6&amp;" Equity","EXPECTED_REPORT_DT")</f>
        <v>05/02/2026</v>
      </c>
      <c r="AR6" s="66" cm="1">
        <f t="array" ref="AR6">_xll.BDP($B6&amp;" Equity","GAMMA_LAST")</f>
        <v>1.7142999999999999E-2</v>
      </c>
      <c r="AS6">
        <f t="shared" si="13"/>
        <v>48415.819654658742</v>
      </c>
      <c r="AT6">
        <f t="shared" si="14"/>
        <v>242079.09827329373</v>
      </c>
      <c r="AU6" t="s">
        <v>151</v>
      </c>
      <c r="AV6" s="277" cm="1">
        <f t="array" ref="AV6">_xll.BDP($D6&amp;" Equity","EST_PE_NXT_YR")*(AA6/Z6)</f>
        <v>26.114599988146811</v>
      </c>
      <c r="AW6"/>
      <c r="AX6" s="15"/>
      <c r="AY6" s="15">
        <v>20.68</v>
      </c>
      <c r="AZ6" s="355"/>
      <c r="BA6" s="15">
        <f t="shared" si="15"/>
        <v>20.68</v>
      </c>
      <c r="BB6" s="414">
        <f t="shared" si="16"/>
        <v>18.975000000000001</v>
      </c>
      <c r="BC6" s="414">
        <f t="shared" si="17"/>
        <v>-8524.9999999999909</v>
      </c>
      <c r="BD6" s="414">
        <f>BC6/'Master P&amp;L'!$AD$7*10000</f>
        <v>-3.5577696780672796E-2</v>
      </c>
    </row>
    <row r="7" spans="1:56">
      <c r="A7" s="335"/>
      <c r="B7" s="73" t="s">
        <v>2234</v>
      </c>
      <c r="C7" s="73" t="str" cm="1">
        <f t="array" ref="C7">_xll.BDP($B7&amp;" Equity","opt_put_call")</f>
        <v>Call</v>
      </c>
      <c r="D7" s="73" t="str" cm="1">
        <f t="array" ref="D7">_xll.BDP(B7&amp;" Equity","OPT_UNDL_TICKER")</f>
        <v>ASHR US</v>
      </c>
      <c r="E7" s="73" t="str" cm="1">
        <f t="array" ref="E7">_xll.BDP($B7&amp;" Equity","mifid_Maturity_date")</f>
        <v>20/02/2026</v>
      </c>
      <c r="F7" s="73" cm="1">
        <f t="array" ref="F7">_xll.BDP($B7&amp;" Equity","opt_days_expire")</f>
        <v>28</v>
      </c>
      <c r="G7" s="73" t="str" cm="1">
        <f t="array" ref="G7">_xll.BDP(B7&amp;" Equity","QUOTED_CURRENCY_REALTIME")</f>
        <v>USD</v>
      </c>
      <c r="H7" s="42">
        <v>2000</v>
      </c>
      <c r="I7" s="409">
        <v>0.48</v>
      </c>
      <c r="J7" s="14">
        <f>VLOOKUP(B7,Precificação!$B:$O,14,FALSE)</f>
        <v>0.28418264436825641</v>
      </c>
      <c r="K7" s="14">
        <f t="shared" si="18"/>
        <v>0.28418264436825641</v>
      </c>
      <c r="L7" s="74" cm="1">
        <f t="array" ref="L7">_xll.BDP($B7&amp;" Equity","mid")</f>
        <v>0.2</v>
      </c>
      <c r="M7" s="75">
        <f t="shared" si="0"/>
        <v>5.9719319199761124E-3</v>
      </c>
      <c r="N7" s="352"/>
      <c r="O7" s="75">
        <f t="shared" si="1"/>
        <v>-0.29622725397392258</v>
      </c>
      <c r="P7" s="74" cm="1">
        <f t="array" ref="P7">_xll.BDP($B7&amp;" Equity","bid")</f>
        <v>0.18</v>
      </c>
      <c r="Q7" s="74" cm="1">
        <f t="array" ref="Q7">_xll.BDP($B7&amp;" Equity","ask")</f>
        <v>0.21</v>
      </c>
      <c r="R7" s="76">
        <f t="shared" si="2"/>
        <v>0.16666666666666674</v>
      </c>
      <c r="S7" s="36" cm="1">
        <f t="array" ref="S7">_xll.BDP(G7&amp;" Curncy","PX_LAST")</f>
        <v>1</v>
      </c>
      <c r="T7" s="42" cm="1">
        <f t="array" ref="T7">_xll.BDP(B7&amp;" Equity","OPT_MULTIPLIER")</f>
        <v>100</v>
      </c>
      <c r="U7" s="42">
        <f t="shared" si="3"/>
        <v>40000</v>
      </c>
      <c r="V7" s="113">
        <f>U7/'Master P&amp;L'!$AD$7*10000</f>
        <v>0.166933474630723</v>
      </c>
      <c r="W7" s="113">
        <f>(Y7*H7*T7/S7)/'Master P&amp;L'!$AD$7*10000</f>
        <v>0.166933474630723</v>
      </c>
      <c r="X7" s="118">
        <f t="shared" si="4"/>
        <v>0</v>
      </c>
      <c r="Y7" s="272">
        <f t="shared" si="5"/>
        <v>0.2</v>
      </c>
      <c r="Z7" s="77">
        <f>_xll.BDP(D7&amp;" Equity","LAST_PRICE")</f>
        <v>33.49</v>
      </c>
      <c r="AA7" s="77" cm="1">
        <f t="array" ref="AA7">_xll.BDP(B7&amp;" Equity","OPT_STRIKE_PX")</f>
        <v>35</v>
      </c>
      <c r="AB7" s="76">
        <f t="shared" si="6"/>
        <v>4.5088085995819593E-2</v>
      </c>
      <c r="AC7" s="323" cm="1">
        <f t="array" ref="AC7">_xll.BDP($D7&amp;" Equity","volatility_10d")</f>
        <v>14.925428562454337</v>
      </c>
      <c r="AD7" s="77" cm="1">
        <f t="array" ref="AD7">_xll.BDP(B7&amp;" Equity","ivol_mid")</f>
        <v>19.425509999999999</v>
      </c>
      <c r="AE7" s="77">
        <f t="shared" si="7"/>
        <v>1.3015043366235957</v>
      </c>
      <c r="AF7" s="78" cm="1">
        <f t="array" ref="AF7">_xll.BDP(B7&amp;" Equity","DELTA_MID_RT")</f>
        <v>0.21080794930458069</v>
      </c>
      <c r="AG7" s="75">
        <f>AL7/'Master P&amp;L'!$AE$7</f>
        <v>5.8927167839066259E-4</v>
      </c>
      <c r="AH7" s="75">
        <f>AM7/'Master P&amp;L'!$AE$7</f>
        <v>2.7953010326914563E-3</v>
      </c>
      <c r="AI7" s="435">
        <f>AO7/'Master P&amp;L'!$AD$7*10000</f>
        <v>-7.269924612634592E-3</v>
      </c>
      <c r="AJ7" s="350">
        <f t="shared" si="8"/>
        <v>8.8045226787892825E-2</v>
      </c>
      <c r="AK7" s="78">
        <f>AP7/'Master P&amp;L'!$AD$7*10000</f>
        <v>-7.026450663997752E-2</v>
      </c>
      <c r="AL7" s="42">
        <f t="shared" si="9"/>
        <v>1411991.6444420815</v>
      </c>
      <c r="AM7" s="42">
        <f t="shared" si="10"/>
        <v>6698000</v>
      </c>
      <c r="AN7" s="78" cm="1">
        <f t="array" ref="AN7">_xll.BDP($B7&amp;" Equity","theta_mid_rt")</f>
        <v>-8.709966205060482E-3</v>
      </c>
      <c r="AO7" s="42">
        <f t="shared" si="11"/>
        <v>-1741.9932410120964</v>
      </c>
      <c r="AP7" s="42">
        <f t="shared" si="12"/>
        <v>-16836.528873651278</v>
      </c>
      <c r="AQ7" s="74" t="str" cm="1">
        <f t="array" ref="AQ7">_xll.BDP($D7&amp;" Equity","EXPECTED_REPORT_DT")</f>
        <v>#N/A N/A</v>
      </c>
      <c r="AR7" s="235" cm="1">
        <f t="array" ref="AR7">_xll.BDP($B7&amp;" Equity","GAMMA_LAST")</f>
        <v>6.3774999999999998E-2</v>
      </c>
      <c r="AS7" s="73">
        <f t="shared" si="13"/>
        <v>143057.54175500004</v>
      </c>
      <c r="AT7" s="73">
        <f t="shared" si="14"/>
        <v>715287.70877500018</v>
      </c>
      <c r="AU7" s="73" t="s">
        <v>151</v>
      </c>
      <c r="AV7" s="322" t="e" cm="1">
        <f t="array" ref="AV7">_xll.BDP($D7&amp;" Equity","EST_PE_NXT_YR")*(AA7/Z7)</f>
        <v>#VALUE!</v>
      </c>
      <c r="AW7" s="73"/>
      <c r="AX7" s="42"/>
      <c r="AY7" s="42">
        <v>0.22</v>
      </c>
      <c r="AZ7" s="354"/>
      <c r="BA7" s="42">
        <f t="shared" si="15"/>
        <v>0.22</v>
      </c>
      <c r="BB7" s="346">
        <f t="shared" si="16"/>
        <v>0.28418264436825641</v>
      </c>
      <c r="BC7" s="346">
        <f t="shared" si="17"/>
        <v>12836.528873651281</v>
      </c>
      <c r="BD7" s="346">
        <f>BC7/'Master P&amp;L'!$AD$7*10000</f>
        <v>5.3571159176905227E-2</v>
      </c>
    </row>
    <row r="8" spans="1:56" s="59" customFormat="1">
      <c r="A8" s="356"/>
      <c r="B8" t="s">
        <v>2106</v>
      </c>
      <c r="C8" t="str" cm="1">
        <f t="array" ref="C8">_xll.BDP($B8&amp;" Equity","opt_put_call")</f>
        <v>Call</v>
      </c>
      <c r="D8" t="str" cm="1">
        <f t="array" ref="D8">_xll.BDP(B8&amp;" Equity","OPT_UNDL_TICKER")</f>
        <v>AVGO US</v>
      </c>
      <c r="E8" t="str" cm="1">
        <f t="array" ref="E8">_xll.BDP($B8&amp;" Equity","mifid_Maturity_date")</f>
        <v>18/06/2026</v>
      </c>
      <c r="F8" cm="1">
        <f t="array" ref="F8">_xll.BDP($B8&amp;" Equity","opt_days_expire")</f>
        <v>146</v>
      </c>
      <c r="G8" t="str" cm="1">
        <f t="array" ref="G8">_xll.BDP(B8&amp;" Equity","QUOTED_CURRENCY_REALTIME")</f>
        <v>USD</v>
      </c>
      <c r="H8" s="15">
        <v>120</v>
      </c>
      <c r="I8" s="410">
        <v>37.5</v>
      </c>
      <c r="J8" s="14">
        <f>VLOOKUP(B8,Precificação!$B:$O,14,FALSE)</f>
        <v>33.075000000000003</v>
      </c>
      <c r="K8" s="14">
        <f t="shared" si="18"/>
        <v>33.075000000000003</v>
      </c>
      <c r="L8" s="74" cm="1">
        <f t="array" ref="L8">_xll.BDP($B8&amp;" Equity","mid")</f>
        <v>28.88</v>
      </c>
      <c r="M8" s="19">
        <f t="shared" si="0"/>
        <v>9.0949171757888761E-2</v>
      </c>
      <c r="N8" s="350"/>
      <c r="O8" s="19">
        <f t="shared" si="1"/>
        <v>-0.12683295540438411</v>
      </c>
      <c r="P8" s="36" cm="1">
        <f t="array" ref="P8">_xll.BDP($B8&amp;" Equity","bid")</f>
        <v>28.75</v>
      </c>
      <c r="Q8" s="36" cm="1">
        <f t="array" ref="Q8">_xll.BDP($B8&amp;" Equity","ask")</f>
        <v>29</v>
      </c>
      <c r="R8" s="40">
        <f t="shared" si="2"/>
        <v>8.6956521739129933E-3</v>
      </c>
      <c r="S8" s="36" cm="1">
        <f t="array" ref="S8">_xll.BDP(G8&amp;" Curncy","PX_LAST")</f>
        <v>1</v>
      </c>
      <c r="T8" s="15" cm="1">
        <f t="array" ref="T8">_xll.BDP(B8&amp;" Equity","OPT_MULTIPLIER")</f>
        <v>100</v>
      </c>
      <c r="U8" s="15">
        <f t="shared" si="3"/>
        <v>346560</v>
      </c>
      <c r="V8" s="124">
        <f>U8/'Master P&amp;L'!$AD$7*10000</f>
        <v>1.4463116242005838</v>
      </c>
      <c r="W8" s="124">
        <f>(Y8*H8*T8/S8)/'Master P&amp;L'!$AD$7*10000</f>
        <v>1.4463116242005838</v>
      </c>
      <c r="X8" s="413">
        <f t="shared" si="4"/>
        <v>0</v>
      </c>
      <c r="Y8" s="273">
        <f t="shared" si="5"/>
        <v>28.88</v>
      </c>
      <c r="Z8" s="37">
        <f>_xll.BDP(D8&amp;" Equity","LAST_PRICE")</f>
        <v>317.54000000000002</v>
      </c>
      <c r="AA8" s="37" cm="1">
        <f t="array" ref="AA8">_xll.BDP(B8&amp;" Equity","OPT_STRIKE_PX")</f>
        <v>350</v>
      </c>
      <c r="AB8" s="40">
        <f t="shared" si="6"/>
        <v>0.10222334194117266</v>
      </c>
      <c r="AC8" s="324" cm="1">
        <f t="array" ref="AC8">_xll.BDP($D8&amp;" Equity","volatility_10d")</f>
        <v>45.479392045960786</v>
      </c>
      <c r="AD8" s="37" cm="1">
        <f t="array" ref="AD8">_xll.BDP(B8&amp;" Equity","ivol_mid")</f>
        <v>49.986420000000003</v>
      </c>
      <c r="AE8" s="37">
        <f t="shared" si="7"/>
        <v>1.0991004442074441</v>
      </c>
      <c r="AF8" s="38" cm="1">
        <f t="array" ref="AF8">_xll.BDP(B8&amp;" Equity","DELTA_MID_RT")</f>
        <v>0.45659318566322327</v>
      </c>
      <c r="AG8" s="19">
        <f>AL8/'Master P&amp;L'!$AE$7</f>
        <v>7.2609350826574777E-4</v>
      </c>
      <c r="AH8" s="19">
        <f>AM8/'Master P&amp;L'!$AE$7</f>
        <v>1.5902416660271935E-3</v>
      </c>
      <c r="AI8" s="434">
        <f>AO8/'Master P&amp;L'!$AD$7*10000</f>
        <v>-6.8066213118419755E-3</v>
      </c>
      <c r="AJ8" s="350">
        <f t="shared" si="8"/>
        <v>8.2434213419339819E-2</v>
      </c>
      <c r="AK8" s="38">
        <f>AP8/'Master P&amp;L'!$AD$7*10000</f>
        <v>-0.21008577782276508</v>
      </c>
      <c r="AL8" s="15">
        <f t="shared" si="9"/>
        <v>1739839.202105999</v>
      </c>
      <c r="AM8" s="15">
        <f t="shared" si="10"/>
        <v>3810480.0000000005</v>
      </c>
      <c r="AN8" s="38" cm="1">
        <f t="array" ref="AN8">_xll.BDP($B8&amp;" Equity","theta_mid_rt")</f>
        <v>-0.13591484725475311</v>
      </c>
      <c r="AO8" s="15">
        <f t="shared" si="11"/>
        <v>-1630.9781670570374</v>
      </c>
      <c r="AP8" s="15">
        <f t="shared" si="12"/>
        <v>-50340.000000000051</v>
      </c>
      <c r="AQ8" s="36" t="str" cm="1">
        <f t="array" ref="AQ8">_xll.BDP($D8&amp;" Equity","EXPECTED_REPORT_DT")</f>
        <v>06/03/2026</v>
      </c>
      <c r="AR8" s="66" cm="1">
        <f t="array" ref="AR8">_xll.BDP($B8&amp;" Equity","GAMMA_LAST")</f>
        <v>1.2474000000000001E-2</v>
      </c>
      <c r="AS8">
        <f t="shared" si="13"/>
        <v>150932.88264700805</v>
      </c>
      <c r="AT8">
        <f t="shared" si="14"/>
        <v>754664.41323504027</v>
      </c>
      <c r="AU8" t="s">
        <v>151</v>
      </c>
      <c r="AV8" s="277" cm="1">
        <f t="array" ref="AV8">_xll.BDP($D8&amp;" Equity","EST_PE_NXT_YR")*(AA8/Z8)</f>
        <v>24.678685242854094</v>
      </c>
      <c r="AW8"/>
      <c r="AX8" s="15"/>
      <c r="AY8" s="15">
        <v>28.93</v>
      </c>
      <c r="AZ8" s="355"/>
      <c r="BA8" s="15">
        <f t="shared" si="15"/>
        <v>28.93</v>
      </c>
      <c r="BB8" s="414">
        <f t="shared" si="16"/>
        <v>33.075000000000003</v>
      </c>
      <c r="BC8" s="414">
        <f t="shared" si="17"/>
        <v>49740.000000000036</v>
      </c>
      <c r="BD8" s="414">
        <f>BC8/'Master P&amp;L'!$AD$7*10000</f>
        <v>0.20758177570330419</v>
      </c>
    </row>
    <row r="9" spans="1:56">
      <c r="A9" s="335"/>
      <c r="B9" s="73" t="s">
        <v>2281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GDX US</v>
      </c>
      <c r="E9" s="73" t="str" cm="1">
        <f t="array" ref="E9">_xll.BDP($B9&amp;" Equity","mifid_Maturity_date")</f>
        <v>18/09/2026</v>
      </c>
      <c r="F9" s="73" cm="1">
        <f t="array" ref="F9">_xll.BDP($B9&amp;" Equity","opt_days_expire")</f>
        <v>238</v>
      </c>
      <c r="G9" s="73" t="str" cm="1">
        <f t="array" ref="G9">_xll.BDP(B9&amp;" Equity","QUOTED_CURRENCY_REALTIME")</f>
        <v>USD</v>
      </c>
      <c r="H9" s="42">
        <v>1100</v>
      </c>
      <c r="I9" s="409">
        <v>14.73</v>
      </c>
      <c r="J9" s="14">
        <f>VLOOKUP(B9,Precificação!$B:$O,14,FALSE)</f>
        <v>16.350000000000001</v>
      </c>
      <c r="K9" s="14">
        <f t="shared" si="18"/>
        <v>16.350000000000001</v>
      </c>
      <c r="L9" s="74" cm="1">
        <f t="array" ref="L9">_xll.BDP($B9&amp;" Equity","mid")</f>
        <v>17.05</v>
      </c>
      <c r="M9" s="75">
        <f t="shared" si="0"/>
        <v>0.16036493604213697</v>
      </c>
      <c r="N9" s="352"/>
      <c r="O9" s="75">
        <f t="shared" si="1"/>
        <v>4.2813455657492394E-2</v>
      </c>
      <c r="P9" s="74" cm="1">
        <f t="array" ref="P9">_xll.BDP($B9&amp;" Equity","bid")</f>
        <v>16.3</v>
      </c>
      <c r="Q9" s="74" cm="1">
        <f t="array" ref="Q9">_xll.BDP($B9&amp;" Equity","ask")</f>
        <v>17.8</v>
      </c>
      <c r="R9" s="76">
        <f t="shared" si="2"/>
        <v>9.2024539877300526E-2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3"/>
        <v>1875500</v>
      </c>
      <c r="V9" s="113">
        <f>U9/'Master P&amp;L'!$AD$7*10000</f>
        <v>7.8270932917480236</v>
      </c>
      <c r="W9" s="113">
        <f>(Y9*H9*T9/S9)/'Master P&amp;L'!$AD$7*10000</f>
        <v>7.2211247788385027</v>
      </c>
      <c r="X9" s="118">
        <f t="shared" si="4"/>
        <v>1.3199999999999932</v>
      </c>
      <c r="Y9" s="272">
        <f t="shared" si="5"/>
        <v>15.730000000000008</v>
      </c>
      <c r="Z9" s="77">
        <f>_xll.BDP(D9&amp;" Equity","LAST_PRICE")</f>
        <v>106.32</v>
      </c>
      <c r="AA9" s="77" cm="1">
        <f t="array" ref="AA9">_xll.BDP(B9&amp;" Equity","OPT_STRIKE_PX")</f>
        <v>105</v>
      </c>
      <c r="AB9" s="76">
        <f t="shared" si="6"/>
        <v>-1.2415349887133109E-2</v>
      </c>
      <c r="AC9" s="323" cm="1">
        <f t="array" ref="AC9">_xll.BDP($D9&amp;" Equity","volatility_10d")</f>
        <v>35.547667915061623</v>
      </c>
      <c r="AD9" s="77" cm="1">
        <f t="array" ref="AD9">_xll.BDP(B9&amp;" Equity","ivol_mid")</f>
        <v>42.874169999999999</v>
      </c>
      <c r="AE9" s="77">
        <f t="shared" si="7"/>
        <v>1.2061035931370936</v>
      </c>
      <c r="AF9" s="78" cm="1">
        <f t="array" ref="AF9">_xll.BDP(B9&amp;" Equity","DELTA_MID_RT")</f>
        <v>0.61063921451568604</v>
      </c>
      <c r="AG9" s="75">
        <f>AL9/'Master P&amp;L'!$AE$7</f>
        <v>2.9804084468678087E-3</v>
      </c>
      <c r="AH9" s="75">
        <f>AM9/'Master P&amp;L'!$AE$7</f>
        <v>4.8808009312530775E-3</v>
      </c>
      <c r="AI9" s="435">
        <f>AO9/'Master P&amp;L'!$AD$7*10000</f>
        <v>-1.3086567177699668E-2</v>
      </c>
      <c r="AJ9" s="350">
        <f t="shared" si="8"/>
        <v>0.15848992065655074</v>
      </c>
      <c r="AK9" s="78">
        <f>AP9/'Master P&amp;L'!$AD$7*10000</f>
        <v>0.32134693866414143</v>
      </c>
      <c r="AL9" s="42">
        <f t="shared" si="9"/>
        <v>7141547.7416038513</v>
      </c>
      <c r="AM9" s="42">
        <f t="shared" si="10"/>
        <v>11695199.999999998</v>
      </c>
      <c r="AN9" s="78" cm="1">
        <f t="array" ref="AN9">_xll.BDP($B9&amp;" Equity","theta_mid_rt")</f>
        <v>-2.8506875038146973E-2</v>
      </c>
      <c r="AO9" s="42">
        <f t="shared" si="11"/>
        <v>-3135.756254196167</v>
      </c>
      <c r="AP9" s="42">
        <f t="shared" si="12"/>
        <v>76999.999999999927</v>
      </c>
      <c r="AQ9" s="74" t="str" cm="1">
        <f t="array" ref="AQ9">_xll.BDP($D9&amp;" Equity","EXPECTED_REPORT_DT")</f>
        <v>#N/A N/A</v>
      </c>
      <c r="AR9" s="235" cm="1">
        <f t="array" ref="AR9">_xll.BDP($B9&amp;" Equity","GAMMA_LAST")</f>
        <v>1.0602E-2</v>
      </c>
      <c r="AS9" s="73">
        <f t="shared" si="13"/>
        <v>131828.83705728</v>
      </c>
      <c r="AT9" s="73">
        <f t="shared" si="14"/>
        <v>659144.18528640002</v>
      </c>
      <c r="AU9" s="73" t="s">
        <v>151</v>
      </c>
      <c r="AV9" s="322" t="e" cm="1">
        <f t="array" ref="AV9">_xll.BDP($D9&amp;" Equity","EST_PE_NXT_YR")*(AA9/Z9)</f>
        <v>#VALUE!</v>
      </c>
      <c r="AW9" s="73"/>
      <c r="AX9" s="42"/>
      <c r="AY9" s="42">
        <v>17.05</v>
      </c>
      <c r="AZ9" s="354"/>
      <c r="BA9" s="42">
        <f t="shared" si="15"/>
        <v>17.05</v>
      </c>
      <c r="BB9" s="346">
        <f t="shared" si="16"/>
        <v>16.350000000000001</v>
      </c>
      <c r="BC9" s="346">
        <f t="shared" si="17"/>
        <v>-76999.999999999927</v>
      </c>
      <c r="BD9" s="346">
        <f>BC9/'Master P&amp;L'!$AD$7*10000</f>
        <v>-0.32134693866414143</v>
      </c>
    </row>
    <row r="10" spans="1:56" s="59" customFormat="1">
      <c r="A10" s="356"/>
      <c r="B10" t="s">
        <v>2282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GDX US</v>
      </c>
      <c r="E10" t="str" cm="1">
        <f t="array" ref="E10">_xll.BDP($B10&amp;" Equity","mifid_Maturity_date")</f>
        <v>18/09/2026</v>
      </c>
      <c r="F10" cm="1">
        <f t="array" ref="F10">_xll.BDP($B10&amp;" Equity","opt_days_expire")</f>
        <v>238</v>
      </c>
      <c r="G10" t="str" cm="1">
        <f t="array" ref="G10">_xll.BDP(B10&amp;" Equity","QUOTED_CURRENCY_REALTIME")</f>
        <v>USD</v>
      </c>
      <c r="H10" s="15">
        <v>-1100</v>
      </c>
      <c r="I10" s="410">
        <v>11.13</v>
      </c>
      <c r="J10" s="14">
        <f>VLOOKUP(B10,Precificação!$B:$O,14,FALSE)</f>
        <v>12.55</v>
      </c>
      <c r="K10" s="14">
        <f t="shared" si="18"/>
        <v>12.55</v>
      </c>
      <c r="L10" s="74" cm="1">
        <f t="array" ref="L10">_xll.BDP($B10&amp;" Equity","mid")</f>
        <v>13.05</v>
      </c>
      <c r="M10" s="19">
        <f t="shared" si="0"/>
        <v>0.1227426636568849</v>
      </c>
      <c r="N10" s="350"/>
      <c r="O10" s="19">
        <f t="shared" si="1"/>
        <v>3.9840637450199168E-2</v>
      </c>
      <c r="P10" s="36" cm="1">
        <f t="array" ref="P10">_xll.BDP($B10&amp;" Equity","bid")</f>
        <v>12.35</v>
      </c>
      <c r="Q10" s="36" cm="1">
        <f t="array" ref="Q10">_xll.BDP($B10&amp;" Equity","ask")</f>
        <v>13.75</v>
      </c>
      <c r="R10" s="40">
        <f t="shared" si="2"/>
        <v>0.11336032388663964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3"/>
        <v>-1435500</v>
      </c>
      <c r="V10" s="124">
        <f>U10/'Master P&amp;L'!$AD$7*10000</f>
        <v>-5.9908250708100708</v>
      </c>
      <c r="W10" s="124">
        <f>(Y10*H10*T10/S10)/'Master P&amp;L'!$AD$7*10000</f>
        <v>-5.9908250708100708</v>
      </c>
      <c r="X10" s="413">
        <f t="shared" si="4"/>
        <v>0</v>
      </c>
      <c r="Y10" s="273">
        <f t="shared" si="5"/>
        <v>13.05</v>
      </c>
      <c r="Z10" s="37">
        <f>_xll.BDP(D10&amp;" Equity","LAST_PRICE")</f>
        <v>106.32</v>
      </c>
      <c r="AA10" s="37" cm="1">
        <f t="array" ref="AA10">_xll.BDP(B10&amp;" Equity","OPT_STRIKE_PX")</f>
        <v>115</v>
      </c>
      <c r="AB10" s="40">
        <f t="shared" si="6"/>
        <v>8.1640331075996997E-2</v>
      </c>
      <c r="AC10" s="324" cm="1">
        <f t="array" ref="AC10">_xll.BDP($D10&amp;" Equity","volatility_10d")</f>
        <v>35.547667915061623</v>
      </c>
      <c r="AD10" s="37" cm="1">
        <f t="array" ref="AD10">_xll.BDP(B10&amp;" Equity","ivol_mid")</f>
        <v>43.057810000000003</v>
      </c>
      <c r="AE10" s="37">
        <f t="shared" si="7"/>
        <v>1.2112696141666248</v>
      </c>
      <c r="AF10" s="38" cm="1">
        <f t="array" ref="AF10">_xll.BDP(B10&amp;" Equity","DELTA_MID_RT")</f>
        <v>0.51306432485580444</v>
      </c>
      <c r="AG10" s="19">
        <f>AL10/'Master P&amp;L'!$AE$7</f>
        <v>-2.5041648345489418E-3</v>
      </c>
      <c r="AH10" s="19">
        <f>AM10/'Master P&amp;L'!$AE$7</f>
        <v>-4.8808009312530775E-3</v>
      </c>
      <c r="AI10" s="434">
        <f>AO10/'Master P&amp;L'!$AD$7*10000</f>
        <v>1.388287747509063E-2</v>
      </c>
      <c r="AJ10" s="350">
        <f t="shared" si="8"/>
        <v>-0.16813394373286616</v>
      </c>
      <c r="AK10" s="38">
        <f>AP10/'Master P&amp;L'!$AD$7*10000</f>
        <v>-0.22953352761724408</v>
      </c>
      <c r="AL10" s="15">
        <f t="shared" si="9"/>
        <v>-6000389.8920536032</v>
      </c>
      <c r="AM10" s="15">
        <f t="shared" si="10"/>
        <v>-11695199.999999998</v>
      </c>
      <c r="AN10" s="38" cm="1">
        <f t="array" ref="AN10">_xll.BDP($B10&amp;" Equity","theta_mid_rt")</f>
        <v>-3.0241502448916435E-2</v>
      </c>
      <c r="AO10" s="15">
        <f t="shared" si="11"/>
        <v>3326.5652693808079</v>
      </c>
      <c r="AP10" s="15">
        <f t="shared" si="12"/>
        <v>-55000</v>
      </c>
      <c r="AQ10" s="36" t="str" cm="1">
        <f t="array" ref="AQ10">_xll.BDP($D10&amp;" Equity","EXPECTED_REPORT_DT")</f>
        <v>#N/A N/A</v>
      </c>
      <c r="AR10" s="66" cm="1">
        <f t="array" ref="AR10">_xll.BDP($B10&amp;" Equity","GAMMA_LAST")</f>
        <v>1.0862999999999999E-2</v>
      </c>
      <c r="AS10">
        <f t="shared" si="13"/>
        <v>-135074.19892031999</v>
      </c>
      <c r="AT10">
        <f t="shared" si="14"/>
        <v>-675370.99460159999</v>
      </c>
      <c r="AU10" t="s">
        <v>151</v>
      </c>
      <c r="AV10" s="277" t="e" cm="1">
        <f t="array" ref="AV10">_xll.BDP($D10&amp;" Equity","EST_PE_NXT_YR")*(AA10/Z10)</f>
        <v>#VALUE!</v>
      </c>
      <c r="AW10"/>
      <c r="AX10" s="15"/>
      <c r="AY10" s="15">
        <v>12.57</v>
      </c>
      <c r="AZ10" s="355"/>
      <c r="BA10" s="15">
        <f t="shared" si="15"/>
        <v>12.57</v>
      </c>
      <c r="BB10" s="414">
        <f t="shared" si="16"/>
        <v>12.55</v>
      </c>
      <c r="BC10" s="414">
        <f t="shared" si="17"/>
        <v>2199.9999999999532</v>
      </c>
      <c r="BD10" s="414">
        <f>BC10/'Master P&amp;L'!$AD$7*10000</f>
        <v>9.1813411046895686E-3</v>
      </c>
    </row>
    <row r="11" spans="1:56">
      <c r="A11" s="335"/>
      <c r="B11" s="73" t="s">
        <v>2316</v>
      </c>
      <c r="C11" s="73" t="str" cm="1">
        <f t="array" ref="C11">_xll.BDP($B11&amp;" Equity","opt_put_call")</f>
        <v>Call</v>
      </c>
      <c r="D11" s="73" t="str" cm="1">
        <f t="array" ref="D11">_xll.BDP(B11&amp;" Equity","OPT_UNDL_TICKER")</f>
        <v>LITE US</v>
      </c>
      <c r="E11" s="73" t="str" cm="1">
        <f t="array" ref="E11">_xll.BDP($B11&amp;" Equity","mifid_Maturity_date")</f>
        <v>20/03/2026</v>
      </c>
      <c r="F11" s="73" cm="1">
        <f t="array" ref="F11">_xll.BDP($B11&amp;" Equity","opt_days_expire")</f>
        <v>56</v>
      </c>
      <c r="G11" s="73" t="str" cm="1">
        <f t="array" ref="G11">_xll.BDP(B11&amp;" Equity","QUOTED_CURRENCY_REALTIME")</f>
        <v>USD</v>
      </c>
      <c r="H11" s="42">
        <v>60</v>
      </c>
      <c r="I11" s="409">
        <v>39.83</v>
      </c>
      <c r="J11" s="14">
        <f>VLOOKUP(B11,Precificação!$B:$O,14,FALSE)</f>
        <v>38.299999999999997</v>
      </c>
      <c r="K11" s="14">
        <f t="shared" si="18"/>
        <v>38.299999999999997</v>
      </c>
      <c r="L11" s="74" cm="1">
        <f t="array" ref="L11">_xll.BDP($B11&amp;" Equity","mid")</f>
        <v>34.25</v>
      </c>
      <c r="M11" s="75">
        <f t="shared" si="0"/>
        <v>9.906574494547768E-2</v>
      </c>
      <c r="N11" s="352"/>
      <c r="O11" s="75">
        <f t="shared" si="1"/>
        <v>-0.10574412532637067</v>
      </c>
      <c r="P11" s="74" cm="1">
        <f t="array" ref="P11">_xll.BDP($B11&amp;" Equity","bid")</f>
        <v>32.9</v>
      </c>
      <c r="Q11" s="74" cm="1">
        <f t="array" ref="Q11">_xll.BDP($B11&amp;" Equity","ask")</f>
        <v>35.6</v>
      </c>
      <c r="R11" s="76">
        <f t="shared" si="2"/>
        <v>8.2066869300911893E-2</v>
      </c>
      <c r="S11" s="36" cm="1">
        <f t="array" ref="S11">_xll.BDP(G11&amp;" Curncy","PX_LAST")</f>
        <v>1</v>
      </c>
      <c r="T11" s="42" cm="1">
        <f t="array" ref="T11">_xll.BDP(B11&amp;" Equity","OPT_MULTIPLIER")</f>
        <v>100</v>
      </c>
      <c r="U11" s="42">
        <f t="shared" si="3"/>
        <v>205500</v>
      </c>
      <c r="V11" s="113">
        <f>U11/'Master P&amp;L'!$AD$7*10000</f>
        <v>0.85762072591533922</v>
      </c>
      <c r="W11" s="113">
        <f>(Y11*H11*T11/S11)/'Master P&amp;L'!$AD$7*10000</f>
        <v>0.85762072591533922</v>
      </c>
      <c r="X11" s="118">
        <f t="shared" si="4"/>
        <v>0</v>
      </c>
      <c r="Y11" s="272">
        <f t="shared" si="5"/>
        <v>34.25</v>
      </c>
      <c r="Z11" s="77">
        <f>_xll.BDP(D11&amp;" Equity","LAST_PRICE")</f>
        <v>345.73</v>
      </c>
      <c r="AA11" s="77" cm="1">
        <f t="array" ref="AA11">_xll.BDP(B11&amp;" Equity","OPT_STRIKE_PX")</f>
        <v>420</v>
      </c>
      <c r="AB11" s="76">
        <f t="shared" si="6"/>
        <v>0.21482081392994523</v>
      </c>
      <c r="AC11" s="323" cm="1">
        <f t="array" ref="AC11">_xll.BDP($D11&amp;" Equity","volatility_10d")</f>
        <v>94.221266182128943</v>
      </c>
      <c r="AD11" s="77" cm="1">
        <f t="array" ref="AD11">_xll.BDP(B11&amp;" Equity","ivol_mid")</f>
        <v>107.7801</v>
      </c>
      <c r="AE11" s="77">
        <f t="shared" si="7"/>
        <v>1.1439041775522518</v>
      </c>
      <c r="AF11" s="78" cm="1">
        <f t="array" ref="AF11">_xll.BDP(B11&amp;" Equity","DELTA_MID_RT")</f>
        <v>0.41044604778289795</v>
      </c>
      <c r="AG11" s="75">
        <f>AL11/'Master P&amp;L'!$AE$7</f>
        <v>3.553266950572908E-4</v>
      </c>
      <c r="AH11" s="75">
        <f>AM11/'Master P&amp;L'!$AE$7</f>
        <v>8.6570865276119793E-4</v>
      </c>
      <c r="AI11" s="435">
        <f>AO11/'Master P&amp;L'!$AD$7*10000</f>
        <v>-1.2367188137952793E-2</v>
      </c>
      <c r="AJ11" s="350">
        <f t="shared" si="8"/>
        <v>0.14977760325632714</v>
      </c>
      <c r="AK11" s="78">
        <f>AP11/'Master P&amp;L'!$AD$7*10000</f>
        <v>-0.10141208583816412</v>
      </c>
      <c r="AL11" s="42">
        <f t="shared" si="9"/>
        <v>851421.07259988785</v>
      </c>
      <c r="AM11" s="42">
        <f t="shared" si="10"/>
        <v>2074380.0000000002</v>
      </c>
      <c r="AN11" s="78" cm="1">
        <f t="array" ref="AN11">_xll.BDP($B11&amp;" Equity","theta_mid_rt")</f>
        <v>-0.49389687180519104</v>
      </c>
      <c r="AO11" s="42">
        <f t="shared" si="11"/>
        <v>-2963.3812308311462</v>
      </c>
      <c r="AP11" s="42">
        <f t="shared" si="12"/>
        <v>-24299.999999999982</v>
      </c>
      <c r="AQ11" s="74" t="str" cm="1">
        <f t="array" ref="AQ11">_xll.BDP($D11&amp;" Equity","EXPECTED_REPORT_DT")</f>
        <v>03/02/2026</v>
      </c>
      <c r="AR11" s="235" cm="1">
        <f t="array" ref="AR11">_xll.BDP($B11&amp;" Equity","GAMMA_LAST")</f>
        <v>9.0860000000000003E-3</v>
      </c>
      <c r="AS11" s="73">
        <f t="shared" si="13"/>
        <v>65162.556607764011</v>
      </c>
      <c r="AT11" s="73">
        <f t="shared" si="14"/>
        <v>325812.78303882002</v>
      </c>
      <c r="AU11" s="73" t="s">
        <v>151</v>
      </c>
      <c r="AV11" s="322" cm="1">
        <f t="array" ref="AV11">_xll.BDP($D11&amp;" Equity","EST_PE_NXT_YR")*(AA11/Z11)</f>
        <v>44.598032490512125</v>
      </c>
      <c r="AW11" s="73"/>
      <c r="AX11" s="42"/>
      <c r="AY11" s="42">
        <v>34.200000000000003</v>
      </c>
      <c r="AZ11" s="354"/>
      <c r="BA11" s="42">
        <f t="shared" si="15"/>
        <v>34.200000000000003</v>
      </c>
      <c r="BB11" s="346">
        <f t="shared" si="16"/>
        <v>38.299999999999997</v>
      </c>
      <c r="BC11" s="346">
        <f t="shared" si="17"/>
        <v>24599.999999999967</v>
      </c>
      <c r="BD11" s="346">
        <f>BC11/'Master P&amp;L'!$AD$7*10000</f>
        <v>0.1026640868978945</v>
      </c>
    </row>
    <row r="12" spans="1:56" s="59" customFormat="1">
      <c r="A12" s="356"/>
      <c r="B12" t="s">
        <v>2069</v>
      </c>
      <c r="C12" t="str" cm="1">
        <f t="array" ref="C12">_xll.BDP($B12&amp;" Equity","opt_put_call")</f>
        <v>Call</v>
      </c>
      <c r="D12" t="str" cm="1">
        <f t="array" ref="D12">_xll.BDP(B12&amp;" Equity","OPT_UNDL_TICKER")</f>
        <v>META US</v>
      </c>
      <c r="E12" t="str" cm="1">
        <f t="array" ref="E12">_xll.BDP($B12&amp;" Equity","mifid_Maturity_date")</f>
        <v>17/04/2026</v>
      </c>
      <c r="F12" cm="1">
        <f t="array" ref="F12">_xll.BDP($B12&amp;" Equity","opt_days_expire")</f>
        <v>84</v>
      </c>
      <c r="G12" t="str" cm="1">
        <f t="array" ref="G12">_xll.BDP(B12&amp;" Equity","QUOTED_CURRENCY_REALTIME")</f>
        <v>USD</v>
      </c>
      <c r="H12" s="15">
        <v>60</v>
      </c>
      <c r="I12" s="410">
        <v>43.12</v>
      </c>
      <c r="J12" s="14">
        <f>VLOOKUP(B12,Precificação!$B:$O,14,FALSE)</f>
        <v>29.375</v>
      </c>
      <c r="K12" s="14">
        <f t="shared" si="18"/>
        <v>29.375</v>
      </c>
      <c r="L12" s="74" cm="1">
        <f t="array" ref="L12">_xll.BDP($B12&amp;" Equity","mid")</f>
        <v>33.35</v>
      </c>
      <c r="M12" s="19">
        <f t="shared" si="0"/>
        <v>5.075060680073349E-2</v>
      </c>
      <c r="N12" s="350"/>
      <c r="O12" s="19">
        <f t="shared" si="1"/>
        <v>0.13531914893617025</v>
      </c>
      <c r="P12" s="36" cm="1">
        <f t="array" ref="P12">_xll.BDP($B12&amp;" Equity","bid")</f>
        <v>33.200000000000003</v>
      </c>
      <c r="Q12" s="36" cm="1">
        <f t="array" ref="Q12">_xll.BDP($B12&amp;" Equity","ask")</f>
        <v>33.5</v>
      </c>
      <c r="R12" s="40">
        <f t="shared" si="2"/>
        <v>9.0361445783131433E-3</v>
      </c>
      <c r="S12" s="36" cm="1">
        <f t="array" ref="S12">_xll.BDP(G12&amp;" Curncy","PX_LAST")</f>
        <v>1</v>
      </c>
      <c r="T12" s="15" cm="1">
        <f t="array" ref="T12">_xll.BDP(B12&amp;" Equity","OPT_MULTIPLIER")</f>
        <v>100</v>
      </c>
      <c r="U12" s="15">
        <f t="shared" si="3"/>
        <v>200100</v>
      </c>
      <c r="V12" s="124">
        <f>U12/'Master P&amp;L'!$AD$7*10000</f>
        <v>0.83508470684019176</v>
      </c>
      <c r="W12" s="124">
        <f>(Y12*H12*T12/S12)/'Master P&amp;L'!$AD$7*10000</f>
        <v>0.83508470684019176</v>
      </c>
      <c r="X12" s="413">
        <f t="shared" si="4"/>
        <v>0</v>
      </c>
      <c r="Y12" s="273">
        <f t="shared" si="5"/>
        <v>33.35</v>
      </c>
      <c r="Z12" s="37">
        <f>_xll.BDP(D12&amp;" Equity","LAST_PRICE")</f>
        <v>657.13499999999999</v>
      </c>
      <c r="AA12" s="37" cm="1">
        <f t="array" ref="AA12">_xll.BDP(B12&amp;" Equity","OPT_STRIKE_PX")</f>
        <v>690</v>
      </c>
      <c r="AB12" s="40">
        <f t="shared" si="6"/>
        <v>5.0012554497934181E-2</v>
      </c>
      <c r="AC12" s="324" cm="1">
        <f t="array" ref="AC12">_xll.BDP($D12&amp;" Equity","volatility_10d")</f>
        <v>42.416193895919953</v>
      </c>
      <c r="AD12" s="37" cm="1">
        <f t="array" ref="AD12">_xll.BDP(B12&amp;" Equity","ivol_mid")</f>
        <v>36.052399999999999</v>
      </c>
      <c r="AE12" s="37">
        <f t="shared" si="7"/>
        <v>0.84996782333805554</v>
      </c>
      <c r="AF12" s="38" cm="1">
        <f t="array" ref="AF12">_xll.BDP(B12&amp;" Equity","DELTA_MID_RT")</f>
        <v>0.44001784920692444</v>
      </c>
      <c r="AG12" s="19">
        <f>AL12/'Master P&amp;L'!$AE$7</f>
        <v>7.2403504070833193E-4</v>
      </c>
      <c r="AH12" s="19">
        <f>AM12/'Master P&amp;L'!$AE$7</f>
        <v>1.6454674327719021E-3</v>
      </c>
      <c r="AI12" s="434">
        <f>AO12/'Master P&amp;L'!$AD$7*10000</f>
        <v>-6.4767807039618191E-3</v>
      </c>
      <c r="AJ12" s="350">
        <f t="shared" si="8"/>
        <v>7.8439551483754699E-2</v>
      </c>
      <c r="AK12" s="38">
        <f>AP12/'Master P&amp;L'!$AD$7*10000</f>
        <v>9.9534084248568591E-2</v>
      </c>
      <c r="AL12" s="15">
        <f t="shared" si="9"/>
        <v>1734906.7760315537</v>
      </c>
      <c r="AM12" s="15">
        <f t="shared" si="10"/>
        <v>3942810</v>
      </c>
      <c r="AN12" s="38" cm="1">
        <f t="array" ref="AN12">_xll.BDP($B12&amp;" Equity","theta_mid_rt")</f>
        <v>-0.25865715742111206</v>
      </c>
      <c r="AO12" s="15">
        <f t="shared" si="11"/>
        <v>-1551.9429445266724</v>
      </c>
      <c r="AP12" s="15">
        <f t="shared" si="12"/>
        <v>23850.000000000007</v>
      </c>
      <c r="AQ12" s="36" t="str" cm="1">
        <f t="array" ref="AQ12">_xll.BDP($D12&amp;" Equity","EXPECTED_REPORT_DT")</f>
        <v>28/01/2026</v>
      </c>
      <c r="AR12" s="66" cm="1">
        <f t="array" ref="AR12">_xll.BDP($B12&amp;" Equity","GAMMA_LAST")</f>
        <v>2.2844E-2</v>
      </c>
      <c r="AS12">
        <f t="shared" si="13"/>
        <v>591878.54816951393</v>
      </c>
      <c r="AT12">
        <f t="shared" si="14"/>
        <v>2959392.7408475699</v>
      </c>
      <c r="AU12" t="s">
        <v>151</v>
      </c>
      <c r="AV12" s="277" cm="1">
        <f t="array" ref="AV12">_xll.BDP($D12&amp;" Equity","EST_PE_NXT_YR")*(AA12/Z12)</f>
        <v>20.409897606947705</v>
      </c>
      <c r="AW12"/>
      <c r="AX12" s="15"/>
      <c r="AY12" s="15">
        <v>35.03</v>
      </c>
      <c r="AZ12" s="355"/>
      <c r="BA12" s="15">
        <f t="shared" si="15"/>
        <v>35.03</v>
      </c>
      <c r="BB12" s="414">
        <f t="shared" si="16"/>
        <v>29.375</v>
      </c>
      <c r="BC12" s="414">
        <f t="shared" si="17"/>
        <v>-33930.000000000007</v>
      </c>
      <c r="BD12" s="414">
        <f>BC12/'Master P&amp;L'!$AD$7*10000</f>
        <v>-0.1416013198555108</v>
      </c>
    </row>
    <row r="13" spans="1:56">
      <c r="A13" s="335"/>
      <c r="B13" s="73" t="s">
        <v>2319</v>
      </c>
      <c r="C13" s="73" t="str" cm="1">
        <f t="array" ref="C13">_xll.BDP($B13&amp;" Equity","opt_put_call")</f>
        <v>Call</v>
      </c>
      <c r="D13" s="73" t="str" cm="1">
        <f t="array" ref="D13">_xll.BDP(B13&amp;" Equity","OPT_UNDL_TICKER")</f>
        <v>META US</v>
      </c>
      <c r="E13" s="73" t="str" cm="1">
        <f t="array" ref="E13">_xll.BDP($B13&amp;" Equity","mifid_Maturity_date")</f>
        <v>17/07/2026</v>
      </c>
      <c r="F13" s="73" cm="1">
        <f t="array" ref="F13">_xll.BDP($B13&amp;" Equity","opt_days_expire")</f>
        <v>175</v>
      </c>
      <c r="G13" s="73" t="str" cm="1">
        <f t="array" ref="G13">_xll.BDP(B13&amp;" Equity","QUOTED_CURRENCY_REALTIME")</f>
        <v>USD</v>
      </c>
      <c r="H13" s="42">
        <v>75</v>
      </c>
      <c r="I13" s="409">
        <v>54.96</v>
      </c>
      <c r="J13" s="14">
        <f>VLOOKUP(B13,Precificação!$B:$O,14,FALSE)</f>
        <v>60.575000000000003</v>
      </c>
      <c r="K13" s="14">
        <f t="shared" si="18"/>
        <v>60.575000000000003</v>
      </c>
      <c r="L13" s="74" cm="1">
        <f t="array" ref="L13">_xll.BDP($B13&amp;" Equity","mid")</f>
        <v>65.72</v>
      </c>
      <c r="M13" s="75">
        <f t="shared" si="0"/>
        <v>0.10000989142261484</v>
      </c>
      <c r="N13" s="352"/>
      <c r="O13" s="75">
        <f t="shared" si="1"/>
        <v>8.4936029715229067E-2</v>
      </c>
      <c r="P13" s="74" cm="1">
        <f t="array" ref="P13">_xll.BDP($B13&amp;" Equity","bid")</f>
        <v>65.45</v>
      </c>
      <c r="Q13" s="74" cm="1">
        <f t="array" ref="Q13">_xll.BDP($B13&amp;" Equity","ask")</f>
        <v>66</v>
      </c>
      <c r="R13" s="76">
        <f t="shared" si="2"/>
        <v>8.4033613445377853E-3</v>
      </c>
      <c r="S13" s="36" cm="1">
        <f t="array" ref="S13">_xll.BDP(G13&amp;" Curncy","PX_LAST")</f>
        <v>1</v>
      </c>
      <c r="T13" s="42" cm="1">
        <f t="array" ref="T13">_xll.BDP(B13&amp;" Equity","OPT_MULTIPLIER")</f>
        <v>100</v>
      </c>
      <c r="U13" s="42">
        <f t="shared" si="3"/>
        <v>492900</v>
      </c>
      <c r="V13" s="113">
        <f>U13/'Master P&amp;L'!$AD$7*10000</f>
        <v>2.0570377411370839</v>
      </c>
      <c r="W13" s="113">
        <f>(Y13*H13*T13/S13)/'Master P&amp;L'!$AD$7*10000</f>
        <v>2.0570377411370839</v>
      </c>
      <c r="X13" s="118">
        <f t="shared" si="4"/>
        <v>0</v>
      </c>
      <c r="Y13" s="272">
        <f t="shared" si="5"/>
        <v>65.72</v>
      </c>
      <c r="Z13" s="77">
        <f>_xll.BDP(D13&amp;" Equity","LAST_PRICE")</f>
        <v>657.13499999999999</v>
      </c>
      <c r="AA13" s="77" cm="1">
        <f t="array" ref="AA13">_xll.BDP(B13&amp;" Equity","OPT_STRIKE_PX")</f>
        <v>670</v>
      </c>
      <c r="AB13" s="76">
        <f t="shared" si="6"/>
        <v>1.9577407990747808E-2</v>
      </c>
      <c r="AC13" s="323" cm="1">
        <f t="array" ref="AC13">_xll.BDP($D13&amp;" Equity","volatility_10d")</f>
        <v>42.416193895919953</v>
      </c>
      <c r="AD13" s="77" cm="1">
        <f t="array" ref="AD13">_xll.BDP(B13&amp;" Equity","ivol_mid")</f>
        <v>37.103720000000003</v>
      </c>
      <c r="AE13" s="77">
        <f t="shared" si="7"/>
        <v>0.87475363987264865</v>
      </c>
      <c r="AF13" s="78" cm="1">
        <f t="array" ref="AF13">_xll.BDP(B13&amp;" Equity","DELTA_MID_RT")</f>
        <v>0.54686319828033447</v>
      </c>
      <c r="AG13" s="75">
        <f>AL13/'Master P&amp;L'!$AE$7</f>
        <v>1.1248069786897171E-3</v>
      </c>
      <c r="AH13" s="75">
        <f>AM13/'Master P&amp;L'!$AE$7</f>
        <v>2.0568342909648776E-3</v>
      </c>
      <c r="AI13" s="435">
        <f>AO13/'Master P&amp;L'!$AD$7*10000</f>
        <v>-5.7314406255261872E-3</v>
      </c>
      <c r="AJ13" s="350">
        <f t="shared" si="8"/>
        <v>6.9412822908616251E-2</v>
      </c>
      <c r="AK13" s="78">
        <f>AP13/'Master P&amp;L'!$AD$7*10000</f>
        <v>0.16103863630782542</v>
      </c>
      <c r="AL13" s="42">
        <f t="shared" si="9"/>
        <v>2695222.108514607</v>
      </c>
      <c r="AM13" s="42">
        <f t="shared" si="10"/>
        <v>4928512.5</v>
      </c>
      <c r="AN13" s="78" cm="1">
        <f t="array" ref="AN13">_xll.BDP($B13&amp;" Equity","theta_mid_rt")</f>
        <v>-0.18311296403408051</v>
      </c>
      <c r="AO13" s="42">
        <f t="shared" si="11"/>
        <v>-1373.3472302556038</v>
      </c>
      <c r="AP13" s="42">
        <f t="shared" si="12"/>
        <v>38587.499999999964</v>
      </c>
      <c r="AQ13" s="74" t="str" cm="1">
        <f t="array" ref="AQ13">_xll.BDP($D13&amp;" Equity","EXPECTED_REPORT_DT")</f>
        <v>28/01/2026</v>
      </c>
      <c r="AR13" s="235" cm="1">
        <f t="array" ref="AR13">_xll.BDP($B13&amp;" Equity","GAMMA_LAST")</f>
        <v>1.5691E-2</v>
      </c>
      <c r="AS13" s="73">
        <f t="shared" si="13"/>
        <v>508184.11285938555</v>
      </c>
      <c r="AT13" s="73">
        <f t="shared" si="14"/>
        <v>2540920.5642969278</v>
      </c>
      <c r="AU13" s="73" t="s">
        <v>151</v>
      </c>
      <c r="AV13" s="322" cm="1">
        <f t="array" ref="AV13">_xll.BDP($D13&amp;" Equity","EST_PE_NXT_YR")*(AA13/Z13)</f>
        <v>19.818306371963715</v>
      </c>
      <c r="AW13" s="73"/>
      <c r="AX13" s="42"/>
      <c r="AY13" s="42">
        <v>67.63</v>
      </c>
      <c r="AZ13" s="354"/>
      <c r="BA13" s="42">
        <f t="shared" si="15"/>
        <v>67.63</v>
      </c>
      <c r="BB13" s="346">
        <f t="shared" si="16"/>
        <v>60.575000000000003</v>
      </c>
      <c r="BC13" s="346">
        <f t="shared" si="17"/>
        <v>-52912.499999999942</v>
      </c>
      <c r="BD13" s="346">
        <f>BC13/'Master P&amp;L'!$AD$7*10000</f>
        <v>-0.22082168690995299</v>
      </c>
    </row>
    <row r="14" spans="1:56" s="59" customFormat="1">
      <c r="A14" s="356"/>
      <c r="B14" t="s">
        <v>2098</v>
      </c>
      <c r="C14" t="str" cm="1">
        <f t="array" ref="C14">_xll.BDP($B14&amp;" Equity","opt_put_call")</f>
        <v>Put</v>
      </c>
      <c r="D14" t="str" cm="1">
        <f t="array" ref="D14">_xll.BDP(B14&amp;" Equity","OPT_UNDL_TICKER")</f>
        <v>MRVL US</v>
      </c>
      <c r="E14" t="str" cm="1">
        <f t="array" ref="E14">_xll.BDP($B14&amp;" Equity","mifid_Maturity_date")</f>
        <v>20/03/2026</v>
      </c>
      <c r="F14" cm="1">
        <f t="array" ref="F14">_xll.BDP($B14&amp;" Equity","opt_days_expire")</f>
        <v>56</v>
      </c>
      <c r="G14" t="str" cm="1">
        <f t="array" ref="G14">_xll.BDP(B14&amp;" Equity","QUOTED_CURRENCY_REALTIME")</f>
        <v>USD</v>
      </c>
      <c r="H14" s="15">
        <v>200</v>
      </c>
      <c r="I14" s="410">
        <v>9.1999999999999993</v>
      </c>
      <c r="J14" s="14">
        <f>VLOOKUP(B14,Precificação!$B:$O,14,FALSE)</f>
        <v>8.6</v>
      </c>
      <c r="K14" s="14">
        <f t="shared" si="18"/>
        <v>8.6</v>
      </c>
      <c r="L14" s="74" cm="1">
        <f t="array" ref="L14">_xll.BDP($B14&amp;" Equity","mid")</f>
        <v>9.32</v>
      </c>
      <c r="M14" s="19">
        <f t="shared" si="0"/>
        <v>0.11482074658124923</v>
      </c>
      <c r="N14" s="350"/>
      <c r="O14" s="19">
        <f t="shared" si="1"/>
        <v>8.3720930232558111E-2</v>
      </c>
      <c r="P14" s="36" cm="1">
        <f t="array" ref="P14">_xll.BDP($B14&amp;" Equity","bid")</f>
        <v>9.25</v>
      </c>
      <c r="Q14" s="36" cm="1">
        <f t="array" ref="Q14">_xll.BDP($B14&amp;" Equity","ask")</f>
        <v>9.4</v>
      </c>
      <c r="R14" s="40">
        <f t="shared" si="2"/>
        <v>1.6216216216216273E-2</v>
      </c>
      <c r="S14" s="36" cm="1">
        <f t="array" ref="S14">_xll.BDP(G14&amp;" Curncy","PX_LAST")</f>
        <v>1</v>
      </c>
      <c r="T14" s="15" cm="1">
        <f t="array" ref="T14">_xll.BDP(B14&amp;" Equity","OPT_MULTIPLIER")</f>
        <v>100</v>
      </c>
      <c r="U14" s="15">
        <f t="shared" si="3"/>
        <v>186400</v>
      </c>
      <c r="V14" s="124">
        <f>U14/'Master P&amp;L'!$AD$7*10000</f>
        <v>0.77790999177916909</v>
      </c>
      <c r="W14" s="124">
        <f>(Y14*H14*T14/S14)/'Master P&amp;L'!$AD$7*10000</f>
        <v>0.45823238786133474</v>
      </c>
      <c r="X14" s="413">
        <f t="shared" si="4"/>
        <v>3.8299999999999983</v>
      </c>
      <c r="Y14" s="273">
        <f t="shared" si="5"/>
        <v>5.490000000000002</v>
      </c>
      <c r="Z14" s="37">
        <f>_xll.BDP(D14&amp;" Equity","LAST_PRICE")</f>
        <v>81.17</v>
      </c>
      <c r="AA14" s="37" cm="1">
        <f t="array" ref="AA14">_xll.BDP(B14&amp;" Equity","OPT_STRIKE_PX")</f>
        <v>85</v>
      </c>
      <c r="AB14" s="40">
        <f t="shared" si="6"/>
        <v>4.7184920537144182E-2</v>
      </c>
      <c r="AC14" s="324" cm="1">
        <f t="array" ref="AC14">_xll.BDP($D14&amp;" Equity","volatility_10d")</f>
        <v>28.645253487552701</v>
      </c>
      <c r="AD14" s="37" cm="1">
        <f t="array" ref="AD14">_xll.BDP(B14&amp;" Equity","ivol_mid")</f>
        <v>56.990580000000001</v>
      </c>
      <c r="AE14" s="37">
        <f t="shared" si="7"/>
        <v>1.9895296100194844</v>
      </c>
      <c r="AF14" s="38" cm="1">
        <f t="array" ref="AF14">_xll.BDP(B14&amp;" Equity","DELTA_MID_RT")</f>
        <v>-0.52872025966644287</v>
      </c>
      <c r="AG14" s="19">
        <f>AL14/'Master P&amp;L'!$AE$7</f>
        <v>-3.5820771515325561E-4</v>
      </c>
      <c r="AH14" s="19">
        <f>AM14/'Master P&amp;L'!$AE$7</f>
        <v>-6.7749950678878924E-4</v>
      </c>
      <c r="AI14" s="434">
        <f>AO14/'Master P&amp;L'!$AD$7*10000</f>
        <v>-5.4129369040912386E-3</v>
      </c>
      <c r="AJ14" s="350">
        <f t="shared" si="8"/>
        <v>6.5555460710142871E-2</v>
      </c>
      <c r="AK14" s="38">
        <f>AP14/'Master P&amp;L'!$AD$7*10000</f>
        <v>6.0096050867060317E-2</v>
      </c>
      <c r="AL14" s="15">
        <f t="shared" si="9"/>
        <v>-858324.46954250336</v>
      </c>
      <c r="AM14" s="15">
        <f t="shared" si="10"/>
        <v>-1623400</v>
      </c>
      <c r="AN14" s="38" cm="1">
        <f t="array" ref="AN14">_xll.BDP($B14&amp;" Equity","theta_mid_rt")</f>
        <v>-6.4851425588130951E-2</v>
      </c>
      <c r="AO14" s="15">
        <f t="shared" si="11"/>
        <v>-1297.028511762619</v>
      </c>
      <c r="AP14" s="15">
        <f t="shared" si="12"/>
        <v>14400.000000000011</v>
      </c>
      <c r="AQ14" s="36" t="str" cm="1">
        <f t="array" ref="AQ14">_xll.BDP($D14&amp;" Equity","EXPECTED_REPORT_DT")</f>
        <v>05/03/2026</v>
      </c>
      <c r="AR14" s="66" cm="1">
        <f t="array" ref="AR14">_xll.BDP($B14&amp;" Equity","GAMMA_LAST")</f>
        <v>1.7271999999999999E-2</v>
      </c>
      <c r="AS14">
        <f t="shared" si="13"/>
        <v>22759.552408160002</v>
      </c>
      <c r="AT14">
        <f t="shared" si="14"/>
        <v>113797.76204080001</v>
      </c>
      <c r="AU14" t="s">
        <v>151</v>
      </c>
      <c r="AV14" s="277" cm="1">
        <f t="array" ref="AV14">_xll.BDP($D14&amp;" Equity","EST_PE_NXT_YR")*(AA14/Z14)</f>
        <v>23.522215967590061</v>
      </c>
      <c r="AW14"/>
      <c r="AX14" s="15"/>
      <c r="AY14" s="15">
        <v>9.35</v>
      </c>
      <c r="AZ14" s="355"/>
      <c r="BA14" s="15">
        <f t="shared" si="15"/>
        <v>9.35</v>
      </c>
      <c r="BB14" s="414">
        <f t="shared" si="16"/>
        <v>8.6</v>
      </c>
      <c r="BC14" s="414">
        <f t="shared" si="17"/>
        <v>-15000</v>
      </c>
      <c r="BD14" s="414">
        <f>BC14/'Master P&amp;L'!$AD$7*10000</f>
        <v>-6.2600052986521118E-2</v>
      </c>
    </row>
    <row r="15" spans="1:56">
      <c r="A15" s="335"/>
      <c r="B15" s="73" t="s">
        <v>2099</v>
      </c>
      <c r="C15" s="73" t="str" cm="1">
        <f t="array" ref="C15">_xll.BDP($B15&amp;" Equity","opt_put_call")</f>
        <v>Put</v>
      </c>
      <c r="D15" s="73" t="str" cm="1">
        <f t="array" ref="D15">_xll.BDP(B15&amp;" Equity","OPT_UNDL_TICKER")</f>
        <v>MRVL US</v>
      </c>
      <c r="E15" s="73" t="str" cm="1">
        <f t="array" ref="E15">_xll.BDP($B15&amp;" Equity","mifid_Maturity_date")</f>
        <v>20/03/2026</v>
      </c>
      <c r="F15" s="73" cm="1">
        <f t="array" ref="F15">_xll.BDP($B15&amp;" Equity","opt_days_expire")</f>
        <v>56</v>
      </c>
      <c r="G15" s="73" t="str" cm="1">
        <f t="array" ref="G15">_xll.BDP(B15&amp;" Equity","QUOTED_CURRENCY_REALTIME")</f>
        <v>USD</v>
      </c>
      <c r="H15" s="42">
        <v>-200</v>
      </c>
      <c r="I15" s="409">
        <v>4.5999999999999996</v>
      </c>
      <c r="J15" s="14">
        <f>VLOOKUP(B15,Precificação!$B:$O,14,FALSE)</f>
        <v>3.9249999999999998</v>
      </c>
      <c r="K15" s="14">
        <f t="shared" si="18"/>
        <v>3.9249999999999998</v>
      </c>
      <c r="L15" s="74" cm="1">
        <f t="array" ref="L15">_xll.BDP($B15&amp;" Equity","mid")</f>
        <v>4.33</v>
      </c>
      <c r="M15" s="75">
        <f t="shared" si="0"/>
        <v>5.3344831834421583E-2</v>
      </c>
      <c r="N15" s="352"/>
      <c r="O15" s="75">
        <f t="shared" si="1"/>
        <v>0.10318471337579616</v>
      </c>
      <c r="P15" s="74" cm="1">
        <f t="array" ref="P15">_xll.BDP($B15&amp;" Equity","bid")</f>
        <v>4.25</v>
      </c>
      <c r="Q15" s="74" cm="1">
        <f t="array" ref="Q15">_xll.BDP($B15&amp;" Equity","ask")</f>
        <v>4.4000000000000004</v>
      </c>
      <c r="R15" s="76">
        <f t="shared" si="2"/>
        <v>3.529411764705892E-2</v>
      </c>
      <c r="S15" s="36" cm="1">
        <f t="array" ref="S15">_xll.BDP(G15&amp;" Curncy","PX_LAST")</f>
        <v>1</v>
      </c>
      <c r="T15" s="42" cm="1">
        <f t="array" ref="T15">_xll.BDP(B15&amp;" Equity","OPT_MULTIPLIER")</f>
        <v>100</v>
      </c>
      <c r="U15" s="42">
        <f t="shared" si="3"/>
        <v>-86600</v>
      </c>
      <c r="V15" s="113">
        <f>U15/'Master P&amp;L'!$AD$7*10000</f>
        <v>-0.36141097257551524</v>
      </c>
      <c r="W15" s="113">
        <f>(Y15*H15*T15/S15)/'Master P&amp;L'!$AD$7*10000</f>
        <v>-0.36141097257551524</v>
      </c>
      <c r="X15" s="118">
        <f t="shared" si="4"/>
        <v>0</v>
      </c>
      <c r="Y15" s="272">
        <f t="shared" si="5"/>
        <v>4.33</v>
      </c>
      <c r="Z15" s="77">
        <f>_xll.BDP(D15&amp;" Equity","LAST_PRICE")</f>
        <v>81.17</v>
      </c>
      <c r="AA15" s="77" cm="1">
        <f t="array" ref="AA15">_xll.BDP(B15&amp;" Equity","OPT_STRIKE_PX")</f>
        <v>75</v>
      </c>
      <c r="AB15" s="76">
        <f t="shared" si="6"/>
        <v>-7.6013305408402121E-2</v>
      </c>
      <c r="AC15" s="323" cm="1">
        <f t="array" ref="AC15">_xll.BDP($D15&amp;" Equity","volatility_10d")</f>
        <v>28.645253487552701</v>
      </c>
      <c r="AD15" s="77" cm="1">
        <f t="array" ref="AD15">_xll.BDP(B15&amp;" Equity","ivol_mid")</f>
        <v>58.867840000000001</v>
      </c>
      <c r="AE15" s="77">
        <f t="shared" si="7"/>
        <v>2.0550643765669592</v>
      </c>
      <c r="AF15" s="78" cm="1">
        <f t="array" ref="AF15">_xll.BDP(B15&amp;" Equity","DELTA_MID_RT")</f>
        <v>-0.31613916158676147</v>
      </c>
      <c r="AG15" s="75">
        <f>AL15/'Master P&amp;L'!$AE$7</f>
        <v>2.1418412605165224E-4</v>
      </c>
      <c r="AH15" s="75">
        <f>AM15/'Master P&amp;L'!$AE$7</f>
        <v>6.7749950678878924E-4</v>
      </c>
      <c r="AI15" s="435">
        <f>AO15/'Master P&amp;L'!$AD$7*10000</f>
        <v>4.8990225952676618E-3</v>
      </c>
      <c r="AJ15" s="350">
        <f t="shared" si="8"/>
        <v>-5.9331503202897491E-2</v>
      </c>
      <c r="AK15" s="78">
        <f>AP15/'Master P&amp;L'!$AD$7*10000</f>
        <v>-3.3804028612721422E-2</v>
      </c>
      <c r="AL15" s="42">
        <f t="shared" si="9"/>
        <v>513220.31491994858</v>
      </c>
      <c r="AM15" s="42">
        <f t="shared" si="10"/>
        <v>1623400</v>
      </c>
      <c r="AN15" s="78" cm="1">
        <f t="array" ref="AN15">_xll.BDP($B15&amp;" Equity","theta_mid_rt")</f>
        <v>-5.8694310486316681E-2</v>
      </c>
      <c r="AO15" s="42">
        <f t="shared" si="11"/>
        <v>1173.8862097263336</v>
      </c>
      <c r="AP15" s="42">
        <f t="shared" si="12"/>
        <v>-8100.0000000000055</v>
      </c>
      <c r="AQ15" s="74" t="str" cm="1">
        <f t="array" ref="AQ15">_xll.BDP($D15&amp;" Equity","EXPECTED_REPORT_DT")</f>
        <v>05/03/2026</v>
      </c>
      <c r="AR15" s="235" cm="1">
        <f t="array" ref="AR15">_xll.BDP($B15&amp;" Equity","GAMMA_LAST")</f>
        <v>1.5626999999999999E-2</v>
      </c>
      <c r="AS15" s="73">
        <f t="shared" si="13"/>
        <v>-20591.913240059999</v>
      </c>
      <c r="AT15" s="73">
        <f t="shared" si="14"/>
        <v>-102959.56620029999</v>
      </c>
      <c r="AU15" s="73" t="s">
        <v>151</v>
      </c>
      <c r="AV15" s="322" cm="1">
        <f t="array" ref="AV15">_xll.BDP($D15&amp;" Equity","EST_PE_NXT_YR")*(AA15/Z15)</f>
        <v>20.754896441991232</v>
      </c>
      <c r="AW15" s="73"/>
      <c r="AX15" s="42"/>
      <c r="AY15" s="42">
        <v>4.4000000000000004</v>
      </c>
      <c r="AZ15" s="354"/>
      <c r="BA15" s="42">
        <f t="shared" si="15"/>
        <v>4.4000000000000004</v>
      </c>
      <c r="BB15" s="346">
        <f t="shared" si="16"/>
        <v>3.9249999999999998</v>
      </c>
      <c r="BC15" s="346">
        <f t="shared" si="17"/>
        <v>9500.0000000000109</v>
      </c>
      <c r="BD15" s="346">
        <f>BC15/'Master P&amp;L'!$AD$7*10000</f>
        <v>3.9646700224796751E-2</v>
      </c>
    </row>
    <row r="16" spans="1:56" s="59" customFormat="1">
      <c r="A16" s="356"/>
      <c r="B16" t="s">
        <v>2059</v>
      </c>
      <c r="C16" t="str" cm="1">
        <f t="array" ref="C16">_xll.BDP($B16&amp;" Equity","opt_put_call")</f>
        <v>Put</v>
      </c>
      <c r="D16" t="str" cm="1">
        <f t="array" ref="D16">_xll.BDP(B16&amp;" Equity","OPT_UNDL_TICKER")</f>
        <v>MRVL US</v>
      </c>
      <c r="E16" t="str" cm="1">
        <f t="array" ref="E16">_xll.BDP($B16&amp;" Equity","mifid_Maturity_date")</f>
        <v>20/03/2026</v>
      </c>
      <c r="F16" cm="1">
        <f t="array" ref="F16">_xll.BDP($B16&amp;" Equity","opt_days_expire")</f>
        <v>56</v>
      </c>
      <c r="G16" t="str" cm="1">
        <f t="array" ref="G16">_xll.BDP(B16&amp;" Equity","QUOTED_CURRENCY_REALTIME")</f>
        <v>USD</v>
      </c>
      <c r="H16" s="15">
        <v>150</v>
      </c>
      <c r="I16" s="410">
        <v>6.13</v>
      </c>
      <c r="J16" s="14">
        <f>VLOOKUP(B16,Precificação!$B:$O,14,FALSE)</f>
        <v>5.9249999999999998</v>
      </c>
      <c r="K16" s="14">
        <f t="shared" si="18"/>
        <v>5.9249999999999998</v>
      </c>
      <c r="L16" s="74" cm="1">
        <f t="array" ref="L16">_xll.BDP($B16&amp;" Equity","mid")</f>
        <v>6.53</v>
      </c>
      <c r="M16" s="19">
        <f t="shared" si="0"/>
        <v>8.0448441542441795E-2</v>
      </c>
      <c r="N16" s="350"/>
      <c r="O16" s="19">
        <f t="shared" si="1"/>
        <v>0.10210970464135039</v>
      </c>
      <c r="P16" s="36" cm="1">
        <f t="array" ref="P16">_xll.BDP($B16&amp;" Equity","bid")</f>
        <v>6.45</v>
      </c>
      <c r="Q16" s="36" cm="1">
        <f t="array" ref="Q16">_xll.BDP($B16&amp;" Equity","ask")</f>
        <v>6.6</v>
      </c>
      <c r="R16" s="40">
        <f t="shared" si="2"/>
        <v>2.3255813953488191E-2</v>
      </c>
      <c r="S16" s="36" cm="1">
        <f t="array" ref="S16">_xll.BDP(G16&amp;" Curncy","PX_LAST")</f>
        <v>1</v>
      </c>
      <c r="T16" s="15" cm="1">
        <f t="array" ref="T16">_xll.BDP(B16&amp;" Equity","OPT_MULTIPLIER")</f>
        <v>100</v>
      </c>
      <c r="U16" s="15">
        <f t="shared" si="3"/>
        <v>97950</v>
      </c>
      <c r="V16" s="124">
        <f>U16/'Master P&amp;L'!$AD$7*10000</f>
        <v>0.40877834600198287</v>
      </c>
      <c r="W16" s="124">
        <f>(Y16*H16*T16/S16)/'Master P&amp;L'!$AD$7*10000</f>
        <v>0.40877834600198287</v>
      </c>
      <c r="X16" s="413">
        <f t="shared" si="4"/>
        <v>0</v>
      </c>
      <c r="Y16" s="273">
        <f t="shared" si="5"/>
        <v>6.53</v>
      </c>
      <c r="Z16" s="37">
        <f>_xll.BDP(D16&amp;" Equity","LAST_PRICE")</f>
        <v>81.17</v>
      </c>
      <c r="AA16" s="37" cm="1">
        <f t="array" ref="AA16">_xll.BDP(B16&amp;" Equity","OPT_STRIKE_PX")</f>
        <v>80</v>
      </c>
      <c r="AB16" s="40">
        <f t="shared" si="6"/>
        <v>-1.4414192435628914E-2</v>
      </c>
      <c r="AC16" s="324" cm="1">
        <f t="array" ref="AC16">_xll.BDP($D16&amp;" Equity","volatility_10d")</f>
        <v>28.645253487552701</v>
      </c>
      <c r="AD16" s="37" cm="1">
        <f t="array" ref="AD16">_xll.BDP(B16&amp;" Equity","ivol_mid")</f>
        <v>57.906829999999999</v>
      </c>
      <c r="AE16" s="37">
        <f t="shared" si="7"/>
        <v>2.0215157120240677</v>
      </c>
      <c r="AF16" s="38" cm="1">
        <f t="array" ref="AF16">_xll.BDP(B16&amp;" Equity","DELTA_MID_RT")</f>
        <v>-0.42219364643096924</v>
      </c>
      <c r="AG16" s="19">
        <f>AL16/'Master P&amp;L'!$AE$7</f>
        <v>-2.1452699041975658E-4</v>
      </c>
      <c r="AH16" s="19">
        <f>AM16/'Master P&amp;L'!$AE$7</f>
        <v>-5.0812463009159185E-4</v>
      </c>
      <c r="AI16" s="434">
        <f>AO16/'Master P&amp;L'!$AD$7*10000</f>
        <v>-3.9984793309161904E-3</v>
      </c>
      <c r="AJ16" s="350">
        <f t="shared" si="8"/>
        <v>4.8425126566702802E-2</v>
      </c>
      <c r="AK16" s="38">
        <f>AP16/'Master P&amp;L'!$AD$7*10000</f>
        <v>3.7873032056845307E-2</v>
      </c>
      <c r="AL16" s="15">
        <f t="shared" si="9"/>
        <v>-514041.8742120266</v>
      </c>
      <c r="AM16" s="15">
        <f t="shared" si="10"/>
        <v>-1217550</v>
      </c>
      <c r="AN16" s="38" cm="1">
        <f t="array" ref="AN16">_xll.BDP($B16&amp;" Equity","theta_mid_rt")</f>
        <v>-6.3873417675495148E-2</v>
      </c>
      <c r="AO16" s="15">
        <f t="shared" si="11"/>
        <v>-958.10126513242722</v>
      </c>
      <c r="AP16" s="15">
        <f t="shared" si="12"/>
        <v>9075.0000000000073</v>
      </c>
      <c r="AQ16" s="36" t="str" cm="1">
        <f t="array" ref="AQ16">_xll.BDP($D16&amp;" Equity","EXPECTED_REPORT_DT")</f>
        <v>05/03/2026</v>
      </c>
      <c r="AR16" s="66" cm="1">
        <f t="array" ref="AR16">_xll.BDP($B16&amp;" Equity","GAMMA_LAST")</f>
        <v>1.7454999999999998E-2</v>
      </c>
      <c r="AS16">
        <f t="shared" si="13"/>
        <v>17250.520522424998</v>
      </c>
      <c r="AT16">
        <f t="shared" si="14"/>
        <v>86252.602612125003</v>
      </c>
      <c r="AU16" t="s">
        <v>151</v>
      </c>
      <c r="AV16" s="277" cm="1">
        <f t="array" ref="AV16">_xll.BDP($D16&amp;" Equity","EST_PE_NXT_YR")*(AA16/Z16)</f>
        <v>22.13855620479065</v>
      </c>
      <c r="AW16"/>
      <c r="AX16" s="15"/>
      <c r="AY16" s="15">
        <v>6.55</v>
      </c>
      <c r="AZ16" s="355"/>
      <c r="BA16" s="15">
        <f t="shared" si="15"/>
        <v>6.55</v>
      </c>
      <c r="BB16" s="414">
        <f t="shared" si="16"/>
        <v>5.9249999999999998</v>
      </c>
      <c r="BC16" s="414">
        <f t="shared" si="17"/>
        <v>-9375</v>
      </c>
      <c r="BD16" s="414">
        <f>BC16/'Master P&amp;L'!$AD$7*10000</f>
        <v>-3.9125033116575697E-2</v>
      </c>
    </row>
    <row r="17" spans="1:56">
      <c r="A17" s="335"/>
      <c r="B17" s="73" t="s">
        <v>2297</v>
      </c>
      <c r="C17" s="73" t="str" cm="1">
        <f t="array" ref="C17">_xll.BDP($B17&amp;" Equity","opt_put_call")</f>
        <v>Put</v>
      </c>
      <c r="D17" s="73" t="str" cm="1">
        <f t="array" ref="D17">_xll.BDP(B17&amp;" Equity","OPT_UNDL_TICKER")</f>
        <v>MRVL US</v>
      </c>
      <c r="E17" s="73" t="str" cm="1">
        <f t="array" ref="E17">_xll.BDP($B17&amp;" Equity","mifid_Maturity_date")</f>
        <v>20/03/2026</v>
      </c>
      <c r="F17" s="73" cm="1">
        <f t="array" ref="F17">_xll.BDP($B17&amp;" Equity","opt_days_expire")</f>
        <v>56</v>
      </c>
      <c r="G17" s="73" t="str" cm="1">
        <f t="array" ref="G17">_xll.BDP(B17&amp;" Equity","QUOTED_CURRENCY_REALTIME")</f>
        <v>USD</v>
      </c>
      <c r="H17" s="42">
        <v>-150</v>
      </c>
      <c r="I17" s="409">
        <v>2.52</v>
      </c>
      <c r="J17" s="14">
        <f>VLOOKUP(B17,Precificação!$B:$O,14,FALSE)</f>
        <v>2.37</v>
      </c>
      <c r="K17" s="14">
        <f t="shared" si="18"/>
        <v>2.37</v>
      </c>
      <c r="L17" s="74" cm="1">
        <f t="array" ref="L17">_xll.BDP($B17&amp;" Equity","mid")</f>
        <v>2.7</v>
      </c>
      <c r="M17" s="75">
        <f t="shared" si="0"/>
        <v>3.3263521005297524E-2</v>
      </c>
      <c r="N17" s="352"/>
      <c r="O17" s="75">
        <f t="shared" si="1"/>
        <v>0.139240506329114</v>
      </c>
      <c r="P17" s="74" cm="1">
        <f t="array" ref="P17">_xll.BDP($B17&amp;" Equity","bid")</f>
        <v>2.62</v>
      </c>
      <c r="Q17" s="74" cm="1">
        <f t="array" ref="Q17">_xll.BDP($B17&amp;" Equity","ask")</f>
        <v>2.77</v>
      </c>
      <c r="R17" s="76">
        <f t="shared" si="2"/>
        <v>5.7251908396946494E-2</v>
      </c>
      <c r="S17" s="36" cm="1">
        <f t="array" ref="S17">_xll.BDP(G17&amp;" Curncy","PX_LAST")</f>
        <v>1</v>
      </c>
      <c r="T17" s="42" cm="1">
        <f t="array" ref="T17">_xll.BDP(B17&amp;" Equity","OPT_MULTIPLIER")</f>
        <v>100</v>
      </c>
      <c r="U17" s="42">
        <f t="shared" si="3"/>
        <v>-40500</v>
      </c>
      <c r="V17" s="113">
        <f>U17/'Master P&amp;L'!$AD$7*10000</f>
        <v>-0.16902014306360702</v>
      </c>
      <c r="W17" s="113">
        <f>(Y17*H17*T17/S17)/'Master P&amp;L'!$AD$7*10000</f>
        <v>-0.16902014306360702</v>
      </c>
      <c r="X17" s="118">
        <f t="shared" si="4"/>
        <v>0</v>
      </c>
      <c r="Y17" s="272">
        <f t="shared" si="5"/>
        <v>2.7</v>
      </c>
      <c r="Z17" s="77">
        <f>_xll.BDP(D17&amp;" Equity","LAST_PRICE")</f>
        <v>81.17</v>
      </c>
      <c r="AA17" s="77" cm="1">
        <f t="array" ref="AA17">_xll.BDP(B17&amp;" Equity","OPT_STRIKE_PX")</f>
        <v>70</v>
      </c>
      <c r="AB17" s="76">
        <f t="shared" si="6"/>
        <v>-0.13761241838117533</v>
      </c>
      <c r="AC17" s="323" cm="1">
        <f t="array" ref="AC17">_xll.BDP($D17&amp;" Equity","volatility_10d")</f>
        <v>28.645253487552701</v>
      </c>
      <c r="AD17" s="77" cm="1">
        <f t="array" ref="AD17">_xll.BDP(B17&amp;" Equity","ivol_mid")</f>
        <v>59.862850000000002</v>
      </c>
      <c r="AE17" s="77">
        <f t="shared" si="7"/>
        <v>2.0897999742265281</v>
      </c>
      <c r="AF17" s="78" cm="1">
        <f t="array" ref="AF17">_xll.BDP(B17&amp;" Equity","DELTA_MID_RT")</f>
        <v>-0.21927750110626221</v>
      </c>
      <c r="AG17" s="75">
        <f>AL17/'Master P&amp;L'!$AE$7</f>
        <v>1.1142029913702814E-4</v>
      </c>
      <c r="AH17" s="75">
        <f>AM17/'Master P&amp;L'!$AE$7</f>
        <v>5.0812463009159185E-4</v>
      </c>
      <c r="AI17" s="435">
        <f>AO17/'Master P&amp;L'!$AD$7*10000</f>
        <v>3.0830513950630138E-3</v>
      </c>
      <c r="AJ17" s="350">
        <f t="shared" si="8"/>
        <v>-3.7338483373719707E-2</v>
      </c>
      <c r="AK17" s="78">
        <f>AP17/'Master P&amp;L'!$AD$7*10000</f>
        <v>-2.0658017485551971E-2</v>
      </c>
      <c r="AL17" s="42">
        <f t="shared" si="9"/>
        <v>266981.32147192961</v>
      </c>
      <c r="AM17" s="42">
        <f t="shared" si="10"/>
        <v>1217550</v>
      </c>
      <c r="AN17" s="78" cm="1">
        <f t="array" ref="AN17">_xll.BDP($B17&amp;" Equity","theta_mid_rt")</f>
        <v>-4.9249980598688126E-2</v>
      </c>
      <c r="AO17" s="42">
        <f t="shared" si="11"/>
        <v>738.74970898032188</v>
      </c>
      <c r="AP17" s="42">
        <f t="shared" si="12"/>
        <v>-4950.0000000000009</v>
      </c>
      <c r="AQ17" s="74" t="str" cm="1">
        <f t="array" ref="AQ17">_xll.BDP($D17&amp;" Equity","EXPECTED_REPORT_DT")</f>
        <v>05/03/2026</v>
      </c>
      <c r="AR17" s="235" cm="1">
        <f t="array" ref="AR17">_xll.BDP($B17&amp;" Equity","GAMMA_LAST")</f>
        <v>1.2683E-2</v>
      </c>
      <c r="AS17" s="73">
        <f t="shared" si="13"/>
        <v>-12534.422903805</v>
      </c>
      <c r="AT17" s="73">
        <f t="shared" si="14"/>
        <v>-62672.11451902501</v>
      </c>
      <c r="AU17" s="73" t="s">
        <v>151</v>
      </c>
      <c r="AV17" s="322" cm="1">
        <f t="array" ref="AV17">_xll.BDP($D17&amp;" Equity","EST_PE_NXT_YR")*(AA17/Z17)</f>
        <v>19.371236679191817</v>
      </c>
      <c r="AW17" s="73"/>
      <c r="AX17" s="42"/>
      <c r="AY17" s="42">
        <v>2.7</v>
      </c>
      <c r="AZ17" s="354"/>
      <c r="BA17" s="42">
        <f t="shared" si="15"/>
        <v>2.7</v>
      </c>
      <c r="BB17" s="346">
        <f t="shared" si="16"/>
        <v>2.37</v>
      </c>
      <c r="BC17" s="346">
        <f t="shared" si="17"/>
        <v>4950.0000000000018</v>
      </c>
      <c r="BD17" s="346">
        <f>BC17/'Master P&amp;L'!$AD$7*10000</f>
        <v>2.0658017485551978E-2</v>
      </c>
    </row>
    <row r="18" spans="1:56" s="59" customFormat="1">
      <c r="A18" s="356"/>
      <c r="B18" t="s">
        <v>2321</v>
      </c>
      <c r="C18" t="str" cm="1">
        <f t="array" ref="C18">_xll.BDP($B18&amp;" Equity","opt_put_call")</f>
        <v>Call</v>
      </c>
      <c r="D18" t="str" cm="1">
        <f t="array" ref="D18">_xll.BDP(B18&amp;" Equity","OPT_UNDL_TICKER")</f>
        <v>MSFT US</v>
      </c>
      <c r="E18" t="str" cm="1">
        <f t="array" ref="E18">_xll.BDP($B18&amp;" Equity","mifid_Maturity_date")</f>
        <v>17/07/2026</v>
      </c>
      <c r="F18" cm="1">
        <f t="array" ref="F18">_xll.BDP($B18&amp;" Equity","opt_days_expire")</f>
        <v>175</v>
      </c>
      <c r="G18" t="str" cm="1">
        <f t="array" ref="G18">_xll.BDP(B18&amp;" Equity","QUOTED_CURRENCY_REALTIME")</f>
        <v>USD</v>
      </c>
      <c r="H18" s="15">
        <v>25</v>
      </c>
      <c r="I18" s="410">
        <v>31.67</v>
      </c>
      <c r="J18" s="14">
        <f>VLOOKUP(B18,Precificação!$B:$O,14,FALSE)</f>
        <v>31.024999999999999</v>
      </c>
      <c r="K18" s="14">
        <f t="shared" si="18"/>
        <v>31.024999999999999</v>
      </c>
      <c r="L18" s="74" cm="1">
        <f t="array" ref="L18">_xll.BDP($B18&amp;" Equity","mid")</f>
        <v>38.979999999999997</v>
      </c>
      <c r="M18" s="19">
        <f t="shared" si="0"/>
        <v>8.3756808732367127E-2</v>
      </c>
      <c r="N18" s="350"/>
      <c r="O18" s="19">
        <f t="shared" si="1"/>
        <v>0.25640612409347296</v>
      </c>
      <c r="P18" s="36" cm="1">
        <f t="array" ref="P18">_xll.BDP($B18&amp;" Equity","bid")</f>
        <v>38.85</v>
      </c>
      <c r="Q18" s="36" cm="1">
        <f t="array" ref="Q18">_xll.BDP($B18&amp;" Equity","ask")</f>
        <v>39.1</v>
      </c>
      <c r="R18" s="40">
        <f t="shared" si="2"/>
        <v>6.4350064350064962E-3</v>
      </c>
      <c r="S18" s="36" cm="1">
        <f t="array" ref="S18">_xll.BDP(G18&amp;" Curncy","PX_LAST")</f>
        <v>1</v>
      </c>
      <c r="T18" s="15" cm="1">
        <f t="array" ref="T18">_xll.BDP(B18&amp;" Equity","OPT_MULTIPLIER")</f>
        <v>100</v>
      </c>
      <c r="U18" s="15">
        <f t="shared" si="3"/>
        <v>97449.999999999985</v>
      </c>
      <c r="V18" s="124">
        <f>U18/'Master P&amp;L'!$AD$7*10000</f>
        <v>0.4066916775690988</v>
      </c>
      <c r="W18" s="124">
        <f>(Y18*H18*T18/S18)/'Master P&amp;L'!$AD$7*10000</f>
        <v>0.40257050741415301</v>
      </c>
      <c r="X18" s="413">
        <f t="shared" si="4"/>
        <v>0.39499999999998181</v>
      </c>
      <c r="Y18" s="273">
        <f t="shared" si="5"/>
        <v>38.585000000000015</v>
      </c>
      <c r="Z18" s="37">
        <f>_xll.BDP(D18&amp;" Equity","LAST_PRICE")</f>
        <v>465.39499999999998</v>
      </c>
      <c r="AA18" s="37" cm="1">
        <f t="array" ref="AA18">_xll.BDP(B18&amp;" Equity","OPT_STRIKE_PX")</f>
        <v>465</v>
      </c>
      <c r="AB18" s="40">
        <f t="shared" si="6"/>
        <v>-8.4874139172097518E-4</v>
      </c>
      <c r="AC18" s="324" cm="1">
        <f t="array" ref="AC18">_xll.BDP($D18&amp;" Equity","volatility_10d")</f>
        <v>26.129884508449301</v>
      </c>
      <c r="AD18" s="37" cm="1">
        <f t="array" ref="AD18">_xll.BDP(B18&amp;" Equity","ivol_mid")</f>
        <v>27.31268</v>
      </c>
      <c r="AE18" s="37">
        <f t="shared" si="7"/>
        <v>1.0452660053345522</v>
      </c>
      <c r="AF18" s="38" cm="1">
        <f t="array" ref="AF18">_xll.BDP(B18&amp;" Equity","DELTA_MID_RT")</f>
        <v>0.57090157270431519</v>
      </c>
      <c r="AG18" s="19">
        <f>AL18/'Master P&amp;L'!$AE$7</f>
        <v>2.7720841068796642E-4</v>
      </c>
      <c r="AH18" s="19">
        <f>AM18/'Master P&amp;L'!$AE$7</f>
        <v>4.8556252766103323E-4</v>
      </c>
      <c r="AI18" s="434">
        <f>AO18/'Master P&amp;L'!$AD$7*10000</f>
        <v>-1.0632784060732824E-3</v>
      </c>
      <c r="AJ18" s="350">
        <f t="shared" si="8"/>
        <v>1.2877243353898419E-2</v>
      </c>
      <c r="AK18" s="38">
        <f>AP18/'Master P&amp;L'!$AD$7*10000</f>
        <v>8.2997236917962541E-2</v>
      </c>
      <c r="AL18" s="15">
        <f t="shared" si="9"/>
        <v>664236.84357181191</v>
      </c>
      <c r="AM18" s="15">
        <f t="shared" si="10"/>
        <v>1163487.5</v>
      </c>
      <c r="AN18" s="38" cm="1">
        <f t="array" ref="AN18">_xll.BDP($B18&amp;" Equity","theta_mid_rt")</f>
        <v>-0.10191158205270767</v>
      </c>
      <c r="AO18" s="15">
        <f t="shared" si="11"/>
        <v>-254.77895513176918</v>
      </c>
      <c r="AP18" s="15">
        <f t="shared" si="12"/>
        <v>19887.499999999993</v>
      </c>
      <c r="AQ18" s="36" t="str" cm="1">
        <f t="array" ref="AQ18">_xll.BDP($D18&amp;" Equity","EXPECTED_REPORT_DT")</f>
        <v>28/01/2026</v>
      </c>
      <c r="AR18" s="66" cm="1">
        <f t="array" ref="AR18">_xll.BDP($B18&amp;" Equity","GAMMA_LAST")</f>
        <v>2.0961E-2</v>
      </c>
      <c r="AS18">
        <f t="shared" si="13"/>
        <v>113499.88796975062</v>
      </c>
      <c r="AT18">
        <f t="shared" si="14"/>
        <v>567499.43984875304</v>
      </c>
      <c r="AU18" t="s">
        <v>151</v>
      </c>
      <c r="AV18" s="277" cm="1">
        <f t="array" ref="AV18">_xll.BDP($D18&amp;" Equity","EST_PE_NXT_YR")*(AA18/Z18)</f>
        <v>24.262292532020485</v>
      </c>
      <c r="AW18"/>
      <c r="AX18" s="15"/>
      <c r="AY18" s="15">
        <v>37</v>
      </c>
      <c r="AZ18" s="355"/>
      <c r="BA18" s="15">
        <f t="shared" si="15"/>
        <v>37</v>
      </c>
      <c r="BB18" s="414">
        <f t="shared" si="16"/>
        <v>31.024999999999999</v>
      </c>
      <c r="BC18" s="414">
        <f t="shared" si="17"/>
        <v>-14937.500000000004</v>
      </c>
      <c r="BD18" s="414">
        <f>BC18/'Master P&amp;L'!$AD$7*10000</f>
        <v>-6.2339219432410622E-2</v>
      </c>
    </row>
    <row r="19" spans="1:56">
      <c r="A19" s="335"/>
      <c r="B19" s="73" t="s">
        <v>2050</v>
      </c>
      <c r="C19" s="73" t="str" cm="1">
        <f t="array" ref="C19">_xll.BDP($B19&amp;" Equity","opt_put_call")</f>
        <v>Put</v>
      </c>
      <c r="D19" s="73" t="str" cm="1">
        <f t="array" ref="D19">_xll.BDP(B19&amp;" Equity","OPT_UNDL_TICKER")</f>
        <v>MSFT US</v>
      </c>
      <c r="E19" s="73" t="str" cm="1">
        <f t="array" ref="E19">_xll.BDP($B19&amp;" Equity","mifid_Maturity_date")</f>
        <v>20/03/2026</v>
      </c>
      <c r="F19" s="73" cm="1">
        <f t="array" ref="F19">_xll.BDP($B19&amp;" Equity","opt_days_expire")</f>
        <v>56</v>
      </c>
      <c r="G19" s="73" t="str" cm="1">
        <f t="array" ref="G19">_xll.BDP(B19&amp;" Equity","QUOTED_CURRENCY_REALTIME")</f>
        <v>USD</v>
      </c>
      <c r="H19" s="42">
        <v>-50</v>
      </c>
      <c r="I19" s="409">
        <v>17.829999999999998</v>
      </c>
      <c r="J19" s="14">
        <f>VLOOKUP(B19,Precificação!$B:$O,14,FALSE)</f>
        <v>26.625</v>
      </c>
      <c r="K19" s="14">
        <f t="shared" si="18"/>
        <v>26.625</v>
      </c>
      <c r="L19" s="74" cm="1">
        <f t="array" ref="L19">_xll.BDP($B19&amp;" Equity","mid")</f>
        <v>19.5</v>
      </c>
      <c r="M19" s="75">
        <f t="shared" si="0"/>
        <v>4.1899891490024606E-2</v>
      </c>
      <c r="N19" s="352"/>
      <c r="O19" s="75">
        <f t="shared" si="1"/>
        <v>-0.26760563380281688</v>
      </c>
      <c r="P19" s="74" cm="1">
        <f t="array" ref="P19">_xll.BDP($B19&amp;" Equity","bid")</f>
        <v>19.399999999999999</v>
      </c>
      <c r="Q19" s="74" cm="1">
        <f t="array" ref="Q19">_xll.BDP($B19&amp;" Equity","ask")</f>
        <v>19.600000000000001</v>
      </c>
      <c r="R19" s="76">
        <f t="shared" si="2"/>
        <v>1.0309278350515649E-2</v>
      </c>
      <c r="S19" s="36" cm="1">
        <f t="array" ref="S19">_xll.BDP(G19&amp;" Curncy","PX_LAST")</f>
        <v>1</v>
      </c>
      <c r="T19" s="42" cm="1">
        <f t="array" ref="T19">_xll.BDP(B19&amp;" Equity","OPT_MULTIPLIER")</f>
        <v>100</v>
      </c>
      <c r="U19" s="42">
        <f t="shared" si="3"/>
        <v>-97500</v>
      </c>
      <c r="V19" s="113">
        <f>U19/'Master P&amp;L'!$AD$7*10000</f>
        <v>-0.40690034441238726</v>
      </c>
      <c r="W19" s="113">
        <f>(Y19*H19*T19/S19)/'Master P&amp;L'!$AD$7*10000</f>
        <v>-0.40690034441238726</v>
      </c>
      <c r="X19" s="118">
        <f t="shared" si="4"/>
        <v>0</v>
      </c>
      <c r="Y19" s="272">
        <f t="shared" si="5"/>
        <v>19.5</v>
      </c>
      <c r="Z19" s="77">
        <f>_xll.BDP(D19&amp;" Equity","LAST_PRICE")</f>
        <v>465.39499999999998</v>
      </c>
      <c r="AA19" s="77" cm="1">
        <f t="array" ref="AA19">_xll.BDP(B19&amp;" Equity","OPT_STRIKE_PX")</f>
        <v>465</v>
      </c>
      <c r="AB19" s="76">
        <f t="shared" si="6"/>
        <v>-8.4874139172097518E-4</v>
      </c>
      <c r="AC19" s="323" cm="1">
        <f t="array" ref="AC19">_xll.BDP($D19&amp;" Equity","volatility_10d")</f>
        <v>26.129884508449301</v>
      </c>
      <c r="AD19" s="77" cm="1">
        <f t="array" ref="AD19">_xll.BDP(B19&amp;" Equity","ivol_mid")</f>
        <v>27.717490000000002</v>
      </c>
      <c r="AE19" s="77">
        <f t="shared" si="7"/>
        <v>1.060758228419928</v>
      </c>
      <c r="AF19" s="78" cm="1">
        <f t="array" ref="AF19">_xll.BDP(B19&amp;" Equity","DELTA_MID_RT")</f>
        <v>-0.46512895822525024</v>
      </c>
      <c r="AG19" s="75">
        <f>AL19/'Master P&amp;L'!$AE$7</f>
        <v>4.516983852883912E-4</v>
      </c>
      <c r="AH19" s="75">
        <f>AM19/'Master P&amp;L'!$AE$7</f>
        <v>9.7112505532206646E-4</v>
      </c>
      <c r="AI19" s="435">
        <f>AO19/'Master P&amp;L'!$AD$7*10000</f>
        <v>3.8491864201177215E-3</v>
      </c>
      <c r="AJ19" s="350">
        <f t="shared" si="8"/>
        <v>-4.6617057172663741E-2</v>
      </c>
      <c r="AK19" s="78">
        <f>AP19/'Master P&amp;L'!$AD$7*10000</f>
        <v>0.14867512584298767</v>
      </c>
      <c r="AL19" s="42">
        <f t="shared" si="9"/>
        <v>1082343.4575662015</v>
      </c>
      <c r="AM19" s="42">
        <f t="shared" si="10"/>
        <v>2326975</v>
      </c>
      <c r="AN19" s="78" cm="1">
        <f t="array" ref="AN19">_xll.BDP($B19&amp;" Equity","theta_mid_rt")</f>
        <v>-0.18446564674377441</v>
      </c>
      <c r="AO19" s="42">
        <f t="shared" si="11"/>
        <v>922.32823371887207</v>
      </c>
      <c r="AP19" s="42">
        <f t="shared" si="12"/>
        <v>35625</v>
      </c>
      <c r="AQ19" s="74" t="str" cm="1">
        <f t="array" ref="AQ19">_xll.BDP($D19&amp;" Equity","EXPECTED_REPORT_DT")</f>
        <v>28/01/2026</v>
      </c>
      <c r="AR19" s="235" cm="1">
        <f t="array" ref="AR19">_xll.BDP($B19&amp;" Equity","GAMMA_LAST")</f>
        <v>3.7402999999999999E-2</v>
      </c>
      <c r="AS19" s="73">
        <f t="shared" si="13"/>
        <v>-405060.47514265368</v>
      </c>
      <c r="AT19" s="73">
        <f t="shared" si="14"/>
        <v>-2025302.3757132683</v>
      </c>
      <c r="AU19" s="73" t="s">
        <v>151</v>
      </c>
      <c r="AV19" s="322" cm="1">
        <f t="array" ref="AV19">_xll.BDP($D19&amp;" Equity","EST_PE_NXT_YR")*(AA19/Z19)</f>
        <v>24.262292532020485</v>
      </c>
      <c r="AW19" s="73"/>
      <c r="AX19" s="42"/>
      <c r="AY19" s="42">
        <v>20.5</v>
      </c>
      <c r="AZ19" s="354"/>
      <c r="BA19" s="42">
        <f t="shared" si="15"/>
        <v>20.5</v>
      </c>
      <c r="BB19" s="346">
        <f t="shared" si="16"/>
        <v>26.625</v>
      </c>
      <c r="BC19" s="346">
        <f t="shared" si="17"/>
        <v>-30625</v>
      </c>
      <c r="BD19" s="346">
        <f>BC19/'Master P&amp;L'!$AD$7*10000</f>
        <v>-0.12780844151414728</v>
      </c>
    </row>
    <row r="20" spans="1:56" s="479" customFormat="1">
      <c r="A20" s="497"/>
      <c r="B20" s="479" t="s">
        <v>2331</v>
      </c>
      <c r="C20" s="479" t="str" cm="1">
        <f t="array" ref="C20">_xll.BDP($B20&amp;" Equity","opt_put_call")</f>
        <v>Call</v>
      </c>
      <c r="D20" s="479" t="str" cm="1">
        <f t="array" ref="D20">_xll.BDP(B20&amp;" Equity","OPT_UNDL_TICKER")</f>
        <v>QQQ US</v>
      </c>
      <c r="E20" s="479" t="str" cm="1">
        <f t="array" ref="E20">_xll.BDP($B20&amp;" Equity","mifid_Maturity_date")</f>
        <v>06/02/2026</v>
      </c>
      <c r="F20" s="479" cm="1">
        <f t="array" ref="F20">_xll.BDP($B20&amp;" Equity","opt_days_expire")</f>
        <v>14</v>
      </c>
      <c r="G20" s="479" t="str" cm="1">
        <f t="array" ref="G20">_xll.BDP(B20&amp;" Equity","QUOTED_CURRENCY_REALTIME")</f>
        <v>USD</v>
      </c>
      <c r="H20" s="481">
        <v>250</v>
      </c>
      <c r="I20" s="476">
        <v>4.9800000000000004</v>
      </c>
      <c r="J20" s="482">
        <f>VLOOKUP(B20,Precificação!$B:$O,14,FALSE)</f>
        <v>4.9399999999999995</v>
      </c>
      <c r="K20" s="482">
        <f t="shared" si="18"/>
        <v>4.9399999999999995</v>
      </c>
      <c r="L20" s="482" cm="1">
        <f t="array" ref="L20">_xll.BDP($B20&amp;" Equity","mid")</f>
        <v>5.9</v>
      </c>
      <c r="M20" s="488">
        <f t="shared" si="0"/>
        <v>9.4602828464227309E-3</v>
      </c>
      <c r="N20" s="498"/>
      <c r="O20" s="488">
        <f t="shared" si="1"/>
        <v>0.1943319838056683</v>
      </c>
      <c r="P20" s="482" cm="1">
        <f t="array" ref="P20">_xll.BDP($B20&amp;" Equity","bid")</f>
        <v>5.89</v>
      </c>
      <c r="Q20" s="482" cm="1">
        <f t="array" ref="Q20">_xll.BDP($B20&amp;" Equity","ask")</f>
        <v>5.91</v>
      </c>
      <c r="R20" s="478">
        <f t="shared" si="2"/>
        <v>3.3955857385399302E-3</v>
      </c>
      <c r="S20" s="482" cm="1">
        <f t="array" ref="S20">_xll.BDP(G20&amp;" Curncy","PX_LAST")</f>
        <v>1</v>
      </c>
      <c r="T20" s="481" cm="1">
        <f t="array" ref="T20">_xll.BDP(B20&amp;" Equity","OPT_MULTIPLIER")</f>
        <v>100</v>
      </c>
      <c r="U20" s="481">
        <f t="shared" si="3"/>
        <v>147500</v>
      </c>
      <c r="V20" s="499">
        <f>U20/'Master P&amp;L'!$AD$7*10000</f>
        <v>0.61556718770079089</v>
      </c>
      <c r="W20" s="499">
        <f>(Y20*H20*T20/S20)/'Master P&amp;L'!$AD$7*10000</f>
        <v>0.61556718770079089</v>
      </c>
      <c r="X20" s="500">
        <f t="shared" si="4"/>
        <v>0</v>
      </c>
      <c r="Y20" s="501">
        <f t="shared" si="5"/>
        <v>5.9</v>
      </c>
      <c r="Z20" s="502">
        <f>_xll.BDP(D20&amp;" Equity","LAST_PRICE")</f>
        <v>623.66</v>
      </c>
      <c r="AA20" s="502" cm="1">
        <f t="array" ref="AA20">_xll.BDP(B20&amp;" Equity","OPT_STRIKE_PX")</f>
        <v>630</v>
      </c>
      <c r="AB20" s="478">
        <f t="shared" si="6"/>
        <v>1.0165795465478134E-2</v>
      </c>
      <c r="AC20" s="387" cm="1">
        <f t="array" ref="AC20">_xll.BDP($D20&amp;" Equity","volatility_10d")</f>
        <v>16.363078757517627</v>
      </c>
      <c r="AD20" s="502" cm="1">
        <f t="array" ref="AD20">_xll.BDP(B20&amp;" Equity","ivol_mid")</f>
        <v>16.572929999999999</v>
      </c>
      <c r="AE20" s="502">
        <f t="shared" si="7"/>
        <v>1.012824679609023</v>
      </c>
      <c r="AF20" s="503" cm="1">
        <f t="array" ref="AF20">_xll.BDP(B20&amp;" Equity","DELTA_MID_RT")</f>
        <v>0.40422984957695007</v>
      </c>
      <c r="AG20" s="488">
        <f>AL20/'Master P&amp;L'!$AE$7</f>
        <v>2.6302663010005947E-3</v>
      </c>
      <c r="AH20" s="488">
        <f>AM20/'Master P&amp;L'!$AE$7</f>
        <v>6.5068581742622929E-3</v>
      </c>
      <c r="AI20" s="504">
        <f>AO20/'Master P&amp;L'!$AD$7*10000</f>
        <v>-2.8841324184405374E-2</v>
      </c>
      <c r="AJ20" s="498">
        <f t="shared" si="8"/>
        <v>0.34929398363580305</v>
      </c>
      <c r="AK20" s="503">
        <f>AP20/'Master P&amp;L'!$AD$7*10000</f>
        <v>0.10016008477843387</v>
      </c>
      <c r="AL20" s="481">
        <f t="shared" si="9"/>
        <v>6302549.6996790171</v>
      </c>
      <c r="AM20" s="481">
        <f t="shared" si="10"/>
        <v>15591500</v>
      </c>
      <c r="AN20" s="503" cm="1">
        <f t="array" ref="AN20">_xll.BDP($B20&amp;" Equity","theta_mid_rt")</f>
        <v>-0.27643418312072754</v>
      </c>
      <c r="AO20" s="481">
        <f t="shared" si="11"/>
        <v>-6910.8545780181885</v>
      </c>
      <c r="AP20" s="481">
        <f t="shared" si="12"/>
        <v>24000.000000000022</v>
      </c>
      <c r="AQ20" s="482" t="str" cm="1">
        <f t="array" ref="AQ20">_xll.BDP($D20&amp;" Equity","EXPECTED_REPORT_DT")</f>
        <v>#N/A N/A</v>
      </c>
      <c r="AR20" s="505" cm="1">
        <f t="array" ref="AR20">_xll.BDP($B20&amp;" Equity","GAMMA_LAST")</f>
        <v>0.113193</v>
      </c>
      <c r="AS20" s="479">
        <f t="shared" si="13"/>
        <v>11006655.149837699</v>
      </c>
      <c r="AT20" s="479">
        <f t="shared" si="14"/>
        <v>55033275.749188498</v>
      </c>
      <c r="AU20" s="479" t="s">
        <v>151</v>
      </c>
      <c r="AV20" s="493" t="e" cm="1">
        <f t="array" ref="AV20">_xll.BDP($D20&amp;" Equity","EST_PE_NXT_YR")*(AA20/Z20)</f>
        <v>#VALUE!</v>
      </c>
      <c r="AX20" s="481"/>
      <c r="AY20" s="481">
        <v>5.25</v>
      </c>
      <c r="AZ20" s="506"/>
      <c r="BA20" s="481">
        <f t="shared" si="15"/>
        <v>5.25</v>
      </c>
      <c r="BB20" s="507">
        <f t="shared" si="16"/>
        <v>4.9399999999999995</v>
      </c>
      <c r="BC20" s="507">
        <f t="shared" si="17"/>
        <v>-7750.0000000000127</v>
      </c>
      <c r="BD20" s="507">
        <f>BC20/'Master P&amp;L'!$AD$7*10000</f>
        <v>-3.2343360709702632E-2</v>
      </c>
    </row>
    <row r="21" spans="1:56">
      <c r="A21" s="335"/>
      <c r="B21" s="73" t="s">
        <v>2312</v>
      </c>
      <c r="C21" s="73" t="str" cm="1">
        <f t="array" ref="C21">_xll.BDP($B21&amp;" Equity","opt_put_call")</f>
        <v>Call</v>
      </c>
      <c r="D21" s="73" t="str" cm="1">
        <f t="array" ref="D21">_xll.BDP(B21&amp;" Equity","OPT_UNDL_TICKER")</f>
        <v>SNDK US</v>
      </c>
      <c r="E21" s="73" t="str" cm="1">
        <f t="array" ref="E21">_xll.BDP($B21&amp;" Equity","mifid_Maturity_date")</f>
        <v>20/02/2026</v>
      </c>
      <c r="F21" s="73" cm="1">
        <f t="array" ref="F21">_xll.BDP($B21&amp;" Equity","opt_days_expire")</f>
        <v>28</v>
      </c>
      <c r="G21" s="73" t="str" cm="1">
        <f t="array" ref="G21">_xll.BDP(B21&amp;" Equity","QUOTED_CURRENCY_REALTIME")</f>
        <v>USD</v>
      </c>
      <c r="H21" s="42">
        <v>15</v>
      </c>
      <c r="I21" s="409">
        <v>37.840000000000003</v>
      </c>
      <c r="J21" s="14">
        <f>VLOOKUP(B21,Precificação!$B:$O,14,FALSE)</f>
        <v>43.55</v>
      </c>
      <c r="K21" s="14">
        <f t="shared" si="18"/>
        <v>43.55</v>
      </c>
      <c r="L21" s="74" cm="1">
        <f t="array" ref="L21">_xll.BDP($B21&amp;" Equity","mid")</f>
        <v>41.35</v>
      </c>
      <c r="M21" s="75">
        <f t="shared" si="0"/>
        <v>8.2576135796305544E-2</v>
      </c>
      <c r="N21" s="352"/>
      <c r="O21" s="75">
        <f t="shared" si="1"/>
        <v>-5.0516647531572811E-2</v>
      </c>
      <c r="P21" s="74" cm="1">
        <f t="array" ref="P21">_xll.BDP($B21&amp;" Equity","bid")</f>
        <v>40.200000000000003</v>
      </c>
      <c r="Q21" s="74" cm="1">
        <f t="array" ref="Q21">_xll.BDP($B21&amp;" Equity","ask")</f>
        <v>42.5</v>
      </c>
      <c r="R21" s="76">
        <f t="shared" si="2"/>
        <v>5.7213930348258613E-2</v>
      </c>
      <c r="S21" s="36" cm="1">
        <f t="array" ref="S21">_xll.BDP(G21&amp;" Curncy","PX_LAST")</f>
        <v>1</v>
      </c>
      <c r="T21" s="42" cm="1">
        <f t="array" ref="T21">_xll.BDP(B21&amp;" Equity","OPT_MULTIPLIER")</f>
        <v>100</v>
      </c>
      <c r="U21" s="42">
        <f t="shared" si="3"/>
        <v>62025</v>
      </c>
      <c r="V21" s="113">
        <f>U21/'Master P&amp;L'!$AD$7*10000</f>
        <v>0.25885121909926478</v>
      </c>
      <c r="W21" s="113">
        <f>(Y21*H21*T21/S21)/'Master P&amp;L'!$AD$7*10000</f>
        <v>0.25885121909926478</v>
      </c>
      <c r="X21" s="118">
        <f t="shared" si="4"/>
        <v>0</v>
      </c>
      <c r="Y21" s="272">
        <f t="shared" si="5"/>
        <v>41.35</v>
      </c>
      <c r="Z21" s="77">
        <f>_xll.BDP(D21&amp;" Equity","LAST_PRICE")</f>
        <v>500.75</v>
      </c>
      <c r="AA21" s="77" cm="1">
        <f t="array" ref="AA21">_xll.BDP(B21&amp;" Equity","OPT_STRIKE_PX")</f>
        <v>550</v>
      </c>
      <c r="AB21" s="76">
        <f t="shared" si="6"/>
        <v>9.8352471293060351E-2</v>
      </c>
      <c r="AC21" s="323" cm="1">
        <f t="array" ref="AC21">_xll.BDP($D21&amp;" Equity","volatility_10d")</f>
        <v>67.909779185632019</v>
      </c>
      <c r="AD21" s="77" cm="1">
        <f t="array" ref="AD21">_xll.BDP(B21&amp;" Equity","ivol_mid")</f>
        <v>108.6007</v>
      </c>
      <c r="AE21" s="77">
        <f t="shared" si="7"/>
        <v>1.5991908868255773</v>
      </c>
      <c r="AF21" s="78" cm="1">
        <f t="array" ref="AF21">_xll.BDP(B21&amp;" Equity","DELTA_MID_RT")</f>
        <v>0.43840646743774414</v>
      </c>
      <c r="AG21" s="75">
        <f>AL21/'Master P&amp;L'!$AE$7</f>
        <v>1.374271724668659E-4</v>
      </c>
      <c r="AH21" s="75">
        <f>AM21/'Master P&amp;L'!$AE$7</f>
        <v>3.1346976533000448E-4</v>
      </c>
      <c r="AI21" s="435">
        <f>AO21/'Master P&amp;L'!$AD$7*10000</f>
        <v>-6.6138968230574236E-3</v>
      </c>
      <c r="AJ21" s="350">
        <f t="shared" si="8"/>
        <v>8.0100149144020291E-2</v>
      </c>
      <c r="AK21" s="78">
        <f>AP21/'Master P&amp;L'!$AD$7*10000</f>
        <v>-1.377201165703462E-2</v>
      </c>
      <c r="AL21" s="42">
        <f t="shared" si="9"/>
        <v>329298.05785417557</v>
      </c>
      <c r="AM21" s="42">
        <f t="shared" si="10"/>
        <v>751125</v>
      </c>
      <c r="AN21" s="78" cm="1">
        <f t="array" ref="AN21">_xll.BDP($B21&amp;" Equity","theta_mid_rt")</f>
        <v>-1.0565321445465088</v>
      </c>
      <c r="AO21" s="42">
        <f t="shared" si="11"/>
        <v>-1584.7982168197632</v>
      </c>
      <c r="AP21" s="42">
        <f t="shared" si="12"/>
        <v>-3299.9999999999936</v>
      </c>
      <c r="AQ21" s="74" t="str" cm="1">
        <f t="array" ref="AQ21">_xll.BDP($D21&amp;" Equity","EXPECTED_REPORT_DT")</f>
        <v>29/01/2026</v>
      </c>
      <c r="AR21" s="235" cm="1">
        <f t="array" ref="AR21">_xll.BDP($B21&amp;" Equity","GAMMA_LAST")</f>
        <v>1.3335E-2</v>
      </c>
      <c r="AS21" s="73">
        <f t="shared" si="13"/>
        <v>50156.381264062496</v>
      </c>
      <c r="AT21" s="73">
        <f t="shared" si="14"/>
        <v>250781.90632031247</v>
      </c>
      <c r="AU21" s="73" t="s">
        <v>151</v>
      </c>
      <c r="AV21" s="322" cm="1">
        <f t="array" ref="AV21">_xll.BDP($D21&amp;" Equity","EST_PE_NXT_YR")*(AA21/Z21)</f>
        <v>19.092453523908834</v>
      </c>
      <c r="AW21" s="73"/>
      <c r="AX21" s="42"/>
      <c r="AY21" s="42">
        <v>40.5</v>
      </c>
      <c r="AZ21" s="354"/>
      <c r="BA21" s="42">
        <f t="shared" si="15"/>
        <v>40.5</v>
      </c>
      <c r="BB21" s="346">
        <f t="shared" si="16"/>
        <v>43.55</v>
      </c>
      <c r="BC21" s="346">
        <f t="shared" si="17"/>
        <v>4574.9999999999955</v>
      </c>
      <c r="BD21" s="346">
        <f>BC21/'Master P&amp;L'!$AD$7*10000</f>
        <v>1.9093016160888925E-2</v>
      </c>
    </row>
    <row r="22" spans="1:56" s="59" customFormat="1">
      <c r="A22" s="356"/>
      <c r="B22" t="s">
        <v>2235</v>
      </c>
      <c r="C22" t="str" cm="1">
        <f t="array" ref="C22">_xll.BDP($B22&amp;" Equity","opt_put_call")</f>
        <v>Call</v>
      </c>
      <c r="D22" t="str" cm="1">
        <f t="array" ref="D22">_xll.BDP(B22&amp;" Equity","OPT_UNDL_TICKER")</f>
        <v>TSM US</v>
      </c>
      <c r="E22" t="str" cm="1">
        <f t="array" ref="E22">_xll.BDP($B22&amp;" Equity","mifid_Maturity_date")</f>
        <v>18/06/2026</v>
      </c>
      <c r="F22" cm="1">
        <f t="array" ref="F22">_xll.BDP($B22&amp;" Equity","opt_days_expire")</f>
        <v>146</v>
      </c>
      <c r="G22" t="str" cm="1">
        <f t="array" ref="G22">_xll.BDP(B22&amp;" Equity","QUOTED_CURRENCY_REALTIME")</f>
        <v>USD</v>
      </c>
      <c r="H22" s="15">
        <v>1550</v>
      </c>
      <c r="I22" s="410">
        <v>34.200000000000003</v>
      </c>
      <c r="J22" s="14">
        <f>VLOOKUP(B22,Precificação!$B:$O,14,FALSE)</f>
        <v>28.024999999999999</v>
      </c>
      <c r="K22" s="14">
        <f t="shared" si="18"/>
        <v>28.024999999999999</v>
      </c>
      <c r="L22" s="74" cm="1">
        <f t="array" ref="L22">_xll.BDP($B22&amp;" Equity","mid")</f>
        <v>32.6</v>
      </c>
      <c r="M22" s="19">
        <f t="shared" si="0"/>
        <v>9.7046915932364849E-2</v>
      </c>
      <c r="N22" s="350"/>
      <c r="O22" s="19">
        <f t="shared" si="1"/>
        <v>0.16324710080285465</v>
      </c>
      <c r="P22" s="36" cm="1">
        <f t="array" ref="P22">_xll.BDP($B22&amp;" Equity","bid")</f>
        <v>32</v>
      </c>
      <c r="Q22" s="36" cm="1">
        <f t="array" ref="Q22">_xll.BDP($B22&amp;" Equity","ask")</f>
        <v>33.200000000000003</v>
      </c>
      <c r="R22" s="40">
        <f t="shared" si="2"/>
        <v>3.7500000000000089E-2</v>
      </c>
      <c r="S22" s="36" cm="1">
        <f t="array" ref="S22">_xll.BDP(G22&amp;" Curncy","PX_LAST")</f>
        <v>1</v>
      </c>
      <c r="T22" s="15" cm="1">
        <f t="array" ref="T22">_xll.BDP(B22&amp;" Equity","OPT_MULTIPLIER")</f>
        <v>100</v>
      </c>
      <c r="U22" s="15">
        <f t="shared" si="3"/>
        <v>5053000</v>
      </c>
      <c r="V22" s="124">
        <f>U22/'Master P&amp;L'!$AD$7*10000</f>
        <v>21.087871182726079</v>
      </c>
      <c r="W22" s="124">
        <f>(Y22*H22*T22/S22)/'Master P&amp;L'!$AD$7*10000</f>
        <v>21.087871182726079</v>
      </c>
      <c r="X22" s="413">
        <f t="shared" si="4"/>
        <v>0</v>
      </c>
      <c r="Y22" s="273">
        <f t="shared" si="5"/>
        <v>32.6</v>
      </c>
      <c r="Z22" s="37">
        <f>_xll.BDP(D22&amp;" Equity","LAST_PRICE")</f>
        <v>335.92</v>
      </c>
      <c r="AA22" s="37" cm="1">
        <f t="array" ref="AA22">_xll.BDP(B22&amp;" Equity","OPT_STRIKE_PX")</f>
        <v>340</v>
      </c>
      <c r="AB22" s="40">
        <f t="shared" si="6"/>
        <v>1.2145748987854255E-2</v>
      </c>
      <c r="AC22" s="324" cm="1">
        <f t="array" ref="AC22">_xll.BDP($D22&amp;" Equity","volatility_10d")</f>
        <v>40.780793371868725</v>
      </c>
      <c r="AD22" s="37" cm="1">
        <f t="array" ref="AD22">_xll.BDP(B22&amp;" Equity","ivol_mid")</f>
        <v>38.90258</v>
      </c>
      <c r="AE22" s="37">
        <f t="shared" si="7"/>
        <v>0.95394367748705089</v>
      </c>
      <c r="AF22" s="38" cm="1">
        <f t="array" ref="AF22">_xll.BDP(B22&amp;" Equity","DELTA_MID_RT")</f>
        <v>0.54971098899841309</v>
      </c>
      <c r="AG22" s="19">
        <f>AL22/'Master P&amp;L'!$AE$7</f>
        <v>1.1944979819664227E-2</v>
      </c>
      <c r="AH22" s="19">
        <f>AM22/'Master P&amp;L'!$AE$7</f>
        <v>2.1729563459206579E-2</v>
      </c>
      <c r="AI22" s="434">
        <f>AO22/'Master P&amp;L'!$AD$7*10000</f>
        <v>-6.9698095521649489E-2</v>
      </c>
      <c r="AJ22" s="350">
        <f t="shared" si="8"/>
        <v>0.84410567562460226</v>
      </c>
      <c r="AK22" s="38">
        <f>AP22/'Master P&amp;L'!$AD$7*10000</f>
        <v>2.9594175049377873</v>
      </c>
      <c r="AL22" s="15">
        <f t="shared" si="9"/>
        <v>28622131.890773773</v>
      </c>
      <c r="AM22" s="15">
        <f t="shared" si="10"/>
        <v>52067600</v>
      </c>
      <c r="AN22" s="38" cm="1">
        <f t="array" ref="AN22">_xll.BDP($B22&amp;" Equity","theta_mid_rt")</f>
        <v>-0.1077471449971199</v>
      </c>
      <c r="AO22" s="15">
        <f t="shared" si="11"/>
        <v>-16700.807474553585</v>
      </c>
      <c r="AP22" s="15">
        <f t="shared" si="12"/>
        <v>709125.00000000047</v>
      </c>
      <c r="AQ22" s="36" t="str" cm="1">
        <f t="array" ref="AQ22">_xll.BDP($D22&amp;" Equity","EXPECTED_REPORT_DT")</f>
        <v>17/04/2026</v>
      </c>
      <c r="AR22" s="66" cm="1">
        <f t="array" ref="AR22">_xll.BDP($B22&amp;" Equity","GAMMA_LAST")</f>
        <v>1.6213000000000002E-2</v>
      </c>
      <c r="AS22">
        <f t="shared" si="13"/>
        <v>2835742.5783689604</v>
      </c>
      <c r="AT22">
        <f t="shared" si="14"/>
        <v>14178712.891844803</v>
      </c>
      <c r="AU22" t="s">
        <v>151</v>
      </c>
      <c r="AV22" s="277" cm="1">
        <f t="array" ref="AV22">_xll.BDP($D22&amp;" Equity","EST_PE_NXT_YR")*(AA22/Z22)</f>
        <v>20.331598766268275</v>
      </c>
      <c r="AW22"/>
      <c r="AX22" s="15"/>
      <c r="AY22" s="15">
        <v>31.27</v>
      </c>
      <c r="AZ22" s="355"/>
      <c r="BA22" s="15">
        <f t="shared" si="15"/>
        <v>31.27</v>
      </c>
      <c r="BB22" s="414">
        <f t="shared" si="16"/>
        <v>28.024999999999999</v>
      </c>
      <c r="BC22" s="414">
        <f t="shared" si="17"/>
        <v>-502975.00000000017</v>
      </c>
      <c r="BD22" s="414">
        <f>BC22/'Master P&amp;L'!$AD$7*10000</f>
        <v>-2.0990841100596977</v>
      </c>
    </row>
    <row r="23" spans="1:56">
      <c r="A23" s="335"/>
      <c r="B23" s="73" t="s">
        <v>2236</v>
      </c>
      <c r="C23" s="73" t="str" cm="1">
        <f t="array" ref="C23">_xll.BDP($B23&amp;" Equity","opt_put_call")</f>
        <v>Call</v>
      </c>
      <c r="D23" s="73" t="str" cm="1">
        <f t="array" ref="D23">_xll.BDP(B23&amp;" Equity","OPT_UNDL_TICKER")</f>
        <v>TSM US</v>
      </c>
      <c r="E23" s="73" t="str" cm="1">
        <f t="array" ref="E23">_xll.BDP($B23&amp;" Equity","mifid_Maturity_date")</f>
        <v>18/06/2026</v>
      </c>
      <c r="F23" s="73" cm="1">
        <f t="array" ref="F23">_xll.BDP($B23&amp;" Equity","opt_days_expire")</f>
        <v>146</v>
      </c>
      <c r="G23" s="73" t="str" cm="1">
        <f t="array" ref="G23">_xll.BDP(B23&amp;" Equity","QUOTED_CURRENCY_REALTIME")</f>
        <v>USD</v>
      </c>
      <c r="H23" s="42">
        <v>-1400</v>
      </c>
      <c r="I23" s="409">
        <v>19.54</v>
      </c>
      <c r="J23" s="14">
        <f>VLOOKUP(B23,Precificação!$B:$O,14,FALSE)</f>
        <v>14.925000000000001</v>
      </c>
      <c r="K23" s="14">
        <f t="shared" si="18"/>
        <v>14.925000000000001</v>
      </c>
      <c r="L23" s="74" cm="1">
        <f t="array" ref="L23">_xll.BDP($B23&amp;" Equity","mid")</f>
        <v>18.100000000000001</v>
      </c>
      <c r="M23" s="75">
        <f t="shared" si="0"/>
        <v>5.3881876637294594E-2</v>
      </c>
      <c r="N23" s="352"/>
      <c r="O23" s="75">
        <f t="shared" si="1"/>
        <v>0.21273031825795652</v>
      </c>
      <c r="P23" s="74" cm="1">
        <f t="array" ref="P23">_xll.BDP($B23&amp;" Equity","bid")</f>
        <v>17.600000000000001</v>
      </c>
      <c r="Q23" s="74" cm="1">
        <f t="array" ref="Q23">_xll.BDP($B23&amp;" Equity","ask")</f>
        <v>18.600000000000001</v>
      </c>
      <c r="R23" s="76">
        <f t="shared" si="2"/>
        <v>5.6818181818181879E-2</v>
      </c>
      <c r="S23" s="36" cm="1">
        <f t="array" ref="S23">_xll.BDP(G23&amp;" Curncy","PX_LAST")</f>
        <v>1</v>
      </c>
      <c r="T23" s="42" cm="1">
        <f t="array" ref="T23">_xll.BDP(B23&amp;" Equity","OPT_MULTIPLIER")</f>
        <v>100</v>
      </c>
      <c r="U23" s="42">
        <f t="shared" si="3"/>
        <v>-2534000.0000000005</v>
      </c>
      <c r="V23" s="113">
        <f>U23/'Master P&amp;L'!$AD$7*10000</f>
        <v>-10.575235617856302</v>
      </c>
      <c r="W23" s="113">
        <f>(Y23*H23*T23/S23)/'Master P&amp;L'!$AD$7*10000</f>
        <v>-10.575235617856302</v>
      </c>
      <c r="X23" s="118">
        <f t="shared" si="4"/>
        <v>0</v>
      </c>
      <c r="Y23" s="272">
        <f t="shared" si="5"/>
        <v>18.100000000000001</v>
      </c>
      <c r="Z23" s="77">
        <f>_xll.BDP(D23&amp;" Equity","LAST_PRICE")</f>
        <v>335.92</v>
      </c>
      <c r="AA23" s="77" cm="1">
        <f t="array" ref="AA23">_xll.BDP(B23&amp;" Equity","OPT_STRIKE_PX")</f>
        <v>380</v>
      </c>
      <c r="AB23" s="76">
        <f t="shared" si="6"/>
        <v>0.13122171945701355</v>
      </c>
      <c r="AC23" s="323" cm="1">
        <f t="array" ref="AC23">_xll.BDP($D23&amp;" Equity","volatility_10d")</f>
        <v>40.780793371868725</v>
      </c>
      <c r="AD23" s="77" cm="1">
        <f t="array" ref="AD23">_xll.BDP(B23&amp;" Equity","ivol_mid")</f>
        <v>37.777099999999997</v>
      </c>
      <c r="AE23" s="77">
        <f t="shared" si="7"/>
        <v>0.92634539145722639</v>
      </c>
      <c r="AF23" s="78" cm="1">
        <f t="array" ref="AF23">_xll.BDP(B23&amp;" Equity","DELTA_MID_RT")</f>
        <v>0.36766466498374939</v>
      </c>
      <c r="AG23" s="75">
        <f>AL23/'Master P&amp;L'!$AE$7</f>
        <v>-7.2160449917814404E-3</v>
      </c>
      <c r="AH23" s="75">
        <f>AM23/'Master P&amp;L'!$AE$7</f>
        <v>-1.9626702479283362E-2</v>
      </c>
      <c r="AI23" s="435">
        <f>AO23/'Master P&amp;L'!$AD$7*10000</f>
        <v>6.0366523767425788E-2</v>
      </c>
      <c r="AJ23" s="350">
        <f t="shared" si="8"/>
        <v>-0.73109207573661439</v>
      </c>
      <c r="AK23" s="78">
        <f>AP23/'Master P&amp;L'!$AD$7*10000</f>
        <v>-1.8550482368339094</v>
      </c>
      <c r="AL23" s="42">
        <f t="shared" si="9"/>
        <v>-17290827.996587753</v>
      </c>
      <c r="AM23" s="42">
        <f t="shared" si="10"/>
        <v>-47028800</v>
      </c>
      <c r="AN23" s="78" cm="1">
        <f t="array" ref="AN23">_xll.BDP($B23&amp;" Equity","theta_mid_rt")</f>
        <v>-0.10332006961107254</v>
      </c>
      <c r="AO23" s="42">
        <f t="shared" si="11"/>
        <v>14464.809745550156</v>
      </c>
      <c r="AP23" s="42">
        <f t="shared" si="12"/>
        <v>-444500.00000000006</v>
      </c>
      <c r="AQ23" s="74" t="str" cm="1">
        <f t="array" ref="AQ23">_xll.BDP($D23&amp;" Equity","EXPECTED_REPORT_DT")</f>
        <v>17/04/2026</v>
      </c>
      <c r="AR23" s="235" cm="1">
        <f t="array" ref="AR23">_xll.BDP($B23&amp;" Equity","GAMMA_LAST")</f>
        <v>1.5453E-2</v>
      </c>
      <c r="AS23" s="73">
        <f t="shared" si="13"/>
        <v>-2441251.7270668801</v>
      </c>
      <c r="AT23" s="73">
        <f t="shared" si="14"/>
        <v>-12206258.635334402</v>
      </c>
      <c r="AU23" s="73" t="s">
        <v>151</v>
      </c>
      <c r="AV23" s="322" cm="1">
        <f t="array" ref="AV23">_xll.BDP($D23&amp;" Equity","EST_PE_NXT_YR")*(AA23/Z23)</f>
        <v>22.723551562299836</v>
      </c>
      <c r="AW23" s="73"/>
      <c r="AX23" s="42"/>
      <c r="AY23" s="42">
        <v>17.32</v>
      </c>
      <c r="AZ23" s="354"/>
      <c r="BA23" s="42">
        <f t="shared" si="15"/>
        <v>17.32</v>
      </c>
      <c r="BB23" s="346">
        <f t="shared" si="16"/>
        <v>14.925000000000001</v>
      </c>
      <c r="BC23" s="346">
        <f t="shared" si="17"/>
        <v>335299.99999999994</v>
      </c>
      <c r="BD23" s="346">
        <f>BC23/'Master P&amp;L'!$AD$7*10000</f>
        <v>1.399319851092035</v>
      </c>
    </row>
    <row r="24" spans="1:56">
      <c r="H24" s="336"/>
      <c r="I24" s="218"/>
      <c r="J24" s="218"/>
      <c r="K24" s="218"/>
      <c r="L24" s="218"/>
      <c r="AZ24">
        <v>-59.569999999999993</v>
      </c>
    </row>
    <row r="25" spans="1:56">
      <c r="I25" s="64">
        <f>I22-I23</f>
        <v>14.660000000000004</v>
      </c>
      <c r="J25" s="64"/>
      <c r="K25" s="64"/>
      <c r="L25" s="64">
        <f>L22-L23</f>
        <v>14.5</v>
      </c>
      <c r="AY25">
        <v>13.95</v>
      </c>
      <c r="AZ25">
        <v>18.100000000000001</v>
      </c>
    </row>
    <row r="26" spans="1:56">
      <c r="I26" s="64"/>
      <c r="J26" s="64"/>
      <c r="K26" s="64"/>
      <c r="L26" s="64">
        <f>(AA23-AA22)</f>
        <v>40</v>
      </c>
      <c r="AY26">
        <v>40</v>
      </c>
      <c r="AZ26">
        <v>-62.749999999999993</v>
      </c>
    </row>
    <row r="27" spans="1:56">
      <c r="I27" s="64">
        <f>(L26-I25)/I25</f>
        <v>1.7285129604365614</v>
      </c>
      <c r="J27" s="218"/>
      <c r="K27" s="218"/>
      <c r="L27" s="64">
        <f>(L26-L25)/L25</f>
        <v>1.7586206896551724</v>
      </c>
      <c r="AY27">
        <v>1.8673835125448031</v>
      </c>
      <c r="AZ27">
        <v>-0.52999999999999936</v>
      </c>
    </row>
    <row r="28" spans="1:56">
      <c r="I28" s="218"/>
      <c r="J28" s="218"/>
      <c r="K28" s="218"/>
      <c r="L28" s="218"/>
      <c r="AZ28" t="e">
        <v>#REF!</v>
      </c>
    </row>
    <row r="30" spans="1:56">
      <c r="H30" s="404">
        <v>300</v>
      </c>
      <c r="I30" s="411">
        <v>31.71</v>
      </c>
      <c r="J30" s="407">
        <f>H30*I30</f>
        <v>9513</v>
      </c>
    </row>
    <row r="31" spans="1:56">
      <c r="H31" s="404">
        <v>-300</v>
      </c>
      <c r="I31" s="411">
        <v>17.43</v>
      </c>
      <c r="J31" s="407">
        <f t="shared" ref="J31:J37" si="19">H31*I31</f>
        <v>-5229</v>
      </c>
    </row>
    <row r="32" spans="1:56">
      <c r="H32" s="42"/>
      <c r="I32" s="409"/>
      <c r="J32" s="407">
        <f t="shared" si="19"/>
        <v>0</v>
      </c>
    </row>
    <row r="33" spans="8:10">
      <c r="H33" s="404"/>
      <c r="I33" s="405"/>
      <c r="J33" s="407">
        <f t="shared" si="19"/>
        <v>0</v>
      </c>
    </row>
    <row r="34" spans="8:10">
      <c r="H34" s="42">
        <v>1250</v>
      </c>
      <c r="I34" s="409">
        <v>34.799999999999997</v>
      </c>
      <c r="J34" s="407">
        <f t="shared" si="19"/>
        <v>43500</v>
      </c>
    </row>
    <row r="35" spans="8:10">
      <c r="H35" s="15">
        <v>-1200</v>
      </c>
      <c r="I35" s="410">
        <v>20.07</v>
      </c>
      <c r="J35" s="407">
        <f t="shared" si="19"/>
        <v>-24084</v>
      </c>
    </row>
    <row r="36" spans="8:10">
      <c r="H36" s="404"/>
      <c r="I36" s="411"/>
      <c r="J36" s="407">
        <f t="shared" si="19"/>
        <v>0</v>
      </c>
    </row>
    <row r="37" spans="8:10">
      <c r="H37" s="348"/>
      <c r="I37" s="406"/>
      <c r="J37" s="407">
        <f t="shared" si="19"/>
        <v>0</v>
      </c>
    </row>
    <row r="39" spans="8:10">
      <c r="H39" s="348">
        <f>H30+H34</f>
        <v>1550</v>
      </c>
      <c r="I39" s="406">
        <f>J39/H39</f>
        <v>34.201935483870969</v>
      </c>
      <c r="J39" s="408">
        <f>J30+J34</f>
        <v>53013</v>
      </c>
    </row>
    <row r="40" spans="8:10">
      <c r="H40" s="348">
        <f>H31+H35</f>
        <v>-1500</v>
      </c>
      <c r="I40" s="406">
        <f>J40/H40</f>
        <v>19.542000000000002</v>
      </c>
      <c r="J40" s="408">
        <f>J31+J35</f>
        <v>-29313</v>
      </c>
    </row>
    <row r="41" spans="8:10">
      <c r="H41" s="348">
        <f>H32+H36</f>
        <v>0</v>
      </c>
      <c r="I41" s="406" t="e">
        <f>J41/H41</f>
        <v>#DIV/0!</v>
      </c>
      <c r="J41" s="408">
        <f>J32+J36</f>
        <v>0</v>
      </c>
    </row>
    <row r="42" spans="8:10">
      <c r="H42" s="348">
        <f>H33+H37</f>
        <v>0</v>
      </c>
      <c r="I42" s="406" t="e">
        <f>J42/H42</f>
        <v>#DIV/0!</v>
      </c>
      <c r="J42" s="408">
        <f>J33+J37</f>
        <v>0</v>
      </c>
    </row>
  </sheetData>
  <autoFilter ref="A3:BD26" xr:uid="{0428720F-9028-4D6D-9843-ED7DFFC9E1CA}">
    <sortState xmlns:xlrd2="http://schemas.microsoft.com/office/spreadsheetml/2017/richdata2" ref="A4:BD26">
      <sortCondition ref="D3:D26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0"/>
  <sheetViews>
    <sheetView zoomScale="90" zoomScaleNormal="90" workbookViewId="0">
      <pane xSplit="2" ySplit="3" topLeftCell="G183" activePane="bottomRight" state="frozen"/>
      <selection pane="topRight" activeCell="C1" sqref="C1"/>
      <selection pane="bottomLeft" activeCell="A4" sqref="A4"/>
      <selection pane="bottomRight" activeCell="AA197" sqref="AA197"/>
    </sheetView>
  </sheetViews>
  <sheetFormatPr defaultRowHeight="15" outlineLevelCol="1"/>
  <cols>
    <col min="1" max="1" width="9.85546875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-22.4</v>
      </c>
      <c r="P5" s="267"/>
      <c r="Q5">
        <f>Q9/Q15-1</f>
        <v>-0.86538461538461542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2075</v>
      </c>
      <c r="C7" s="59" t="str" cm="1">
        <f t="array" ref="C7">_xll.BDP(B7&amp;" Equity","OPT_UNDL_TICKER")</f>
        <v>LITE US</v>
      </c>
      <c r="D7" s="59" t="str">
        <f>_xll.BDP($B7&amp;" Index","mifid_Maturity_date")</f>
        <v>20/02/2026</v>
      </c>
      <c r="E7" s="59">
        <f>_xll.BDP($B7&amp;" Index","opt_days_expire")</f>
        <v>28</v>
      </c>
      <c r="F7" s="59" t="str" cm="1">
        <f t="array" ref="F7">_xll.BDP(B7&amp;" Equity","QUOTED_CURRENCY_REALTIME")</f>
        <v>USD</v>
      </c>
      <c r="G7" s="105" t="s">
        <v>248</v>
      </c>
      <c r="H7" s="96">
        <v>60</v>
      </c>
      <c r="I7" s="97">
        <f>IF(G7="Buy",L7,K7)</f>
        <v>25.1</v>
      </c>
      <c r="J7" s="19">
        <f>I7/S7</f>
        <v>7.2600005784861019E-2</v>
      </c>
      <c r="K7" s="36" cm="1">
        <f t="array" ref="K7">_xll.BDP($B7&amp;" Equity","bid")</f>
        <v>25.1</v>
      </c>
      <c r="L7" s="36" cm="1">
        <f t="array" ref="L7">_xll.BDP($B7&amp;" Equity","ask")</f>
        <v>27.6</v>
      </c>
      <c r="M7" s="40">
        <f>(L7/K7-1)</f>
        <v>9.960159362549792E-2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-150600</v>
      </c>
      <c r="Q7" s="58">
        <f>P7/'Master P&amp;L'!$AD$5*10000</f>
        <v>-0.67051490934245739</v>
      </c>
      <c r="R7" s="37" cm="1">
        <f t="array" ref="R7">_xll.BDP($C7&amp;" Equity","EST_PE_NXT_YR")*(T7/S7)</f>
        <v>42.474316657630595</v>
      </c>
      <c r="S7" s="36" cm="1">
        <f t="array" ref="S7">_xll.BDP(C7&amp;" Equity","LAST_PRICE")</f>
        <v>345.73</v>
      </c>
      <c r="T7" s="53" cm="1">
        <f t="array" ref="T7">_xll.BDP(B7&amp;" Equity","OPT_STRIKE_PX")</f>
        <v>400</v>
      </c>
      <c r="U7" s="40">
        <f>T7/S7-1</f>
        <v>0.15697220374280496</v>
      </c>
      <c r="V7" s="37" cm="1">
        <f t="array" ref="V7">_xll.BDP($B7&amp;" Equity","ivol_mid")</f>
        <v>118.57040000000001</v>
      </c>
      <c r="W7" s="38" cm="1">
        <f t="array" ref="W7">_xll.BDP(B7&amp;" Equity","DELTA_MID_RT")</f>
        <v>0.39560624957084656</v>
      </c>
      <c r="X7" s="48">
        <f>Y7/'Master P&amp;L'!$AE$5</f>
        <v>-3.6537171822322267E-4</v>
      </c>
      <c r="Y7" s="15">
        <f>IF(G7="Sell", S7*W7*-H7*O7/N7, S7*W7*H7*O7/N7)</f>
        <v>-820637.6919847728</v>
      </c>
      <c r="Z7" s="15">
        <f>_xll.BDP($B7&amp;" Equity","opt_theta")*H7*O7/N7</f>
        <v>-4422.5939999999991</v>
      </c>
      <c r="AA7" s="19">
        <f>_xll.BDP($B7&amp;" Equity","opt_theta")/I7</f>
        <v>-2.9366494023904378E-2</v>
      </c>
      <c r="AB7" s="36" t="str" cm="1">
        <f t="array" ref="AB7">_xll.BDP($C7&amp;" Equity","EXPECTED_REPORT_DT")</f>
        <v>03/02/2026</v>
      </c>
      <c r="AC7" s="15">
        <f>S7*H7*O7/N7</f>
        <v>2074380.0000000002</v>
      </c>
      <c r="AD7" s="19">
        <f>AC7/'Master P&amp;L'!$AE$5</f>
        <v>9.2357418170106698E-4</v>
      </c>
      <c r="AE7" t="str">
        <f>B7  &amp; " - Buy to open " &amp;  "-" &amp; H7 &amp;"x"</f>
        <v>LITE US 02/20/26 C400 - Buy to open -60x</v>
      </c>
      <c r="AF7">
        <f>H7*$AF$3</f>
        <v>15</v>
      </c>
      <c r="AK7" t="s">
        <v>1839</v>
      </c>
      <c r="AO7" t="s">
        <v>151</v>
      </c>
    </row>
    <row r="8" spans="1:41">
      <c r="A8" s="98" t="s">
        <v>246</v>
      </c>
      <c r="B8" t="s">
        <v>2316</v>
      </c>
      <c r="C8" s="59" t="str" cm="1">
        <f t="array" ref="C8">_xll.BDP(B8&amp;" Equity","OPT_UNDL_TICKER")</f>
        <v>LITE US</v>
      </c>
      <c r="D8" s="59" t="str" cm="1">
        <f t="array" ref="D8">_xll.BDP($B8&amp;" Index","mifid_Maturity_date")</f>
        <v>20/03/2026</v>
      </c>
      <c r="E8" s="59" cm="1">
        <f t="array" ref="E8">_xll.BDP($B8&amp;" Index","opt_days_expire")</f>
        <v>56</v>
      </c>
      <c r="F8" s="59" t="str" cm="1">
        <f t="array" ref="F8">_xll.BDP(B8&amp;" Equity","QUOTED_CURRENCY_REALTIME")</f>
        <v>USD</v>
      </c>
      <c r="G8" s="105" t="s">
        <v>247</v>
      </c>
      <c r="H8" s="96">
        <f>H7</f>
        <v>60</v>
      </c>
      <c r="I8" s="97">
        <f>IF(G8="Buy",L8,K8)</f>
        <v>35.6</v>
      </c>
      <c r="J8" s="19">
        <f>I8/S8</f>
        <v>0.10297052613310965</v>
      </c>
      <c r="K8" s="36" cm="1">
        <f t="array" ref="K8">_xll.BDP($B8&amp;" Equity","bid")</f>
        <v>32.9</v>
      </c>
      <c r="L8" s="36" cm="1">
        <f t="array" ref="L8">_xll.BDP($B8&amp;" Equity","ask")</f>
        <v>35.6</v>
      </c>
      <c r="M8" s="40">
        <f>(L8/K8-1)</f>
        <v>8.2066869300911893E-2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213600</v>
      </c>
      <c r="Q8" s="58">
        <f>P8/'Master P&amp;L'!$AD$5*10000</f>
        <v>0.95100919412715068</v>
      </c>
      <c r="R8" s="37" cm="1">
        <f t="array" ref="R8">_xll.BDP($C8&amp;" Equity","EST_PE_NXT_YR")*(T8/S8)</f>
        <v>44.598032490512125</v>
      </c>
      <c r="S8" s="36" cm="1">
        <f t="array" ref="S8">_xll.BDP(C8&amp;" Equity","LAST_PRICE")</f>
        <v>345.73</v>
      </c>
      <c r="T8" s="53" cm="1">
        <f t="array" ref="T8">_xll.BDP(B8&amp;" Equity","OPT_STRIKE_PX")</f>
        <v>420</v>
      </c>
      <c r="U8" s="40">
        <f>T8/S8-1</f>
        <v>0.21482081392994523</v>
      </c>
      <c r="V8" s="37" cm="1">
        <f t="array" ref="V8">_xll.BDP($B8&amp;" Equity","ivol_mid")</f>
        <v>107.7801</v>
      </c>
      <c r="W8" s="38" cm="1">
        <f t="array" ref="W8">_xll.BDP(B8&amp;" Equity","DELTA_MID_RT")</f>
        <v>0.41044604778289795</v>
      </c>
      <c r="X8" s="48">
        <f>Y8/'Master P&amp;L'!$AE$5</f>
        <v>3.7907737271352694E-4</v>
      </c>
      <c r="Y8" s="15">
        <f>IF(G8="Sell", S8*W8*-H8*O8/N8, S8*W8*H8*O8/N8)</f>
        <v>851421.07259988785</v>
      </c>
      <c r="Z8" s="15" cm="1">
        <f t="array" ref="Z8">_xll.BDP($B8&amp;" Equity","opt_theta")*H8*O8/N8</f>
        <v>-2915.61</v>
      </c>
      <c r="AA8" s="19" cm="1">
        <f t="array" ref="AA8">_xll.BDP($B8&amp;" Equity","opt_theta")/I8</f>
        <v>-1.3649859550561798E-2</v>
      </c>
      <c r="AB8" s="36" t="str" cm="1">
        <f t="array" ref="AB8">_xll.BDP($C8&amp;" Equity","EXPECTED_REPORT_DT")</f>
        <v>03/02/2026</v>
      </c>
      <c r="AC8" s="15">
        <f>S8*H8*O8/N8</f>
        <v>2074380.0000000002</v>
      </c>
      <c r="AD8" s="19">
        <f>AC8/'Master P&amp;L'!$AE$5</f>
        <v>9.2357418170106698E-4</v>
      </c>
      <c r="AE8" t="str">
        <f>B8  &amp; " - Buy to open " &amp;  "-" &amp; H8 &amp;"x"</f>
        <v>LITE US 03/20/26 C420 - Buy to open -60x</v>
      </c>
      <c r="AF8">
        <f>H8*$AF$3</f>
        <v>15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-10.5</v>
      </c>
      <c r="J9" s="100" t="s">
        <v>249</v>
      </c>
      <c r="K9" s="101">
        <f>K8/L7</f>
        <v>1.1920289855072463</v>
      </c>
      <c r="P9" s="100" t="s">
        <v>250</v>
      </c>
      <c r="Q9" s="108">
        <f>Q7+Q8</f>
        <v>0.28049428478469329</v>
      </c>
      <c r="S9" s="100" t="s">
        <v>251</v>
      </c>
      <c r="T9" s="102">
        <f>T8-T7</f>
        <v>20</v>
      </c>
      <c r="W9" s="100" t="s">
        <v>252</v>
      </c>
      <c r="X9" s="122">
        <f>X7+X8</f>
        <v>1.370565449030427E-5</v>
      </c>
      <c r="Y9" s="13">
        <f>Y7+Y8</f>
        <v>30783.380615115049</v>
      </c>
      <c r="AC9" s="100" t="s">
        <v>229</v>
      </c>
      <c r="AD9" s="122">
        <f>AD7</f>
        <v>9.2357418170106698E-4</v>
      </c>
      <c r="AO9" t="s">
        <v>151</v>
      </c>
    </row>
    <row r="10" spans="1:41">
      <c r="H10" s="100" t="s">
        <v>253</v>
      </c>
      <c r="I10" s="102">
        <f>(T9-I9)/I9</f>
        <v>-2.9047619047619047</v>
      </c>
      <c r="J10" s="100" t="s">
        <v>145</v>
      </c>
      <c r="K10" s="223">
        <f>AVERAGE(K7:L7)-AVERAGE(K8:L8)</f>
        <v>-7.8999999999999986</v>
      </c>
      <c r="L10" s="18"/>
      <c r="P10" s="130">
        <f>P7+P8</f>
        <v>63000</v>
      </c>
      <c r="Q10" s="108"/>
      <c r="S10" s="100"/>
      <c r="T10" s="102"/>
      <c r="W10" s="100"/>
      <c r="X10" s="122"/>
      <c r="Y10" s="13">
        <f>Y9/S7</f>
        <v>89.038789272308009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-3.0370520348248636E-2</v>
      </c>
      <c r="K11" s="167">
        <f>K7-K8</f>
        <v>-7.7999999999999972</v>
      </c>
      <c r="L11" s="167">
        <f>L7-L8</f>
        <v>-8</v>
      </c>
      <c r="P11" s="40">
        <f>P10/Y9</f>
        <v>2.0465588490000401</v>
      </c>
      <c r="Q11" s="64">
        <f>Q9*I10</f>
        <v>-0.81476911294601384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4.757349428439274E-4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2235</v>
      </c>
      <c r="C13" s="59" t="str" cm="1">
        <f t="array" ref="C13">_xll.BDP(B13&amp;" Equity","OPT_UNDL_TICKER")</f>
        <v>TSM US</v>
      </c>
      <c r="D13" s="59" t="str" cm="1">
        <f t="array" ref="D13">_xll.BDP($B13&amp;" Index","mifid_Maturity_date")</f>
        <v>18/06/2026</v>
      </c>
      <c r="E13" s="59" cm="1">
        <f t="array" ref="E13">_xll.BDP($B13&amp;" Index","opt_days_expire")</f>
        <v>146</v>
      </c>
      <c r="F13" s="59" t="str" cm="1">
        <f t="array" ref="F13">_xll.BDP(B13&amp;" Equity","QUOTED_CURRENCY_REALTIME")</f>
        <v>USD</v>
      </c>
      <c r="G13" s="105" t="s">
        <v>247</v>
      </c>
      <c r="H13" s="96">
        <v>300</v>
      </c>
      <c r="I13" s="97">
        <f>IF(G13="Buy",L13,K13)</f>
        <v>33.200000000000003</v>
      </c>
      <c r="J13" s="19">
        <f>I13/S13</f>
        <v>9.8833055489402244E-2</v>
      </c>
      <c r="K13" s="36" cm="1">
        <f t="array" ref="K13">_xll.BDP($B13&amp;" Equity","bid")</f>
        <v>32</v>
      </c>
      <c r="L13" s="36" cm="1">
        <f t="array" ref="L13">_xll.BDP($B13&amp;" Equity","ask")</f>
        <v>33.200000000000003</v>
      </c>
      <c r="M13" s="40">
        <f>(L13/K13-1)</f>
        <v>3.7500000000000089E-2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996000</v>
      </c>
      <c r="Q13" s="58">
        <f>P13/'Master P&amp;L'!$AD$5*10000</f>
        <v>4.4344810737389615</v>
      </c>
      <c r="R13" s="37" cm="1">
        <f t="array" ref="R13">_xll.BDP($C13&amp;" Equity","EST_PE_NXT_YR")*(T13/S13)</f>
        <v>20.331598766268275</v>
      </c>
      <c r="S13" s="36" cm="1">
        <f t="array" ref="S13">_xll.BDP(C13&amp;" Equity","LAST_PRICE")</f>
        <v>335.92</v>
      </c>
      <c r="T13" s="53" cm="1">
        <f t="array" ref="T13">_xll.BDP(B13&amp;" Equity","OPT_STRIKE_PX")</f>
        <v>340</v>
      </c>
      <c r="U13" s="40">
        <f>T13/S13-1</f>
        <v>1.2145748987854255E-2</v>
      </c>
      <c r="V13" s="37" cm="1">
        <f t="array" ref="V13">_xll.BDP($B13&amp;" Equity","ivol_mid")</f>
        <v>38.90258</v>
      </c>
      <c r="W13" s="38" cm="1">
        <f t="array" ref="W13">_xll.BDP(B13&amp;" Equity","DELTA_MID_RT")</f>
        <v>0.54971098899841309</v>
      </c>
      <c r="X13" s="48">
        <f>Y13/'Master P&amp;L'!$AE$5</f>
        <v>2.4664652576699697E-3</v>
      </c>
      <c r="Y13" s="15">
        <f>IF(G13="Sell", S13*W13*-H13*O13/N13, S13*W13*H13*O13/N13)</f>
        <v>5539767.4627304077</v>
      </c>
      <c r="Z13" s="15" cm="1">
        <f t="array" ref="Z13">_xll.BDP($B13&amp;" Equity","opt_theta")*H13*O13/N13</f>
        <v>-3178.17</v>
      </c>
      <c r="AA13" s="19" cm="1">
        <f t="array" ref="AA13">_xll.BDP($B13&amp;" Equity","opt_theta")/I13</f>
        <v>-3.1909337349397588E-3</v>
      </c>
      <c r="AB13" s="36" t="str" cm="1">
        <f t="array" ref="AB13">_xll.BDP($C13&amp;" Equity","EXPECTED_REPORT_DT")</f>
        <v>17/04/2026</v>
      </c>
      <c r="AC13" s="15">
        <f>S13*H13*O13/N13</f>
        <v>10077600</v>
      </c>
      <c r="AD13" s="19">
        <f>AC13/'Master P&amp;L'!$AE$5</f>
        <v>4.4868400068987704E-3</v>
      </c>
      <c r="AE13" t="str">
        <f>B13  &amp; " - Buy to open " &amp;  "-" &amp; H13 &amp;"x"</f>
        <v>TSM US 06/18/26 C340 - Buy to open -300x</v>
      </c>
      <c r="AF13">
        <f>H13*$AF$3</f>
        <v>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s="73" t="s">
        <v>2236</v>
      </c>
      <c r="C14" s="59" t="str" cm="1">
        <f t="array" ref="C14">_xll.BDP(B14&amp;" Equity","OPT_UNDL_TICKER")</f>
        <v>TSM US</v>
      </c>
      <c r="D14" s="59" t="str" cm="1">
        <f t="array" ref="D14">_xll.BDP($B14&amp;" Index","mifid_Maturity_date")</f>
        <v>18/06/2026</v>
      </c>
      <c r="E14" s="59" cm="1">
        <f t="array" ref="E14">_xll.BDP($B14&amp;" Index","opt_days_expire")</f>
        <v>146</v>
      </c>
      <c r="F14" s="59" t="str" cm="1">
        <f t="array" ref="F14">_xll.BDP(B14&amp;" Equity","QUOTED_CURRENCY_REALTIME")</f>
        <v>USD</v>
      </c>
      <c r="G14" s="105" t="s">
        <v>248</v>
      </c>
      <c r="H14" s="96">
        <f>H13</f>
        <v>300</v>
      </c>
      <c r="I14" s="97">
        <f>IF(G14="Buy",L14,K14)</f>
        <v>17.600000000000001</v>
      </c>
      <c r="J14" s="19">
        <f>I14/S14</f>
        <v>5.2393427006430106E-2</v>
      </c>
      <c r="K14" s="36" cm="1">
        <f t="array" ref="K14">_xll.BDP($B14&amp;" Equity","bid")</f>
        <v>17.600000000000001</v>
      </c>
      <c r="L14" s="36" cm="1">
        <f t="array" ref="L14">_xll.BDP($B14&amp;" Equity","ask")</f>
        <v>18.600000000000001</v>
      </c>
      <c r="M14" s="40">
        <f>(L14/K14-1)</f>
        <v>5.6818181818181879E-2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-528000</v>
      </c>
      <c r="Q14" s="58">
        <f>P14/'Master P&amp;L'!$AD$5*10000</f>
        <v>-2.3508092439098105</v>
      </c>
      <c r="R14" s="37" cm="1">
        <f t="array" ref="R14">_xll.BDP($C14&amp;" Equity","EST_PE_NXT_YR")*(T14/S14)</f>
        <v>22.723551562299836</v>
      </c>
      <c r="S14" s="36" cm="1">
        <f t="array" ref="S14">_xll.BDP(C14&amp;" Equity","LAST_PRICE")</f>
        <v>335.92</v>
      </c>
      <c r="T14" s="53" cm="1">
        <f t="array" ref="T14">_xll.BDP(B14&amp;" Equity","OPT_STRIKE_PX")</f>
        <v>380</v>
      </c>
      <c r="U14" s="40">
        <f>T14/S14-1</f>
        <v>0.13122171945701355</v>
      </c>
      <c r="V14" s="37" cm="1">
        <f t="array" ref="V14">_xll.BDP($B14&amp;" Equity","ivol_mid")</f>
        <v>37.777099999999997</v>
      </c>
      <c r="W14" s="38" cm="1">
        <f t="array" ref="W14">_xll.BDP(B14&amp;" Equity","DELTA_MID_RT")</f>
        <v>0.36766466498374939</v>
      </c>
      <c r="X14" s="48">
        <f>Y14/'Master P&amp;L'!$AE$5</f>
        <v>-1.6496525279721202E-3</v>
      </c>
      <c r="Y14" s="15">
        <f>IF(G14="Sell", S14*W14*-H14*O14/N14, S14*W14*H14*O14/N14)</f>
        <v>-3705177.4278402328</v>
      </c>
      <c r="Z14" s="15" cm="1">
        <f t="array" ref="Z14">_xll.BDP($B14&amp;" Equity","opt_theta")*H14*O14/N14</f>
        <v>-3050.46</v>
      </c>
      <c r="AA14" s="19" cm="1">
        <f t="array" ref="AA14">_xll.BDP($B14&amp;" Equity","opt_theta")/I14</f>
        <v>-5.777386363636363E-3</v>
      </c>
      <c r="AB14" s="36" t="str" cm="1">
        <f t="array" ref="AB14">_xll.BDP($C14&amp;" Equity","EXPECTED_REPORT_DT")</f>
        <v>17/04/2026</v>
      </c>
      <c r="AC14" s="15">
        <f>S14*H14*O14/N14</f>
        <v>10077600</v>
      </c>
      <c r="AD14" s="19">
        <f>AC14/'Master P&amp;L'!$AE$5</f>
        <v>4.4868400068987704E-3</v>
      </c>
      <c r="AE14" t="str">
        <f>B14  &amp; " - Buy to open " &amp;  "-" &amp; H14 &amp;"x"</f>
        <v>TSM US 06/18/26 C380 - Buy to open -300x</v>
      </c>
      <c r="AF14">
        <f>H14*$AF$3</f>
        <v>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15.600000000000001</v>
      </c>
      <c r="J15" s="100" t="s">
        <v>249</v>
      </c>
      <c r="K15" s="101">
        <f>K14/L13</f>
        <v>0.53012048192771088</v>
      </c>
      <c r="P15" s="100" t="s">
        <v>250</v>
      </c>
      <c r="Q15" s="108">
        <f>Q13+Q14</f>
        <v>2.083671829829151</v>
      </c>
      <c r="S15" s="100" t="s">
        <v>251</v>
      </c>
      <c r="T15" s="102">
        <f>T14-T13</f>
        <v>40</v>
      </c>
      <c r="W15" s="100" t="s">
        <v>252</v>
      </c>
      <c r="X15" s="122">
        <f>X13+X14</f>
        <v>8.1681272969784955E-4</v>
      </c>
      <c r="Y15" s="13">
        <f>Y13+Y14</f>
        <v>1834590.0348901749</v>
      </c>
      <c r="AC15" s="100" t="s">
        <v>229</v>
      </c>
      <c r="AD15" s="104">
        <f>AD13</f>
        <v>4.4868400068987704E-3</v>
      </c>
    </row>
    <row r="16" spans="1:41">
      <c r="H16" s="100" t="s">
        <v>253</v>
      </c>
      <c r="I16" s="102">
        <f>(T15-I15)/I15</f>
        <v>1.5641025641025639</v>
      </c>
      <c r="J16" s="100" t="s">
        <v>145</v>
      </c>
      <c r="K16" s="223">
        <f>AVERAGE(K13:L13)-AVERAGE(K14:L14)</f>
        <v>14.5</v>
      </c>
      <c r="P16" s="130">
        <f>P13+P14</f>
        <v>468000</v>
      </c>
      <c r="Q16" s="108"/>
      <c r="S16" s="100"/>
      <c r="T16" s="102"/>
      <c r="W16" s="108">
        <f>1/(W13-W14)</f>
        <v>5.4931073473334777</v>
      </c>
      <c r="X16" s="122"/>
      <c r="Y16" s="13">
        <f>Y15/S13</f>
        <v>5461.3897204399109</v>
      </c>
      <c r="AC16" s="100"/>
      <c r="AD16" s="104"/>
    </row>
    <row r="17" spans="1:38">
      <c r="I17" s="21"/>
      <c r="J17" s="43">
        <f>J13-J14</f>
        <v>4.6439628482972138E-2</v>
      </c>
      <c r="K17" s="167">
        <f>K13-K14</f>
        <v>14.399999999999999</v>
      </c>
      <c r="L17" s="167">
        <f>L13-L14</f>
        <v>14.600000000000001</v>
      </c>
      <c r="P17" s="40">
        <f>P16/Y15</f>
        <v>0.25509786442725124</v>
      </c>
      <c r="Q17" s="64">
        <f>Q15*I16</f>
        <v>3.2590764517840562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-22.4</v>
      </c>
      <c r="AK18">
        <v>13</v>
      </c>
      <c r="AL18" s="1">
        <v>16</v>
      </c>
    </row>
    <row r="19" spans="1:38">
      <c r="A19" s="98" t="s">
        <v>246</v>
      </c>
      <c r="B19" s="73" t="s">
        <v>2237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175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37.299999999999997</v>
      </c>
      <c r="J19" s="19">
        <f>I19/S19</f>
        <v>0.11103834246249106</v>
      </c>
      <c r="K19" s="36">
        <f>_xll.BDP($B19&amp;" Equity","bid")</f>
        <v>35.6</v>
      </c>
      <c r="L19" s="36">
        <f>_xll.BDP($B19&amp;" Equity","ask")</f>
        <v>37.299999999999997</v>
      </c>
      <c r="M19" s="40">
        <f>(L19/K19-1)</f>
        <v>4.7752808988763995E-2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1865000</v>
      </c>
      <c r="Q19" s="58">
        <f>P19/'Master P&amp;L'!$AD$5*10000</f>
        <v>8.303521287673858</v>
      </c>
      <c r="R19" s="37" cm="1">
        <f t="array" ref="R19">_xll.BDP($C19&amp;" Equity","EST_PE_NXT_YR")*(T19/S19)</f>
        <v>20.331598766268275</v>
      </c>
      <c r="S19" s="36" cm="1">
        <f t="array" ref="S19">_xll.BDP(C19&amp;" Equity","LAST_PRICE")</f>
        <v>335.92</v>
      </c>
      <c r="T19" s="53">
        <f>_xll.BDP(B19&amp;" Equity","OPT_STRIKE_PX")</f>
        <v>340</v>
      </c>
      <c r="U19" s="40">
        <f>T19/S19-1</f>
        <v>1.2145748987854255E-2</v>
      </c>
      <c r="V19" s="37">
        <f>_xll.BDP($B19&amp;" Equity","ivol_mid")</f>
        <v>39.303100000000001</v>
      </c>
      <c r="W19" s="38">
        <f>_xll.BDP(B19&amp;" Equity","DELTA_MID_RT")</f>
        <v>0.55828756093978882</v>
      </c>
      <c r="X19" s="48">
        <f>Y19/'Master P&amp;L'!$AE$5</f>
        <v>4.1749116062976335E-3</v>
      </c>
      <c r="Y19" s="15">
        <f>IF(G19="Sell", S19*W19*-H19*O19/N19, S19*W19*H19*O19/N19)</f>
        <v>9376997.8735446949</v>
      </c>
      <c r="Z19" s="15" cm="1">
        <f t="array" ref="Z19">_xll.BDP($B19&amp;" Equity","opt_theta")*H19*O19/N19</f>
        <v>-4957.3500000000004</v>
      </c>
      <c r="AA19" s="19" cm="1">
        <f t="array" ref="AA19">_xll.BDP($B19&amp;" Equity","opt_theta")/I19</f>
        <v>-2.6580965147453084E-3</v>
      </c>
      <c r="AB19" s="36" t="str" cm="1">
        <f t="array" ref="AB19">_xll.BDP($C19&amp;" Equity","EXPECTED_REPORT_DT")</f>
        <v>17/04/2026</v>
      </c>
      <c r="AC19" s="15">
        <f>S19*H19*O19/N19</f>
        <v>16796000</v>
      </c>
      <c r="AD19" s="19">
        <f>AC19/'Master P&amp;L'!$AE$5</f>
        <v>7.4780666781646176E-3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2238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175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20.8</v>
      </c>
      <c r="J20" s="19">
        <f>I20/S20</f>
        <v>6.1919504643962849E-2</v>
      </c>
      <c r="K20" s="36" cm="1">
        <f t="array" ref="K20">_xll.BDP($B20&amp;" Equity","bid")</f>
        <v>20.8</v>
      </c>
      <c r="L20" s="36" cm="1">
        <f t="array" ref="L20">_xll.BDP($B20&amp;" Equity","ask")</f>
        <v>22.7</v>
      </c>
      <c r="M20" s="40">
        <f>(L20/K20-1)</f>
        <v>9.1346153846153744E-2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-1040000</v>
      </c>
      <c r="Q20" s="58">
        <f>P20/'Master P&amp;L'!$AD$5*10000</f>
        <v>-4.6303818440647788</v>
      </c>
      <c r="R20" s="37" cm="1">
        <f t="array" ref="R20">_xll.BDP($C20&amp;" Equity","EST_PE_NXT_YR")*(T20/S20)</f>
        <v>22.723551562299836</v>
      </c>
      <c r="S20" s="36" cm="1">
        <f t="array" ref="S20">_xll.BDP(C20&amp;" Equity","LAST_PRICE")</f>
        <v>335.92</v>
      </c>
      <c r="T20" s="53" cm="1">
        <f t="array" ref="T20">_xll.BDP(B20&amp;" Equity","OPT_STRIKE_PX")</f>
        <v>380</v>
      </c>
      <c r="U20" s="40">
        <f>T20/S20-1</f>
        <v>0.13122171945701355</v>
      </c>
      <c r="V20" s="37" cm="1">
        <f t="array" ref="V20">_xll.BDP($B20&amp;" Equity","ivol_mid")</f>
        <v>39.055010000000003</v>
      </c>
      <c r="W20" s="38" cm="1">
        <f t="array" ref="W20">_xll.BDP(B20&amp;" Equity","DELTA_MID_RT")</f>
        <v>0.3948303759098053</v>
      </c>
      <c r="X20" s="48">
        <f>Y20/'Master P&amp;L'!$AE$5</f>
        <v>-2.9525678776183258E-3</v>
      </c>
      <c r="Y20" s="15">
        <f>IF(G20="Sell", S20*W20*-H20*O20/N20, S20*W20*H20*O20/N20)</f>
        <v>-6631570.9937810916</v>
      </c>
      <c r="Z20" s="15" cm="1">
        <f t="array" ref="Z20">_xll.BDP($B20&amp;" Equity","opt_theta")*H20*O20/N20</f>
        <v>-4868.7</v>
      </c>
      <c r="AA20" s="19" cm="1">
        <f t="array" ref="AA20">_xll.BDP($B20&amp;" Equity","opt_theta")/I20</f>
        <v>-4.6814423076923075E-3</v>
      </c>
      <c r="AB20" s="36" t="str" cm="1">
        <f t="array" ref="AB20">_xll.BDP($C20&amp;" Equity","EXPECTED_REPORT_DT")</f>
        <v>17/04/2026</v>
      </c>
      <c r="AC20" s="15">
        <f>S20*H20*O20/N20</f>
        <v>16796000</v>
      </c>
      <c r="AD20" s="19">
        <f>AC20/'Master P&amp;L'!$AE$5</f>
        <v>7.4780666781646176E-3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16.499999999999996</v>
      </c>
      <c r="J21" s="100" t="s">
        <v>249</v>
      </c>
      <c r="K21" s="101">
        <f>K20/L19</f>
        <v>0.55764075067024133</v>
      </c>
      <c r="P21" s="100" t="s">
        <v>250</v>
      </c>
      <c r="Q21" s="108">
        <f>Q19+Q20</f>
        <v>3.6731394436090792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1.2223437286793077E-3</v>
      </c>
      <c r="Y21" s="13">
        <f>Y19+Y20</f>
        <v>2745426.8797636032</v>
      </c>
      <c r="AC21" s="100" t="s">
        <v>229</v>
      </c>
      <c r="AD21" s="104">
        <f>AD19</f>
        <v>7.4780666781646176E-3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1.4242424242424248</v>
      </c>
      <c r="J22" s="100" t="s">
        <v>145</v>
      </c>
      <c r="K22" s="223">
        <f>AVERAGE(K19:L19)-AVERAGE(K20:L20)</f>
        <v>14.700000000000003</v>
      </c>
      <c r="P22" s="130">
        <f>P19+P20</f>
        <v>825000</v>
      </c>
      <c r="Q22" s="108"/>
      <c r="S22" s="100"/>
      <c r="T22" s="102"/>
      <c r="W22" s="100"/>
      <c r="X22" s="122"/>
      <c r="Y22" s="3">
        <f>Y21/S19</f>
        <v>8172.859251499176</v>
      </c>
      <c r="AC22" s="100"/>
      <c r="AD22" s="104"/>
    </row>
    <row r="23" spans="1:38">
      <c r="I23" s="64">
        <f>I20*2</f>
        <v>41.6</v>
      </c>
      <c r="K23" s="167">
        <f>K19-K20</f>
        <v>14.8</v>
      </c>
      <c r="L23" s="167">
        <f>L19-L20</f>
        <v>14.599999999999998</v>
      </c>
      <c r="P23" s="40">
        <f>P22/Y21</f>
        <v>0.30049971684951127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1.6956521739130432</v>
      </c>
      <c r="K25" s="238"/>
      <c r="L25" s="238"/>
      <c r="W25" s="50"/>
    </row>
    <row r="26" spans="1:38">
      <c r="A26" s="436">
        <f>A24-H26</f>
        <v>85</v>
      </c>
      <c r="B26" s="73" t="s">
        <v>2326</v>
      </c>
      <c r="C26" t="str" cm="1">
        <f t="array" ref="C26">_xll.BDP(B26&amp;" Equity","OPT_UNDL_TICKER")</f>
        <v>COPX US</v>
      </c>
      <c r="D26" t="str" cm="1">
        <f t="array" ref="D26">_xll.BDP($B26&amp;" Index","mifid_Maturity_date")</f>
        <v>#N/A Field Not Applicable</v>
      </c>
      <c r="E26" t="str" cm="1">
        <f t="array" ref="E26">_xll.BDP($B26&amp;" Index","opt_days_expire")</f>
        <v>#N/A Field Not Applicable</v>
      </c>
      <c r="F26" t="str" cm="1">
        <f t="array" ref="F26">_xll.BDP(B26&amp;" Equity","QUOTED_CURRENCY_REALTIME")</f>
        <v>USD</v>
      </c>
      <c r="G26" s="105" t="s">
        <v>247</v>
      </c>
      <c r="H26" s="96">
        <v>200</v>
      </c>
      <c r="I26" s="97">
        <f>IF(G26="Buy",L26,K26)</f>
        <v>11.7</v>
      </c>
      <c r="J26" s="19">
        <f>I26/S26</f>
        <v>0.13811942726477494</v>
      </c>
      <c r="K26" s="36" cm="1">
        <f t="array" ref="K26">_xll.BDP($B26&amp;" Equity","bid")</f>
        <v>11.1</v>
      </c>
      <c r="L26" s="36" cm="1">
        <f t="array" ref="L26">_xll.BDP($B26&amp;" Equity","ask")</f>
        <v>11.7</v>
      </c>
      <c r="M26" s="40">
        <f>(L26/K26-1)</f>
        <v>5.4054054054053946E-2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234000</v>
      </c>
      <c r="Q26" s="58">
        <f>P26/'Master P&amp;L'!$AD$5*10000</f>
        <v>1.0418359149145751</v>
      </c>
      <c r="R26" s="37" t="e" cm="1">
        <f t="array" ref="R26">_xll.BDP($C26&amp;" Equity","EST_PE_NXT_YR")*(T26/S26)</f>
        <v>#VALUE!</v>
      </c>
      <c r="S26" s="36" cm="1">
        <f t="array" ref="S26">_xll.BDP(C26&amp;" Equity","LAST_PRICE")</f>
        <v>84.709299999999999</v>
      </c>
      <c r="T26" s="53" cm="1">
        <f t="array" ref="T26">_xll.BDP(B26&amp;" Equity","OPT_STRIKE_PX")</f>
        <v>85</v>
      </c>
      <c r="U26" s="40">
        <f>T26/S26-1</f>
        <v>3.431736538963337E-3</v>
      </c>
      <c r="V26" s="37" cm="1">
        <f t="array" ref="V26">_xll.BDP($B26&amp;" Equity","ivol_mid")</f>
        <v>48.300150000000002</v>
      </c>
      <c r="W26" s="38" cm="1">
        <f t="array" ref="W26">_xll.BDP(B26&amp;" Equity","DELTA_MID_RT")</f>
        <v>0.5806538462638855</v>
      </c>
      <c r="X26" s="48">
        <f>Y26/'Master P&amp;L'!$AE$5</f>
        <v>4.3798764819037413E-4</v>
      </c>
      <c r="Y26" s="15">
        <f>IF(G26="Sell", S26*W26*-H26*O26/N26, S26*W26*H26*O26/N26)</f>
        <v>983735.617186427</v>
      </c>
      <c r="Z26" s="15" cm="1">
        <f t="array" ref="Z26">_xll.BDP($B26&amp;" Equity","opt_theta")*H26*O26/N26</f>
        <v>-612.79999999999995</v>
      </c>
      <c r="AA26" s="19" cm="1">
        <f t="array" ref="AA26">_xll.BDP($B26&amp;" Equity","opt_theta")/I26</f>
        <v>-2.6188034188034189E-3</v>
      </c>
      <c r="AB26" s="36" t="str" cm="1">
        <f t="array" ref="AB26">_xll.BDP($C26&amp;" Equity","EXPECTED_REPORT_DT")</f>
        <v>#N/A N/A</v>
      </c>
      <c r="AC26" s="15">
        <f>S26*H26*O26/N26</f>
        <v>1694186</v>
      </c>
      <c r="AD26" s="19">
        <f>AC26/'Master P&amp;L'!$AE$5</f>
        <v>7.5430077835276252E-4</v>
      </c>
      <c r="AE26" t="str">
        <f>B26  &amp; " - Buy to open " &amp;  "-" &amp; H26 &amp;"x"</f>
        <v>COPX US 07/17/26 C85 - Buy to open -200x</v>
      </c>
    </row>
    <row r="27" spans="1:38">
      <c r="A27" s="436">
        <f>A25-H27</f>
        <v>85</v>
      </c>
      <c r="B27" s="73" t="s">
        <v>2327</v>
      </c>
      <c r="C27" t="str" cm="1">
        <f t="array" ref="C27">_xll.BDP(B27&amp;" Equity","OPT_UNDL_TICKER")</f>
        <v>COPX US</v>
      </c>
      <c r="D27" t="str" cm="1">
        <f t="array" ref="D27">_xll.BDP($B27&amp;" Index","mifid_Maturity_date")</f>
        <v>#N/A Field Not Applicable</v>
      </c>
      <c r="E27" t="str" cm="1">
        <f t="array" ref="E27">_xll.BDP($B27&amp;" Index","opt_days_expire")</f>
        <v>#N/A Field Not Applicable</v>
      </c>
      <c r="F27" t="str" cm="1">
        <f t="array" ref="F27">_xll.BDP(B27&amp;" Equity","QUOTED_CURRENCY_REALTIME")</f>
        <v>USD</v>
      </c>
      <c r="G27" s="105" t="s">
        <v>248</v>
      </c>
      <c r="H27" s="96">
        <f>H26</f>
        <v>200</v>
      </c>
      <c r="I27" s="97">
        <f>IF(G27="Buy",L27,K27)</f>
        <v>6.9</v>
      </c>
      <c r="J27" s="19">
        <f>I27/S27</f>
        <v>8.1455046848457016E-2</v>
      </c>
      <c r="K27" s="36" cm="1">
        <f t="array" ref="K27">_xll.BDP($B27&amp;" Equity","bid")</f>
        <v>6.9</v>
      </c>
      <c r="L27" s="36" cm="1">
        <f t="array" ref="L27">_xll.BDP($B27&amp;" Equity","ask")</f>
        <v>8.3000000000000007</v>
      </c>
      <c r="M27" s="40">
        <f>(L27/K27-1)</f>
        <v>0.20289855072463769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-138000</v>
      </c>
      <c r="Q27" s="58">
        <f>P27/'Master P&amp;L'!$AD$5*10000</f>
        <v>-0.61441605238551877</v>
      </c>
      <c r="R27" s="37" t="e" cm="1">
        <f t="array" ref="R27">_xll.BDP($C27&amp;" Equity","EST_PE_NXT_YR")*(T27/S27)</f>
        <v>#VALUE!</v>
      </c>
      <c r="S27" s="36" cm="1">
        <f t="array" ref="S27">_xll.BDP(C27&amp;" Equity","LAST_PRICE")</f>
        <v>84.709299999999999</v>
      </c>
      <c r="T27" s="53" cm="1">
        <f t="array" ref="T27">_xll.BDP(B27&amp;" Equity","OPT_STRIKE_PX")</f>
        <v>95</v>
      </c>
      <c r="U27" s="40">
        <f>T27/S27-1</f>
        <v>0.12148252907295887</v>
      </c>
      <c r="V27" s="37" cm="1">
        <f t="array" ref="V27">_xll.BDP($B27&amp;" Equity","ivol_mid")</f>
        <v>46.917749999999998</v>
      </c>
      <c r="W27" s="38" cm="1">
        <f t="array" ref="W27">_xll.BDP(B27&amp;" Equity","DELTA_MID_RT")</f>
        <v>0.44303259253501892</v>
      </c>
      <c r="X27" s="48">
        <f>Y27/'Master P&amp;L'!$AE$5</f>
        <v>-3.3417982938480708E-4</v>
      </c>
      <c r="Y27" s="15">
        <f>IF(G27="Sell", S27*W27*-H27*O27/N27, S27*W27*H27*O27/N27)</f>
        <v>-750579.61581653357</v>
      </c>
      <c r="Z27" s="15" cm="1">
        <f t="array" ref="Z27">_xll.BDP($B27&amp;" Equity","opt_theta")*H27*O27/N27</f>
        <v>-609.70000000000005</v>
      </c>
      <c r="AA27" s="19" cm="1">
        <f t="array" ref="AA27">_xll.BDP($B27&amp;" Equity","opt_theta")/I27</f>
        <v>-4.4181159420289854E-3</v>
      </c>
      <c r="AB27" s="36" t="str" cm="1">
        <f t="array" ref="AB27">_xll.BDP($C27&amp;" Equity","EXPECTED_REPORT_DT")</f>
        <v>#N/A N/A</v>
      </c>
      <c r="AC27" s="15">
        <f>S27*H27*O27/N27</f>
        <v>1694186</v>
      </c>
      <c r="AD27" s="19">
        <f>AC27/'Master P&amp;L'!$AE$5</f>
        <v>7.5430077835276252E-4</v>
      </c>
      <c r="AE27" t="str">
        <f>B27  &amp; " - Buy to open " &amp;  "-" &amp; H27 &amp;"x"</f>
        <v>COPX US 07/17/26 C95 - Buy to open -200x</v>
      </c>
    </row>
    <row r="28" spans="1:38">
      <c r="H28" s="100" t="s">
        <v>116</v>
      </c>
      <c r="I28" s="102">
        <f>I26-I27</f>
        <v>4.7999999999999989</v>
      </c>
      <c r="J28" s="100" t="s">
        <v>249</v>
      </c>
      <c r="K28" s="101">
        <f>K27/L26</f>
        <v>0.58974358974358976</v>
      </c>
      <c r="P28" s="100" t="s">
        <v>250</v>
      </c>
      <c r="Q28" s="103">
        <f>Q26+Q27</f>
        <v>0.42741986252905628</v>
      </c>
      <c r="S28" s="100" t="s">
        <v>251</v>
      </c>
      <c r="T28" s="102">
        <f>T27-T26</f>
        <v>10</v>
      </c>
      <c r="W28" s="100" t="s">
        <v>252</v>
      </c>
      <c r="X28" s="122">
        <f>X26+X27</f>
        <v>1.0380781880556705E-4</v>
      </c>
      <c r="Y28" s="13">
        <f>Y26+Y27</f>
        <v>233156.00136989343</v>
      </c>
      <c r="AC28" s="100" t="s">
        <v>229</v>
      </c>
      <c r="AD28" s="104">
        <f>AD26</f>
        <v>7.5430077835276252E-4</v>
      </c>
    </row>
    <row r="29" spans="1:38">
      <c r="A29" s="13">
        <f>A27-A26</f>
        <v>0</v>
      </c>
      <c r="H29" s="100" t="s">
        <v>253</v>
      </c>
      <c r="I29" s="102">
        <f>(T28-I28)/I28</f>
        <v>1.0833333333333337</v>
      </c>
      <c r="J29" s="100" t="s">
        <v>145</v>
      </c>
      <c r="K29" s="109">
        <f>AVERAGE(K26:L26)-AVERAGE(K27:L27)</f>
        <v>3.799999999999998</v>
      </c>
      <c r="P29" s="130">
        <f>P26+P27</f>
        <v>96000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5.6664380416317911E-2</v>
      </c>
      <c r="K30" s="167">
        <f>K26-K27</f>
        <v>4.1999999999999993</v>
      </c>
      <c r="L30" s="167">
        <f>L26-L27</f>
        <v>3.3999999999999986</v>
      </c>
      <c r="P30" s="40">
        <f>P29/Y28</f>
        <v>0.41174149254558334</v>
      </c>
      <c r="X30" s="3">
        <f>Y30/I28</f>
        <v>573.42189053694392</v>
      </c>
      <c r="Y30" s="8">
        <f>Y28/S26</f>
        <v>2752.4250745773302</v>
      </c>
      <c r="AG30" s="167"/>
      <c r="AH30" s="167"/>
    </row>
    <row r="31" spans="1:38">
      <c r="K31" s="64">
        <f>I27*2-I26</f>
        <v>2.1000000000000014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2331</v>
      </c>
      <c r="C33" t="str" cm="1">
        <f t="array" ref="C33">_xll.BDP(B33&amp;" Equity","OPT_UNDL_TICKER")</f>
        <v>QQQ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14</v>
      </c>
      <c r="F33" t="str" cm="1">
        <f t="array" ref="F33">_xll.BDP(B33&amp;" Equity","QUOTED_CURRENCY_REALTIME")</f>
        <v>USD</v>
      </c>
      <c r="G33" s="105" t="s">
        <v>247</v>
      </c>
      <c r="H33" s="96">
        <v>500</v>
      </c>
      <c r="I33" s="97">
        <f>IF(G33="Buy",L33,K33)</f>
        <v>5.91</v>
      </c>
      <c r="J33" s="19">
        <f>I33/S33</f>
        <v>9.4763172241285314E-3</v>
      </c>
      <c r="K33" s="36" cm="1">
        <f t="array" ref="K33">_xll.BDP($B33&amp;" Equity","bid")</f>
        <v>5.89</v>
      </c>
      <c r="L33" s="36" cm="1">
        <f t="array" ref="L33">_xll.BDP($B33&amp;" Equity","ask")</f>
        <v>5.91</v>
      </c>
      <c r="M33" s="40">
        <f>(L33/K33-1)</f>
        <v>3.3955857385399302E-3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295500</v>
      </c>
      <c r="Q33" s="58">
        <f>P33/'Master P&amp;L'!$AD$5*10000</f>
        <v>1.3156517643472518</v>
      </c>
      <c r="R33" s="37" t="e" cm="1">
        <f t="array" ref="R33">_xll.BDP($C33&amp;" Equity","EST_PE_NXT_YR")*(T33/S33)</f>
        <v>#VALUE!</v>
      </c>
      <c r="S33" s="36">
        <f>_xll.BDP(C33&amp;" Equity","LAST_PRICE")</f>
        <v>623.66</v>
      </c>
      <c r="T33" s="53" cm="1">
        <f t="array" ref="T33">_xll.BDP(B33&amp;" Equity","OPT_STRIKE_PX")</f>
        <v>630</v>
      </c>
      <c r="U33" s="40">
        <f>T33/S33-1</f>
        <v>1.0165795465478134E-2</v>
      </c>
      <c r="V33" s="37" cm="1">
        <f t="array" ref="V33">_xll.BDP($B33&amp;" Equity","ivol_mid")</f>
        <v>16.572929999999999</v>
      </c>
      <c r="W33" s="38" cm="1">
        <f t="array" ref="W33">_xll.BDP(B33&amp;" Equity","DELTA_MID_RT")</f>
        <v>0.40422984957695007</v>
      </c>
      <c r="X33" s="48">
        <f>Y33/'Master P&amp;L'!$AE$5</f>
        <v>5.6121560962903161E-3</v>
      </c>
      <c r="Y33" s="15">
        <f>IF(G33="Sell", S33*W33*-H33*O33/N33, S33*W33*H33*O33/N33)</f>
        <v>12605099.399358034</v>
      </c>
      <c r="Z33" s="15" cm="1">
        <f t="array" ref="Z33">_xll.BDP($B33&amp;" Equity","opt_theta")*H33*O33/N33</f>
        <v>-13485.150000000001</v>
      </c>
      <c r="AA33" s="19" cm="1">
        <f t="array" ref="AA33">_xll.BDP($B33&amp;" Equity","opt_theta")/I33</f>
        <v>-4.563502538071066E-2</v>
      </c>
      <c r="AB33" s="36" t="str" cm="1">
        <f t="array" ref="AB33">_xll.BDP($C33&amp;" Equity","EXPECTED_REPORT_DT")</f>
        <v>#N/A N/A</v>
      </c>
      <c r="AC33" s="15">
        <f>S33*H33*O33/N33</f>
        <v>31183000</v>
      </c>
      <c r="AD33" s="19">
        <f>AC33/'Master P&amp;L'!$AE$5</f>
        <v>1.3883576638795383E-2</v>
      </c>
      <c r="AE33" t="str">
        <f>B33  &amp; " - Buy to open " &amp;  "-" &amp; H33 &amp;"x"</f>
        <v>QQQ US 02/06/26 C630 - Buy to open -500x</v>
      </c>
    </row>
    <row r="34" spans="1:38">
      <c r="A34" s="98" t="s">
        <v>246</v>
      </c>
      <c r="B34" s="73" t="s">
        <v>2325</v>
      </c>
      <c r="C34" t="str" cm="1">
        <f t="array" ref="C34">_xll.BDP(B34&amp;" Equity","OPT_UNDL_TICKER")</f>
        <v>COPX US</v>
      </c>
      <c r="D34" t="str" cm="1">
        <f t="array" ref="D34">_xll.BDP($B34&amp;" Index","mifid_Maturity_date")</f>
        <v>#N/A Field Not Applicable</v>
      </c>
      <c r="E34" t="str" cm="1">
        <f t="array" ref="E34">_xll.BDP($B34&amp;" Index","opt_days_expire")</f>
        <v>#N/A Field Not Applicable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500</v>
      </c>
      <c r="I34" s="97">
        <f>IF(G34="Buy",L34,K34)</f>
        <v>4.0999999999999996</v>
      </c>
      <c r="J34" s="19">
        <f>I34/S34</f>
        <v>4.8400824938938221E-2</v>
      </c>
      <c r="K34" s="36" cm="1">
        <f t="array" ref="K34">_xll.BDP($B34&amp;" Equity","bid")</f>
        <v>4.0999999999999996</v>
      </c>
      <c r="L34" s="36" cm="1">
        <f t="array" ref="L34">_xll.BDP($B34&amp;" Equity","ask")</f>
        <v>4.4000000000000004</v>
      </c>
      <c r="M34" s="40">
        <f>(L34/K34-1)</f>
        <v>7.317073170731736E-2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-205000</v>
      </c>
      <c r="Q34" s="58">
        <f>P34/'Master P&amp;L'!$AD$5*10000</f>
        <v>-0.91271949810892261</v>
      </c>
      <c r="R34" s="37" t="e" cm="1">
        <f t="array" ref="R34">_xll.BDP($C34&amp;" Equity","EST_PE_NXT_YR")*(T34/S34)</f>
        <v>#VALUE!</v>
      </c>
      <c r="S34" s="36">
        <f>_xll.BDP(C34&amp;" Equity","LAST_PRICE")</f>
        <v>84.709299999999999</v>
      </c>
      <c r="T34" s="53" cm="1">
        <f t="array" ref="T34">_xll.BDP(B34&amp;" Equity","OPT_STRIKE_PX")</f>
        <v>95</v>
      </c>
      <c r="U34" s="40">
        <f>T34/S34-1</f>
        <v>0.12148252907295887</v>
      </c>
      <c r="V34" s="37" cm="1">
        <f t="array" ref="V34">_xll.BDP($B34&amp;" Equity","ivol_mid")</f>
        <v>48.209650000000003</v>
      </c>
      <c r="W34" s="38" cm="1">
        <f t="array" ref="W34">_xll.BDP(B34&amp;" Equity","DELTA_MID_RT")</f>
        <v>0.36274898052215576</v>
      </c>
      <c r="X34" s="48">
        <f>Y34/'Master P&amp;L'!$AE$5</f>
        <v>-6.8405459588633303E-4</v>
      </c>
      <c r="Y34" s="15">
        <f>IF(G34="Sell", S34*W34*-H34*O34/N34, S34*W34*H34*O34/N34)</f>
        <v>-1536410.6107872725</v>
      </c>
      <c r="Z34" s="15" cm="1">
        <f t="array" ref="Z34">_xll.BDP($B34&amp;" Equity","opt_theta")*H34*O34/N34</f>
        <v>-2139.5500000000002</v>
      </c>
      <c r="AA34" s="19" cm="1">
        <f t="array" ref="AA34">_xll.BDP($B34&amp;" Equity","opt_theta")/I34</f>
        <v>-1.0436829268292685E-2</v>
      </c>
      <c r="AB34" s="36" t="str" cm="1">
        <f t="array" ref="AB34">_xll.BDP($C34&amp;" Equity","EXPECTED_REPORT_DT")</f>
        <v>#N/A N/A</v>
      </c>
      <c r="AC34" s="15">
        <f>S34*H34*O34/N34</f>
        <v>4235465</v>
      </c>
      <c r="AD34" s="19">
        <f>AC34/'Master P&amp;L'!$AE$5</f>
        <v>1.8857519458819064E-3</v>
      </c>
      <c r="AE34" t="str">
        <f>B34  &amp; " - Buy to open " &amp;  "-" &amp; H34 &amp;"x"</f>
        <v>COPX US 04/17/26 C95 - Buy to open -500x</v>
      </c>
    </row>
    <row r="35" spans="1:38">
      <c r="H35" s="100" t="s">
        <v>116</v>
      </c>
      <c r="I35" s="222">
        <f>I33-I34</f>
        <v>1.8100000000000005</v>
      </c>
      <c r="J35" s="100" t="s">
        <v>249</v>
      </c>
      <c r="K35" s="101">
        <f>K34/L33</f>
        <v>0.69373942470389161</v>
      </c>
      <c r="P35" s="100" t="s">
        <v>250</v>
      </c>
      <c r="Q35" s="103">
        <f>Q33+Q34</f>
        <v>0.40293226623832923</v>
      </c>
      <c r="S35" s="100" t="s">
        <v>251</v>
      </c>
      <c r="T35" s="102">
        <f>T34-T33</f>
        <v>-535</v>
      </c>
      <c r="W35" s="100" t="s">
        <v>252</v>
      </c>
      <c r="X35" s="122">
        <f>X33+X34</f>
        <v>4.9281015004039828E-3</v>
      </c>
      <c r="Y35" s="13">
        <f>Y33+Y34</f>
        <v>11068688.788570762</v>
      </c>
      <c r="AC35" s="100" t="s">
        <v>229</v>
      </c>
      <c r="AD35" s="104">
        <f>AD33</f>
        <v>1.3883576638795383E-2</v>
      </c>
    </row>
    <row r="36" spans="1:38">
      <c r="H36" s="100" t="s">
        <v>253</v>
      </c>
      <c r="I36" s="102">
        <f>(T35-I35)/I35</f>
        <v>-296.58011049723746</v>
      </c>
      <c r="J36" s="100" t="s">
        <v>145</v>
      </c>
      <c r="K36" s="109">
        <f>AVERAGE(K33:L33)-AVERAGE(K34:L34)</f>
        <v>1.6500000000000004</v>
      </c>
      <c r="P36" s="130">
        <f>P33+P34</f>
        <v>90500</v>
      </c>
      <c r="Q36" s="108"/>
      <c r="S36" s="100"/>
      <c r="T36" s="102"/>
      <c r="W36" s="100"/>
      <c r="X36" s="122"/>
      <c r="Y36" s="13">
        <f>Y35/S33</f>
        <v>17747.953674391116</v>
      </c>
      <c r="AC36" s="100"/>
      <c r="AD36" s="104"/>
    </row>
    <row r="37" spans="1:38">
      <c r="I37" s="21">
        <f>I35/S33</f>
        <v>2.9022223647500252E-3</v>
      </c>
      <c r="K37" s="64">
        <f>(2*I33)-(I34*3)</f>
        <v>-0.47999999999999865</v>
      </c>
      <c r="P37" s="267">
        <f>P36/I35/100</f>
        <v>499.99999999999983</v>
      </c>
      <c r="W37" s="50">
        <f>W33-W34</f>
        <v>4.1480869054794312E-2</v>
      </c>
    </row>
    <row r="38" spans="1:38">
      <c r="H38">
        <v>1</v>
      </c>
      <c r="J38" s="43">
        <f>J39-J40</f>
        <v>-0.10792177719516055</v>
      </c>
      <c r="P38" s="13"/>
    </row>
    <row r="39" spans="1:38">
      <c r="A39" s="281">
        <f>S39-T39</f>
        <v>-13.715000000000003</v>
      </c>
      <c r="B39" s="73" t="s">
        <v>2333</v>
      </c>
      <c r="C39" t="str" cm="1">
        <f t="array" ref="C39">_xll.BDP(B39&amp;" Equity","OPT_UNDL_TICKER")</f>
        <v>INTC US</v>
      </c>
      <c r="D39" t="str" cm="1">
        <f t="array" ref="D39">_xll.BDP($B39&amp;" Index","mifid_Maturity_date")</f>
        <v>#N/A Invalid Security</v>
      </c>
      <c r="E39" t="str" cm="1">
        <f t="array" ref="E39">_xll.BDP($B39&amp;" Index","opt_days_expire")</f>
        <v>#N/A Invalid Security</v>
      </c>
      <c r="F39" t="str" cm="1">
        <f t="array" ref="F39">_xll.BDP(B39&amp;" Equity","QUOTED_CURRENCY_REALTIME")</f>
        <v>USD</v>
      </c>
      <c r="G39" s="105" t="s">
        <v>247</v>
      </c>
      <c r="H39" s="96">
        <v>150</v>
      </c>
      <c r="I39" s="224">
        <f>IF(G39="Buy",L39,K39)</f>
        <v>0.01</v>
      </c>
      <c r="J39" s="19">
        <f>I39/S39</f>
        <v>2.1605271686291457E-4</v>
      </c>
      <c r="K39" s="36" t="str" cm="1">
        <f t="array" ref="K39">_xll.BDP($B39&amp;" Equity","bid")</f>
        <v>#N/A N/A</v>
      </c>
      <c r="L39" s="36" cm="1">
        <f t="array" ref="L39">_xll.BDP($B39&amp;" Equity","ask")</f>
        <v>0.01</v>
      </c>
      <c r="M39" s="40" t="e">
        <f>(L39/K39-1)</f>
        <v>#VALUE!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150</v>
      </c>
      <c r="Q39" s="58">
        <f>P39/'Master P&amp;L'!$AD$5*10000</f>
        <v>6.6784353520165068E-4</v>
      </c>
      <c r="R39" s="37" cm="1">
        <f t="array" ref="R39">_xll.BDP($C39&amp;" Equity","EST_PE_NXT_YR")*(T39/S39)</f>
        <v>55.312800801007384</v>
      </c>
      <c r="S39" s="36" cm="1">
        <f t="array" ref="S39">_xll.BDP(C39&amp;" Equity","LAST_PRICE")</f>
        <v>46.284999999999997</v>
      </c>
      <c r="T39" s="53" cm="1">
        <f t="array" ref="T39">_xll.BDP(B39&amp;" Equity","OPT_STRIKE_PX")</f>
        <v>60</v>
      </c>
      <c r="U39" s="40">
        <f>T39/S39-1</f>
        <v>0.29631630117748742</v>
      </c>
      <c r="V39" s="37" cm="1">
        <f t="array" ref="V39">_xll.BDP($B39&amp;" Equity","ivol_mid")</f>
        <v>348.18599999999998</v>
      </c>
      <c r="W39" s="38" cm="1">
        <f t="array" ref="W39">_xll.BDP(B39&amp;" Equity","DELTA_MID_RT")</f>
        <v>6.6014332696795464E-3</v>
      </c>
      <c r="X39" s="48">
        <f>Y39/'Master P&amp;L'!$AE$5</f>
        <v>2.0405781497382953E-6</v>
      </c>
      <c r="Y39" s="15">
        <f>IF(G39="Sell", S39*W39*-H39*O39/N39, S39*W39*H39*O39/N39)</f>
        <v>4583.2100833067661</v>
      </c>
      <c r="Z39" s="15" cm="1">
        <f t="array" ref="Z39">_xll.BDP($B39&amp;" Equity","opt_theta")*H39*O39/N39</f>
        <v>-9866.4600000000009</v>
      </c>
      <c r="AA39" s="19" cm="1">
        <f t="array" ref="AA39">_xll.BDP($B39&amp;" Equity","opt_theta")/I39</f>
        <v>-65.776399999999995</v>
      </c>
      <c r="AB39" s="36" t="str" cm="1">
        <f t="array" ref="AB39">_xll.BDP($C39&amp;" Equity","EXPECTED_REPORT_DT")</f>
        <v>24/04/2026</v>
      </c>
      <c r="AC39" s="15">
        <f>S39*H39*O39/N39</f>
        <v>694274.99999999988</v>
      </c>
      <c r="AD39" s="19">
        <f>AC39/'Master P&amp;L'!$AE$5</f>
        <v>3.0911138026808399E-4</v>
      </c>
      <c r="AE39" t="str">
        <f>B39  &amp; " - Buy to open " &amp;  "-" &amp; H39 &amp;"x"</f>
        <v>INTC US 01/23/26 C60 - Buy to open -150x</v>
      </c>
    </row>
    <row r="40" spans="1:38">
      <c r="A40" s="281">
        <f>S40-T40</f>
        <v>-15.879999999999995</v>
      </c>
      <c r="B40" s="73" t="s">
        <v>2239</v>
      </c>
      <c r="C40" t="str" cm="1">
        <f t="array" ref="C40">_xll.BDP(B40&amp;" Equity","OPT_UNDL_TICKER")</f>
        <v>W US</v>
      </c>
      <c r="D40" t="str" cm="1">
        <f t="array" ref="D40">_xll.BDP($B40&amp;" Index","mifid_Maturity_date")</f>
        <v>15/05/2026</v>
      </c>
      <c r="E40" cm="1">
        <f t="array" ref="E40">_xll.BDP($B40&amp;" Index","opt_days_expire")</f>
        <v>112</v>
      </c>
      <c r="F40" t="str" cm="1">
        <f t="array" ref="F40">_xll.BDP(B40&amp;" Equity","QUOTED_CURRENCY_REALTIME")</f>
        <v>USD</v>
      </c>
      <c r="G40" s="105" t="s">
        <v>247</v>
      </c>
      <c r="H40" s="96">
        <v>100</v>
      </c>
      <c r="I40" s="224">
        <f>IF(G40="Buy",L40,K40)</f>
        <v>11.8</v>
      </c>
      <c r="J40" s="19">
        <f>I40/S40</f>
        <v>0.10813782991202346</v>
      </c>
      <c r="K40" s="36" cm="1">
        <f t="array" ref="K40">_xll.BDP($B40&amp;" Equity","bid")</f>
        <v>10.45</v>
      </c>
      <c r="L40" s="36" cm="1">
        <f t="array" ref="L40">_xll.BDP($B40&amp;" Equity","ask")</f>
        <v>11.8</v>
      </c>
      <c r="M40" s="40">
        <f>(L40/K40-1)</f>
        <v>0.12918660287081352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118000</v>
      </c>
      <c r="Q40" s="58">
        <f>P40/'Master P&amp;L'!$AD$5*10000</f>
        <v>0.52537024769196528</v>
      </c>
      <c r="R40" s="37" cm="1">
        <f t="array" ref="R40">_xll.BDP($C40&amp;" Equity","EST_PE_NXT_YR")*(T40/S40)</f>
        <v>43.705679646867686</v>
      </c>
      <c r="S40" s="36" cm="1">
        <f t="array" ref="S40">_xll.BDP(C40&amp;" Equity","LAST_PRICE")</f>
        <v>109.12</v>
      </c>
      <c r="T40" s="53" cm="1">
        <f t="array" ref="T40">_xll.BDP(B40&amp;" Equity","OPT_STRIKE_PX")</f>
        <v>125</v>
      </c>
      <c r="U40" s="40">
        <f>T40/S40-1</f>
        <v>0.14552785923753664</v>
      </c>
      <c r="V40" s="37" cm="1">
        <f t="array" ref="V40">_xll.BDP($B40&amp;" Equity","ivol_mid")</f>
        <v>66.612549999999999</v>
      </c>
      <c r="W40" s="38" cm="1">
        <f t="array" ref="W40">_xll.BDP(B40&amp;" Equity","DELTA_MID_RT")</f>
        <v>0.44761702418327332</v>
      </c>
      <c r="X40" s="48">
        <f>Y40/'Master P&amp;L'!$AE$5</f>
        <v>2.174675292241643E-4</v>
      </c>
      <c r="Y40" s="15">
        <f>IF(G40="Sell", S40*W40*-H40*O40/N40, S40*W40*H40*O40/N40)</f>
        <v>488439.69678878784</v>
      </c>
      <c r="Z40" s="15" cm="1">
        <f t="array" ref="Z40">_xll.BDP($B40&amp;" Equity","opt_theta")*H40*O40/N40</f>
        <v>-729.31999999999994</v>
      </c>
      <c r="AA40" s="19" cm="1">
        <f t="array" ref="AA40">_xll.BDP($B40&amp;" Equity","opt_theta")/I40</f>
        <v>-6.1806779661016942E-3</v>
      </c>
      <c r="AB40" s="36" t="str" cm="1">
        <f t="array" ref="AB40">_xll.BDP($C40&amp;" Equity","EXPECTED_REPORT_DT")</f>
        <v>19/02/2026</v>
      </c>
      <c r="AC40" s="15">
        <f>S40*H40*O40/N40</f>
        <v>1091200</v>
      </c>
      <c r="AD40" s="19">
        <f>AC40/'Master P&amp;L'!$AE$5</f>
        <v>4.8583391040802753E-4</v>
      </c>
      <c r="AE40" t="str">
        <f>B40  &amp; " - Buy to open " &amp;  "-" &amp; H40 &amp;"x"</f>
        <v>W US 05/15/26 C125 - Buy to open -100x</v>
      </c>
    </row>
    <row r="41" spans="1:38">
      <c r="H41" s="100" t="s">
        <v>116</v>
      </c>
      <c r="I41" s="222">
        <f>I39-I40</f>
        <v>-11.790000000000001</v>
      </c>
      <c r="J41" s="100" t="s">
        <v>249</v>
      </c>
      <c r="K41" s="101">
        <f>K40/L39</f>
        <v>1045</v>
      </c>
      <c r="P41" s="100" t="s">
        <v>250</v>
      </c>
      <c r="Q41" s="108">
        <f>Q39+Q40</f>
        <v>0.52603809122716694</v>
      </c>
      <c r="S41" s="100" t="s">
        <v>251</v>
      </c>
      <c r="T41" s="102">
        <f>T40-T39</f>
        <v>65</v>
      </c>
      <c r="W41" s="100" t="s">
        <v>252</v>
      </c>
      <c r="X41" s="122">
        <f>X39+X40</f>
        <v>2.1950810737390259E-4</v>
      </c>
      <c r="Y41" s="13">
        <f>Y39+Y40</f>
        <v>493022.90687209461</v>
      </c>
      <c r="AC41" s="100" t="s">
        <v>229</v>
      </c>
      <c r="AD41" s="122">
        <f>AD39</f>
        <v>3.0911138026808399E-4</v>
      </c>
    </row>
    <row r="42" spans="1:38">
      <c r="B42" s="73"/>
      <c r="H42" s="100" t="s">
        <v>253</v>
      </c>
      <c r="I42" s="102">
        <f>(T41-K42)/I41</f>
        <v>-6.4558948261238331</v>
      </c>
      <c r="J42" s="100" t="s">
        <v>145</v>
      </c>
      <c r="K42" s="223">
        <f>AVERAGE(K39:L39)-AVERAGE(K40:L40)</f>
        <v>-11.115</v>
      </c>
      <c r="P42" s="130">
        <f>P39+P40</f>
        <v>118150</v>
      </c>
      <c r="Q42" s="108"/>
      <c r="S42" s="100"/>
      <c r="T42" s="102"/>
      <c r="W42" s="100"/>
      <c r="X42" s="122"/>
      <c r="Y42" s="13">
        <f>Y41/S39</f>
        <v>10651.893850536775</v>
      </c>
      <c r="AC42" s="100"/>
      <c r="AD42" s="104"/>
    </row>
    <row r="43" spans="1:38">
      <c r="I43" s="278"/>
      <c r="K43" s="278">
        <f>K36-K42</f>
        <v>12.765000000000001</v>
      </c>
      <c r="L43" s="278"/>
      <c r="P43" s="5">
        <f>P42/Y41</f>
        <v>0.23964403753485589</v>
      </c>
      <c r="W43" s="50">
        <f>W39-W40</f>
        <v>-0.44101559091359377</v>
      </c>
      <c r="Y43" s="13">
        <f>Y42+Y36</f>
        <v>28399.847524927893</v>
      </c>
    </row>
    <row r="44" spans="1:38">
      <c r="K44" s="338">
        <f>K36/K42</f>
        <v>-0.14844804318488533</v>
      </c>
      <c r="L44" s="278">
        <f>K36-(K42*2)</f>
        <v>23.880000000000003</v>
      </c>
      <c r="P44" s="13">
        <f>P36+P42</f>
        <v>208650</v>
      </c>
    </row>
    <row r="45" spans="1:38" s="59" customFormat="1">
      <c r="O45" s="163"/>
      <c r="X45" s="127"/>
      <c r="AL45" s="14"/>
    </row>
    <row r="46" spans="1:38">
      <c r="K46" s="64" t="e">
        <f>K49*2+K50</f>
        <v>#VALUE!</v>
      </c>
      <c r="L46" s="64">
        <f>L49*2+L50</f>
        <v>4.3999999999999995</v>
      </c>
    </row>
    <row r="47" spans="1:38">
      <c r="A47" s="99" t="s">
        <v>255</v>
      </c>
      <c r="B47" s="99"/>
      <c r="K47" s="64"/>
      <c r="L47" s="64"/>
      <c r="P47" s="3" t="e">
        <f>P49+P50</f>
        <v>#VALUE!</v>
      </c>
      <c r="Q47" s="58"/>
    </row>
    <row r="48" spans="1:38">
      <c r="H48">
        <v>1</v>
      </c>
      <c r="I48" s="64" t="e">
        <f>I49-I50</f>
        <v>#VALUE!</v>
      </c>
    </row>
    <row r="49" spans="1:36">
      <c r="A49" s="281">
        <v>4.3</v>
      </c>
      <c r="B49" s="73" t="s">
        <v>2255</v>
      </c>
      <c r="C49" t="str" cm="1">
        <f t="array" ref="C49">_xll.BDP(B49&amp;" Equity","OPT_UNDL_TICKER")</f>
        <v>ASML US</v>
      </c>
      <c r="D49" t="str" cm="1">
        <f t="array" ref="D49">_xll.BDP($B49&amp;" Index","mifid_Maturity_date")</f>
        <v>#N/A Field Not Applicable</v>
      </c>
      <c r="E49" t="str" cm="1">
        <f t="array" ref="E49">_xll.BDP($B49&amp;" Index","opt_days_expire")</f>
        <v>#N/A N/A</v>
      </c>
      <c r="F49" t="str" cm="1">
        <f t="array" ref="F49">_xll.BDP(B49&amp;" Equity","QUOTED_CURRENCY_REALTIME")</f>
        <v>USD</v>
      </c>
      <c r="G49" s="105" t="s">
        <v>247</v>
      </c>
      <c r="H49" s="96">
        <v>45</v>
      </c>
      <c r="I49" s="97">
        <f>IF(G49="Buy",L49,K49)</f>
        <v>0.05</v>
      </c>
      <c r="J49" s="19">
        <f>I49/S49</f>
        <v>3.6088054853843382E-5</v>
      </c>
      <c r="K49" s="36" t="str" cm="1">
        <f t="array" ref="K49">_xll.BDP($B49&amp;" Equity","bid")</f>
        <v>#N/A N/A</v>
      </c>
      <c r="L49" s="36" cm="1">
        <f t="array" ref="L49">_xll.BDP($B49&amp;" Equity","ask")</f>
        <v>0.05</v>
      </c>
      <c r="M49" s="40" t="e">
        <f>(L49/K49-1)</f>
        <v>#VALUE!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225</v>
      </c>
      <c r="Q49" s="58">
        <f>P49/'Master P&amp;L'!$AD$5*10000</f>
        <v>1.0017653028024762E-3</v>
      </c>
      <c r="R49" s="37" cm="1">
        <f t="array" ref="R49">_xll.BDP($C49&amp;" Equity","EST_PE_NXT_YR")*(T49/S49)</f>
        <v>37.146444720365707</v>
      </c>
      <c r="S49" s="36" cm="1">
        <f t="array" ref="S49">_xll.BDP(C49&amp;" Equity","LAST_PRICE")</f>
        <v>1385.5</v>
      </c>
      <c r="T49" s="53" cm="1">
        <f t="array" ref="T49">_xll.BDP(B49&amp;" Equity","OPT_STRIKE_PX")</f>
        <v>1200</v>
      </c>
      <c r="U49" s="40">
        <f>T49/S49-1</f>
        <v>-0.1338866835077589</v>
      </c>
      <c r="V49" s="37" cm="1">
        <f t="array" ref="V49">_xll.BDP($B49&amp;" Equity","ivol_mid")</f>
        <v>155.6653</v>
      </c>
      <c r="W49" s="38" cm="1">
        <f t="array" ref="W49">_xll.BDP(B49&amp;" Equity","DELTA_MID_RT")</f>
        <v>-2.2644090931862593E-3</v>
      </c>
      <c r="X49" s="357">
        <f>Y49/'Master P&amp;L'!$AE$5</f>
        <v>-6.2857543031661294E-6</v>
      </c>
      <c r="Y49" s="15">
        <f>IF(G49="Sell", S49*W49*-H49*O49/N49, S49*W49*H49*O49/N49)</f>
        <v>-14118.02459374303</v>
      </c>
      <c r="Z49" s="15" cm="1">
        <f t="array" ref="Z49">_xll.BDP($B49&amp;" Equity","opt_theta")*H49*O49/N49</f>
        <v>0</v>
      </c>
      <c r="AA49" s="19" cm="1">
        <f t="array" ref="AA49">_xll.BDP($B49&amp;" Equity","opt_theta")/I49</f>
        <v>0</v>
      </c>
      <c r="AB49" s="36" t="str" cm="1">
        <f t="array" ref="AB49">_xll.BDP($C49&amp;" Equity","EXPECTED_REPORT_DT")</f>
        <v>28/01/2026</v>
      </c>
      <c r="AC49" s="15">
        <f>S49*H49*O49/N49</f>
        <v>6234750</v>
      </c>
      <c r="AD49" s="48">
        <f>AC49/'Master P&amp;L'!$AE$5</f>
        <v>2.7758916540656614E-3</v>
      </c>
      <c r="AE49" t="str">
        <f>B49&amp;" -&gt; Buy to open "&amp;H49&amp;"x"</f>
        <v>ASML US 01/23/26 P1200 -&gt; Buy to open 45x</v>
      </c>
      <c r="AJ49" t="s">
        <v>257</v>
      </c>
    </row>
    <row r="50" spans="1:36">
      <c r="A50" s="281">
        <v>2.0499999999999998</v>
      </c>
      <c r="B50" s="73" t="s">
        <v>2256</v>
      </c>
      <c r="C50" t="str" cm="1">
        <f t="array" ref="C50">_xll.BDP(B50&amp;" Equity","OPT_UNDL_TICKER")</f>
        <v>ASML US</v>
      </c>
      <c r="D50" t="str" cm="1">
        <f t="array" ref="D50">_xll.BDP($B50&amp;" Index","mifid_Maturity_date")</f>
        <v>#N/A Field Not Applicable</v>
      </c>
      <c r="E50" t="str" cm="1">
        <f t="array" ref="E50">_xll.BDP($B50&amp;" Index","opt_days_expire")</f>
        <v>#N/A N/A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45</v>
      </c>
      <c r="I50" s="97" t="str">
        <f>IF(G50="Buy",L50,K50)</f>
        <v>#N/A N/A</v>
      </c>
      <c r="J50" s="19" t="e">
        <f>I50/S50</f>
        <v>#VALUE!</v>
      </c>
      <c r="K50" s="36" t="str" cm="1">
        <f t="array" ref="K50">_xll.BDP($B50&amp;" Equity","bid")</f>
        <v>#N/A N/A</v>
      </c>
      <c r="L50" s="36" cm="1">
        <f t="array" ref="L50">_xll.BDP($B50&amp;" Equity","ask")</f>
        <v>4.3</v>
      </c>
      <c r="M50" s="40" t="e">
        <f>(L50/K50-1)</f>
        <v>#VALUE!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 t="e">
        <f>IF(G50="Buy",((I50/N50)*H50*O50),((I50/N50)*-H50*O50))</f>
        <v>#VALUE!</v>
      </c>
      <c r="Q50" s="58" t="e">
        <f>P50/'Master P&amp;L'!$AD$5*10000</f>
        <v>#VALUE!</v>
      </c>
      <c r="R50" s="37" cm="1">
        <f t="array" ref="R50">_xll.BDP($C50&amp;" Equity","EST_PE_NXT_YR")*(T50/S50)</f>
        <v>34.050907660335227</v>
      </c>
      <c r="S50" s="36" cm="1">
        <f t="array" ref="S50">_xll.BDP(C50&amp;" Equity","LAST_PRICE")</f>
        <v>1385.5</v>
      </c>
      <c r="T50" s="53" cm="1">
        <f t="array" ref="T50">_xll.BDP(B50&amp;" Equity","OPT_STRIKE_PX")</f>
        <v>1100</v>
      </c>
      <c r="U50" s="40">
        <f>T50/S50-1</f>
        <v>-0.20606279321544574</v>
      </c>
      <c r="V50" s="37" cm="1">
        <f t="array" ref="V50">_xll.BDP(B50&amp;" Equity","ivol_mid")</f>
        <v>456.5446</v>
      </c>
      <c r="W50" s="38" cm="1">
        <f t="array" ref="W50">_xll.BDP(B50&amp;" Equity","DELTA_MID_RT")</f>
        <v>-4.7864165157079697E-2</v>
      </c>
      <c r="X50" s="357">
        <f>Y50/'Master P&amp;L'!$AE$5</f>
        <v>1.3286573658835796E-4</v>
      </c>
      <c r="Y50" s="15">
        <f>IF(G50="Sell", S50*W50*-H50*O50/N50, S50*W50*H50*O50/N50)</f>
        <v>298421.10371310264</v>
      </c>
      <c r="Z50" s="15" cm="1">
        <f t="array" ref="Z50">_xll.BDP($B50&amp;" Equity","opt_theta")*H50*O50/N50</f>
        <v>0</v>
      </c>
      <c r="AA50" s="19" t="e" cm="1">
        <f t="array" ref="AA50">_xll.BDP($B50&amp;" Equity","opt_theta")/I50</f>
        <v>#VALUE!</v>
      </c>
      <c r="AB50" s="36" t="str" cm="1">
        <f t="array" ref="AB50">_xll.BDP($C50&amp;" Equity","EXPECTED_REPORT_DT")</f>
        <v>28/01/2026</v>
      </c>
      <c r="AC50" s="15">
        <f>S50*H50*O50/N50</f>
        <v>6234750</v>
      </c>
      <c r="AD50" s="19">
        <f>AC50/'Master P&amp;L'!$AE$5</f>
        <v>2.7758916540656614E-3</v>
      </c>
      <c r="AE50" t="str">
        <f>B50  &amp; " -&gt; Sell to open " &amp;   H50 &amp;"x"</f>
        <v>ASML US 01/23/26 P1100 -&gt; Sell to open 45x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 t="e">
        <f>K50/L49</f>
        <v>#VALUE!</v>
      </c>
      <c r="L51" s="64"/>
      <c r="P51" s="100" t="s">
        <v>250</v>
      </c>
      <c r="Q51" s="108" t="e">
        <f>Q49+Q50</f>
        <v>#VALUE!</v>
      </c>
      <c r="S51" s="100" t="s">
        <v>251</v>
      </c>
      <c r="T51" s="102">
        <f>T49-T50</f>
        <v>100</v>
      </c>
      <c r="W51" s="100" t="s">
        <v>252</v>
      </c>
      <c r="X51" s="416">
        <f>X49+X50</f>
        <v>1.2657998228519183E-4</v>
      </c>
      <c r="Y51" s="13">
        <f>Y49+Y50</f>
        <v>284303.07911935961</v>
      </c>
      <c r="AC51" s="100" t="s">
        <v>229</v>
      </c>
      <c r="AD51" s="122">
        <f>AD49</f>
        <v>2.7758916540656614E-3</v>
      </c>
    </row>
    <row r="52" spans="1:36">
      <c r="A52" s="276"/>
      <c r="H52" s="100" t="s">
        <v>253</v>
      </c>
      <c r="I52" s="102">
        <f>(T51-I51)/I51</f>
        <v>54.555555555555557</v>
      </c>
      <c r="J52" s="100" t="s">
        <v>145</v>
      </c>
      <c r="K52" s="109">
        <f>AVERAGE(K49:L49)-AVERAGE(K50:L50)</f>
        <v>-4.25</v>
      </c>
      <c r="L52" s="64"/>
      <c r="P52" s="100"/>
      <c r="Q52" s="108"/>
      <c r="S52" s="100"/>
      <c r="T52" s="102"/>
      <c r="W52" s="100"/>
      <c r="X52" s="122"/>
      <c r="Z52" s="3">
        <f>Y51/S49</f>
        <v>205.19890228752047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2258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cm="1">
        <f t="array" ref="E55">_xll.BDP($B55&amp;" Index","opt_days_expire")</f>
        <v>0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0.08</v>
      </c>
      <c r="J55" s="19">
        <f>I55/S55</f>
        <v>2.4965672200724003E-4</v>
      </c>
      <c r="K55" s="36" cm="1">
        <f t="array" ref="K55">_xll.BDP($B55&amp;" Equity","bid")</f>
        <v>0.01</v>
      </c>
      <c r="L55" s="36" cm="1">
        <f t="array" ref="L55">_xll.BDP($B55&amp;" Equity","ask")</f>
        <v>0.08</v>
      </c>
      <c r="M55" s="40">
        <f>(L55/K55-1)</f>
        <v>7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800</v>
      </c>
      <c r="Q55" s="58">
        <f>P55/'Master P&amp;L'!$AD$5*10000</f>
        <v>3.561832187742137E-3</v>
      </c>
      <c r="R55" s="37" cm="1">
        <f t="array" ref="R55">_xll.BDP($C55&amp;" Equity","EST_PE_NXT_YR")*(T55/S55)</f>
        <v>24.341583550347789</v>
      </c>
      <c r="S55" s="36" cm="1">
        <f t="array" ref="S55">_xll.BDP(C55&amp;" Equity","LAST_PRICE")</f>
        <v>320.44</v>
      </c>
      <c r="T55" s="53" cm="1">
        <f t="array" ref="T55">_xll.BDP(B55&amp;" Equity","OPT_STRIKE_PX")</f>
        <v>290</v>
      </c>
      <c r="U55" s="40">
        <f>T55/S55-1</f>
        <v>-9.4994382723754822E-2</v>
      </c>
      <c r="V55" s="37" cm="1">
        <f t="array" ref="V55">_xll.BDP($B55&amp;" Equity","ivol_mid")</f>
        <v>142.13570000000001</v>
      </c>
      <c r="W55" s="38" cm="1">
        <f t="array" ref="W55">_xll.BDP(B55&amp;" Equity","DELTA_MID_RT")</f>
        <v>-9.4167161732912064E-3</v>
      </c>
      <c r="X55" s="48">
        <f>Y55/'Master P&amp;L'!$AE$5</f>
        <v>-1.3434752527067108E-5</v>
      </c>
      <c r="Y55" s="15">
        <f>IF(G55="Sell", S55*W55*-H55*O55/N55, S55*W55*H55*O55/N55)</f>
        <v>-30174.925305694342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3204400</v>
      </c>
      <c r="AD55" s="48">
        <f>AC55/'Master P&amp;L'!$AE$5</f>
        <v>1.4266918828001131E-3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2257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cm="1">
        <f t="array" ref="E56">_xll.BDP($B56&amp;" Index","opt_days_expire")</f>
        <v>0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0.06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23.502218600335794</v>
      </c>
      <c r="S56" s="36" cm="1">
        <f t="array" ref="S56">_xll.BDP(C56&amp;" Equity","LAST_PRICE")</f>
        <v>320.44</v>
      </c>
      <c r="T56" s="53" cm="1">
        <f t="array" ref="T56">_xll.BDP(B56&amp;" Equity","OPT_STRIKE_PX")</f>
        <v>280</v>
      </c>
      <c r="U56" s="40">
        <f>T56/S56-1</f>
        <v>-0.12620147297465989</v>
      </c>
      <c r="V56" s="37" cm="1">
        <f t="array" ref="V56">_xll.BDP(B56&amp;" Equity","ivol_mid")</f>
        <v>247.05619999999999</v>
      </c>
      <c r="W56" s="38" cm="1">
        <f t="array" ref="W56">_xll.BDP(B56&amp;" Equity","DELTA_MID_RT")</f>
        <v>-9.3771759420633316E-3</v>
      </c>
      <c r="X56" s="48">
        <f>Y56/'Master P&amp;L'!$AE$5</f>
        <v>1.3378340800130259E-5</v>
      </c>
      <c r="Y56" s="15">
        <f>IF(G56="Sell", S56*W56*-H56*O56/N56, S56*W56*H56*O56/N56)</f>
        <v>30048.22258874774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3204400</v>
      </c>
      <c r="AD56" s="19">
        <f>AC56/'Master P&amp;L'!$AE$5</f>
        <v>1.4266918828001131E-3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-5.6411726936848484E-8</v>
      </c>
      <c r="Y57" s="13"/>
      <c r="AC57" s="100" t="s">
        <v>229</v>
      </c>
      <c r="AD57" s="122">
        <f>AD55</f>
        <v>1.4266918828001131E-3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-1.4999999999999999E-2</v>
      </c>
      <c r="L58" s="64"/>
      <c r="P58" s="100"/>
      <c r="Q58" s="108"/>
      <c r="S58" s="100"/>
      <c r="T58" s="102"/>
      <c r="W58" s="100"/>
      <c r="X58" s="122"/>
      <c r="Y58" s="13">
        <f>Y55+Y56</f>
        <v>-126.70271694660187</v>
      </c>
      <c r="Z58" s="3"/>
      <c r="AC58" s="100"/>
      <c r="AD58" s="104"/>
    </row>
    <row r="59" spans="1:36">
      <c r="K59" s="64">
        <f>K58-K52</f>
        <v>4.2350000000000003</v>
      </c>
      <c r="Y59" s="64">
        <f>Y58/S55</f>
        <v>-0.39540231227874756</v>
      </c>
    </row>
    <row r="60" spans="1:36">
      <c r="I60" s="64" t="e">
        <f>I51-I57</f>
        <v>#VALUE!</v>
      </c>
      <c r="K60" s="64">
        <f>K52-K58</f>
        <v>-4.2350000000000003</v>
      </c>
      <c r="Y60" s="64"/>
    </row>
    <row r="61" spans="1:36">
      <c r="H61">
        <v>1</v>
      </c>
      <c r="I61" s="64"/>
      <c r="L61" s="64">
        <f>AVERAGE(K62:L62)</f>
        <v>6.5250000000000004</v>
      </c>
      <c r="T61" s="64">
        <f>T62-S62</f>
        <v>-1.1700000000000017</v>
      </c>
    </row>
    <row r="62" spans="1:36">
      <c r="A62" s="98" t="s">
        <v>256</v>
      </c>
      <c r="B62" t="s">
        <v>2059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56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6.6</v>
      </c>
      <c r="J62" s="19">
        <f>I62/S62</f>
        <v>8.131082912406061E-2</v>
      </c>
      <c r="K62" s="36" cm="1">
        <f t="array" ref="K62">_xll.BDP($B62&amp;" Equity","bid")</f>
        <v>6.45</v>
      </c>
      <c r="L62" s="36" cm="1">
        <f t="array" ref="L62">_xll.BDP($B62&amp;" Equity","ask")</f>
        <v>6.6</v>
      </c>
      <c r="M62" s="40">
        <f>(L62/K62-1)</f>
        <v>2.3255813953488191E-2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99000</v>
      </c>
      <c r="Q62" s="58">
        <f>P62/'Master P&amp;L'!$AD$5*10000</f>
        <v>0.44077673323308952</v>
      </c>
      <c r="R62" s="37" cm="1">
        <f t="array" ref="R62">_xll.BDP($C62&amp;" Equity","EST_PE_NXT_YR")*(T62/S62)</f>
        <v>22.13855620479065</v>
      </c>
      <c r="S62" s="36" cm="1">
        <f t="array" ref="S62">_xll.BDP(C62&amp;" Equity","LAST_PRICE")</f>
        <v>81.17</v>
      </c>
      <c r="T62" s="53" cm="1">
        <f t="array" ref="T62">_xll.BDP(B62&amp;" Equity","OPT_STRIKE_PX")</f>
        <v>80</v>
      </c>
      <c r="U62" s="40">
        <f>T62/S62-1</f>
        <v>-1.4414192435628914E-2</v>
      </c>
      <c r="V62" s="37" cm="1">
        <f t="array" ref="V62">_xll.BDP($B62&amp;" Equity","ivol_mid")</f>
        <v>57.906829999999999</v>
      </c>
      <c r="W62" s="38" cm="1">
        <f t="array" ref="W62">_xll.BDP(B62&amp;" Equity","DELTA_MID_RT")</f>
        <v>-0.42219364643096924</v>
      </c>
      <c r="X62" s="48">
        <f>Y62/'Master P&amp;L'!$AE$5</f>
        <v>-2.288663616769614E-4</v>
      </c>
      <c r="Y62" s="15">
        <f>IF(G62="Sell", S62*W62*-H62*O62/N62, S62*W62*H62*O62/N62)</f>
        <v>-514041.8742120266</v>
      </c>
      <c r="Z62" s="15" cm="1">
        <f t="array" ref="Z62">_xll.BDP($B62&amp;" Equity","opt_theta")*H62*O62/N62</f>
        <v>-953.53499999999997</v>
      </c>
      <c r="AA62" s="19" cm="1">
        <f t="array" ref="AA62">_xll.BDP($B62&amp;" Equity","opt_theta")/I62</f>
        <v>-9.6316666666666668E-3</v>
      </c>
      <c r="AB62" s="36" t="str" cm="1">
        <f t="array" ref="AB62">_xll.BDP($C62&amp;" Equity","EXPECTED_REPORT_DT")</f>
        <v>05/03/2026</v>
      </c>
      <c r="AC62" s="15">
        <f>S62*H62*O62/N62</f>
        <v>1217550</v>
      </c>
      <c r="AD62" s="48">
        <f>AC62/'Master P&amp;L'!$AE$5</f>
        <v>5.4208859752317995E-4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2297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56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2.62</v>
      </c>
      <c r="J63" s="19">
        <f>I63/S63</f>
        <v>3.227793519773315E-2</v>
      </c>
      <c r="K63" s="36" cm="1">
        <f t="array" ref="K63">_xll.BDP($B63&amp;" Equity","bid")</f>
        <v>2.62</v>
      </c>
      <c r="L63" s="36" cm="1">
        <f t="array" ref="L63">_xll.BDP($B63&amp;" Equity","ask")</f>
        <v>2.77</v>
      </c>
      <c r="M63" s="40">
        <f>(L63/K63-1)</f>
        <v>5.7251908396946494E-2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-39300</v>
      </c>
      <c r="Q63" s="58">
        <f>P63/'Master P&amp;L'!$AD$5*10000</f>
        <v>-0.17497500622283252</v>
      </c>
      <c r="R63" s="37" cm="1">
        <f t="array" ref="R63">_xll.BDP($C63&amp;" Equity","EST_PE_NXT_YR")*(T63/S63)</f>
        <v>19.371236679191817</v>
      </c>
      <c r="S63" s="36" cm="1">
        <f t="array" ref="S63">_xll.BDP(C63&amp;" Equity","LAST_PRICE")</f>
        <v>81.17</v>
      </c>
      <c r="T63" s="53" cm="1">
        <f t="array" ref="T63">_xll.BDP(B63&amp;" Equity","OPT_STRIKE_PX")</f>
        <v>70</v>
      </c>
      <c r="U63" s="40">
        <f>T63/S63-1</f>
        <v>-0.13761241838117533</v>
      </c>
      <c r="V63" s="37" cm="1">
        <f t="array" ref="V63">_xll.BDP($B63&amp;" Equity","ivol_mid")</f>
        <v>59.862850000000002</v>
      </c>
      <c r="W63" s="38" cm="1">
        <f t="array" ref="W63">_xll.BDP(B63&amp;" Equity","DELTA_MID_RT")</f>
        <v>-0.21927750110626221</v>
      </c>
      <c r="X63" s="48">
        <f>Y63/'Master P&amp;L'!$AE$5</f>
        <v>1.1886783304308124E-4</v>
      </c>
      <c r="Y63" s="15">
        <f>IF(G63="Sell", S63*W63*-H63*O63/N63, S63*W63*H63*O63/N63)</f>
        <v>266981.32147192961</v>
      </c>
      <c r="Z63" s="15" cm="1">
        <f t="array" ref="Z63">_xll.BDP($B63&amp;" Equity","opt_theta")*H63*O63/N63</f>
        <v>-749.13</v>
      </c>
      <c r="AA63" s="19" cm="1">
        <f t="array" ref="AA63">_xll.BDP($B63&amp;" Equity","opt_theta")/I63</f>
        <v>-1.9061832061068703E-2</v>
      </c>
      <c r="AB63" s="36" t="str" cm="1">
        <f t="array" ref="AB63">_xll.BDP($C63&amp;" Equity","EXPECTED_REPORT_DT")</f>
        <v>05/03/2026</v>
      </c>
      <c r="AC63" s="15">
        <f>S63*H63*O63/N63</f>
        <v>1217550</v>
      </c>
      <c r="AD63" s="48">
        <f>AC63/'Master P&amp;L'!$AE$5</f>
        <v>5.4208859752317995E-4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3.9799999999999995</v>
      </c>
      <c r="J64" s="100" t="s">
        <v>249</v>
      </c>
      <c r="K64" s="101">
        <f>K63/L62</f>
        <v>0.39696969696969703</v>
      </c>
      <c r="L64" s="64"/>
      <c r="P64" s="100" t="s">
        <v>250</v>
      </c>
      <c r="Q64" s="108">
        <f>Q62+Q63</f>
        <v>0.26580172701025701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-1.0999852863388016E-4</v>
      </c>
      <c r="Y64" s="13">
        <f>Y62+Y63</f>
        <v>-247060.55274009699</v>
      </c>
      <c r="AC64" s="100" t="s">
        <v>229</v>
      </c>
      <c r="AD64" s="122">
        <f>AD62</f>
        <v>5.4208859752317995E-4</v>
      </c>
    </row>
    <row r="65" spans="1:31">
      <c r="H65" s="100" t="s">
        <v>253</v>
      </c>
      <c r="I65" s="102">
        <f>(T64-I64)/I64</f>
        <v>1.512562814070352</v>
      </c>
      <c r="J65" s="100" t="s">
        <v>145</v>
      </c>
      <c r="K65" s="109">
        <f>AVERAGE(K62:L62)-AVERAGE(K63:L63)</f>
        <v>3.83</v>
      </c>
      <c r="P65" s="100"/>
      <c r="Q65" s="108"/>
      <c r="S65" s="100"/>
      <c r="T65" s="102"/>
      <c r="W65" s="100"/>
      <c r="X65" s="122"/>
      <c r="Z65" s="3">
        <f>Y64/S62</f>
        <v>-3043.7421798706046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2269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USD</v>
      </c>
      <c r="G68" s="105" t="s">
        <v>247</v>
      </c>
      <c r="H68" s="96">
        <v>500</v>
      </c>
      <c r="I68" s="97">
        <f>IF(G68="Buy",L68,K68)</f>
        <v>1.8</v>
      </c>
      <c r="J68" s="19">
        <f>I68/S68</f>
        <v>2.886187987044223E-3</v>
      </c>
      <c r="K68" s="36" cm="1">
        <f t="array" ref="K68">_xll.BDP($B68&amp;" Equity","bid")</f>
        <v>1.66</v>
      </c>
      <c r="L68" s="36" cm="1">
        <f t="array" ref="L68">_xll.BDP($B68&amp;" Equity","ask")</f>
        <v>1.8</v>
      </c>
      <c r="M68" s="40">
        <f>(L68/K68-1)</f>
        <v>8.4337349397590522E-2</v>
      </c>
      <c r="N68" s="36" cm="1">
        <f t="array" ref="N68">_xll.BDP(F68&amp;" Curncy","PX_LAST")</f>
        <v>1</v>
      </c>
      <c r="O68" s="162" cm="1">
        <f t="array" ref="O68">_xll.BDP(B68&amp;" Equity","OPT_MULTIPLIER")</f>
        <v>100</v>
      </c>
      <c r="P68" s="15">
        <f>IF(G68="Buy",((I68/N68)*H68*O68),((I68/N68)*-H68*O68))</f>
        <v>90000</v>
      </c>
      <c r="Q68" s="58">
        <f>P68/'Master P&amp;L'!$AD$5*10000</f>
        <v>0.40070612112099047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623.66</v>
      </c>
      <c r="T68" s="53" cm="1">
        <f t="array" ref="T68">_xll.BDP(B68&amp;" Equity","OPT_STRIKE_PX")</f>
        <v>623</v>
      </c>
      <c r="U68" s="40">
        <f>T68/S68-1</f>
        <v>-1.0582689285828506E-3</v>
      </c>
      <c r="V68" s="37" t="str" cm="1">
        <f t="array" ref="V68">_xll.BDP($B68&amp;" Equity","ivol_mid")</f>
        <v>#N/A N/A</v>
      </c>
      <c r="W68" s="38" cm="1">
        <f t="array" ref="W68">_xll.BDP(B68&amp;" Equity","DELTA_MID_RT")</f>
        <v>-0.68529897928237915</v>
      </c>
      <c r="X68" s="48">
        <f>Y68/'Master P&amp;L'!$AE$5</f>
        <v>-9.5144008993551608E-3</v>
      </c>
      <c r="Y68" s="15">
        <f>IF(G68="Sell", S68*W68*-H68*O68/N68, S68*W68*H68*O68/N68)</f>
        <v>-21369678.070962429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>
        <f>S68*H68*O68/N68</f>
        <v>31183000</v>
      </c>
      <c r="AD68" s="48">
        <f>AC68/'Master P&amp;L'!$AE$5</f>
        <v>1.3883576638795383E-2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2270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USD</v>
      </c>
      <c r="G69" s="105" t="s">
        <v>248</v>
      </c>
      <c r="H69" s="96">
        <f>H68</f>
        <v>500</v>
      </c>
      <c r="I69" s="97">
        <f>IF(G69="Buy",L69,K69)</f>
        <v>0.7</v>
      </c>
      <c r="J69" s="19">
        <f>I69/S69</f>
        <v>1.1224064394060867E-3</v>
      </c>
      <c r="K69" s="36" cm="1">
        <f t="array" ref="K69">_xll.BDP($B69&amp;" Equity","bid")</f>
        <v>0.7</v>
      </c>
      <c r="L69" s="36" cm="1">
        <f t="array" ref="L69">_xll.BDP($B69&amp;" Equity","ask")</f>
        <v>0.81</v>
      </c>
      <c r="M69" s="40">
        <f>(L69/K69-1)</f>
        <v>0.15714285714285725</v>
      </c>
      <c r="N69" s="36" cm="1">
        <f t="array" ref="N69">_xll.BDP(F69&amp;" Curncy","PX_LAST")</f>
        <v>1</v>
      </c>
      <c r="O69" s="162" cm="1">
        <f t="array" ref="O69">_xll.BDP(B69&amp;" Equity","OPT_MULTIPLIER")</f>
        <v>100</v>
      </c>
      <c r="P69" s="15">
        <f>IF(G69="Buy",((I69/N69)*H69*O69),((I69/N69)*-H69*O69))</f>
        <v>-35000</v>
      </c>
      <c r="Q69" s="58">
        <f>P69/'Master P&amp;L'!$AD$5*10000</f>
        <v>-0.15583015821371851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623.66</v>
      </c>
      <c r="T69" s="53" cm="1">
        <f t="array" ref="T69">_xll.BDP(B69&amp;" Equity","OPT_STRIKE_PX")</f>
        <v>622</v>
      </c>
      <c r="U69" s="40">
        <f>T69/S69-1</f>
        <v>-2.6617066991629912E-3</v>
      </c>
      <c r="V69" s="37" t="str" cm="1">
        <f t="array" ref="V69">_xll.BDP($B69&amp;" Equity","ivol_mid")</f>
        <v>#N/A N/A</v>
      </c>
      <c r="W69" s="38" cm="1">
        <f t="array" ref="W69">_xll.BDP(B69&amp;" Equity","DELTA_MID_RT")</f>
        <v>-0.55367797613143921</v>
      </c>
      <c r="X69" s="48">
        <f>Y69/'Master P&amp;L'!$AE$5</f>
        <v>7.6870306148339573E-3</v>
      </c>
      <c r="Y69" s="15">
        <f>IF(G69="Sell", S69*W69*-H69*O69/N69, S69*W69*H69*O69/N69)</f>
        <v>17265340.329706669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>
        <f>S69*H69*O69/N69</f>
        <v>31183000</v>
      </c>
      <c r="AD69" s="48">
        <f>AC69/'Master P&amp;L'!$AE$5</f>
        <v>1.3883576638795383E-2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>
        <f>I68-I69</f>
        <v>1.1000000000000001</v>
      </c>
      <c r="J70" s="100" t="s">
        <v>249</v>
      </c>
      <c r="K70" s="101">
        <f>K69/L68</f>
        <v>0.38888888888888884</v>
      </c>
      <c r="P70" s="100" t="s">
        <v>250</v>
      </c>
      <c r="Q70" s="108">
        <f>Q68+Q69</f>
        <v>0.24487596290727195</v>
      </c>
      <c r="S70" s="100" t="s">
        <v>251</v>
      </c>
      <c r="T70" s="102">
        <f>T68-T69</f>
        <v>1</v>
      </c>
      <c r="W70" s="100" t="s">
        <v>252</v>
      </c>
      <c r="X70" s="122">
        <f>X68+X69</f>
        <v>-1.8273702845212035E-3</v>
      </c>
      <c r="AC70" s="100" t="s">
        <v>229</v>
      </c>
      <c r="AD70" s="122">
        <f>AD68</f>
        <v>1.3883576638795383E-2</v>
      </c>
    </row>
    <row r="71" spans="1:31">
      <c r="H71" s="100" t="s">
        <v>253</v>
      </c>
      <c r="I71" s="102">
        <f>(T70-I70)/I70</f>
        <v>-9.0909090909090981E-2</v>
      </c>
      <c r="J71" s="100" t="s">
        <v>145</v>
      </c>
      <c r="K71" s="109">
        <f>AVERAGE(K68:L68)-AVERAGE(K69:L69)</f>
        <v>0.97499999999999998</v>
      </c>
      <c r="P71" s="100"/>
      <c r="Q71" s="108"/>
      <c r="S71" s="100"/>
      <c r="T71" s="102"/>
      <c r="W71" s="100"/>
      <c r="X71" s="122"/>
      <c r="Y71" s="13">
        <f>Y68+Y69</f>
        <v>-4104337.7412557602</v>
      </c>
      <c r="AC71" s="100"/>
      <c r="AD71" s="104"/>
    </row>
    <row r="72" spans="1:31">
      <c r="K72" s="64">
        <f>K62-K71</f>
        <v>5.4750000000000005</v>
      </c>
      <c r="L72" s="64">
        <f>L68-L69</f>
        <v>0.99</v>
      </c>
      <c r="P72" s="13">
        <f>-P62-P67</f>
        <v>-99000</v>
      </c>
      <c r="Y72" s="64">
        <f>Y71/S68</f>
        <v>-6581.0501575469971</v>
      </c>
    </row>
    <row r="73" spans="1:31">
      <c r="I73" s="3"/>
      <c r="K73" s="64">
        <f>K71-K65</f>
        <v>-2.855</v>
      </c>
    </row>
    <row r="74" spans="1:31">
      <c r="H74">
        <v>1</v>
      </c>
      <c r="I74" s="64"/>
      <c r="L74">
        <f>K75/L76</f>
        <v>10</v>
      </c>
      <c r="P74" s="13"/>
    </row>
    <row r="75" spans="1:31">
      <c r="A75" s="98" t="s">
        <v>256</v>
      </c>
      <c r="B75" s="59" t="s">
        <v>2300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cm="1">
        <f t="array" ref="E75">_xll.BDP($B75&amp;" Index","opt_days_expire")</f>
        <v>0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0.11</v>
      </c>
      <c r="J75" s="19">
        <f>I75/S75</f>
        <v>1.7637815476381362E-4</v>
      </c>
      <c r="K75" s="36" cm="1">
        <f t="array" ref="K75">_xll.BDP($B75&amp;" Equity","bid")</f>
        <v>0.1</v>
      </c>
      <c r="L75" s="36" cm="1">
        <f t="array" ref="L75">_xll.BDP($B75&amp;" Equity","ask")</f>
        <v>0.11</v>
      </c>
      <c r="M75" s="40">
        <f>(L75/K75-1)</f>
        <v>9.9999999999999867E-2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825</v>
      </c>
      <c r="Q75" s="58">
        <f>P75/'Master P&amp;L'!$AD$5*10000</f>
        <v>3.6731394436090793E-3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623.66</v>
      </c>
      <c r="T75" s="53" cm="1">
        <f t="array" ref="T75">_xll.BDP(B75&amp;" Equity","OPT_STRIKE_PX")</f>
        <v>615</v>
      </c>
      <c r="U75" s="19">
        <f>T75/S75-1</f>
        <v>-1.3885771093223864E-2</v>
      </c>
      <c r="V75" s="37" cm="1">
        <f t="array" ref="V75">_xll.BDP($B75&amp;" Equity","ivol_mid")</f>
        <v>25.39545</v>
      </c>
      <c r="W75" s="38" cm="1">
        <f t="array" ref="W75">_xll.BDP(B75&amp;" Equity","DELTA_MID_RT")</f>
        <v>-4.2831428349018097E-2</v>
      </c>
      <c r="X75" s="48">
        <f>Y75/'Master P&amp;L'!$AE$5</f>
        <v>-8.9198012704899885E-5</v>
      </c>
      <c r="Y75" s="15">
        <f>IF(G75="Sell", S75*W75*-H75*O75/N75, S75*W75*H75*O75/N75)</f>
        <v>-200341.86453111467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4677450</v>
      </c>
      <c r="AD75" s="48">
        <f>AC75/'Master P&amp;L'!$AE$5</f>
        <v>2.0825364958193073E-3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2299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cm="1">
        <f t="array" ref="L76">_xll.BDP($B76&amp;" Equity","ask")</f>
        <v>0.01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623.66</v>
      </c>
      <c r="T76" s="53" cm="1">
        <f t="array" ref="T76">_xll.BDP(B76&amp;" Equity","OPT_STRIKE_PX")</f>
        <v>616</v>
      </c>
      <c r="U76" s="19">
        <f>T76/S76-1</f>
        <v>-1.2282333322643724E-2</v>
      </c>
      <c r="V76" s="37" cm="1">
        <f t="array" ref="V76">_xll.BDP($B76&amp;" Equity","ivol_mid")</f>
        <v>21.169789999999999</v>
      </c>
      <c r="W76" s="38" cm="1">
        <f t="array" ref="W76">_xll.BDP(B76&amp;" Equity","DELTA_MID_RT")</f>
        <v>-9.7928561270236969E-2</v>
      </c>
      <c r="X76" s="48">
        <f>Y76/'Master P&amp;L'!$AE$5</f>
        <v>2.0393980282834565E-4</v>
      </c>
      <c r="Y76" s="15">
        <f>IF(G76="Sell", S76*W76*-H76*O76/N76, S76*W76*H76*O76/N76)</f>
        <v>458055.94891346991</v>
      </c>
      <c r="Z76" s="15" cm="1">
        <f t="array" ref="Z76">_xll.BDP($B76&amp;" Equity","opt_theta")*H76*O76/N76</f>
        <v>0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4677450</v>
      </c>
      <c r="AD76" s="48">
        <f>AC76/'Master P&amp;L'!$AE$5</f>
        <v>2.0825364958193073E-3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1.1474179012344576E-4</v>
      </c>
      <c r="AC77" s="100" t="s">
        <v>229</v>
      </c>
      <c r="AD77" s="122">
        <f>AD75</f>
        <v>2.0825364958193073E-3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>
        <f>AVERAGE(K75:L75)-AVERAGE(K76:L76)</f>
        <v>9.5000000000000015E-2</v>
      </c>
      <c r="P78" s="100"/>
      <c r="Q78" s="108"/>
      <c r="S78" s="100"/>
      <c r="T78" s="102"/>
      <c r="W78" s="100"/>
      <c r="X78" s="122"/>
      <c r="Y78" s="15">
        <f>Y75+Y76</f>
        <v>257714.08438235524</v>
      </c>
      <c r="AC78" s="100"/>
      <c r="AD78" s="104"/>
    </row>
    <row r="79" spans="1:31">
      <c r="I79" s="64"/>
      <c r="K79" s="64">
        <f>K78-K71</f>
        <v>-0.88</v>
      </c>
      <c r="L79" s="64"/>
      <c r="N79" s="238">
        <f>K71-(K78*3)</f>
        <v>0.69</v>
      </c>
      <c r="W79" s="50">
        <f>W75-W76</f>
        <v>5.5097132921218872E-2</v>
      </c>
      <c r="Y79" s="64">
        <f>Y78/S75</f>
        <v>413.2284969091416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2330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06/02/2026</v>
      </c>
      <c r="E81" cm="1">
        <f t="array" ref="E81">_xll.BDP($B81&amp;" Index","opt_days_expire")</f>
        <v>14</v>
      </c>
      <c r="F81" t="str">
        <f>_xll.BDP(B81&amp;" Equity","QUOTED_CURRENCY_REALTIME")</f>
        <v>USD</v>
      </c>
      <c r="G81" s="105" t="s">
        <v>247</v>
      </c>
      <c r="H81" s="96">
        <v>550</v>
      </c>
      <c r="I81" s="97">
        <f>IF(G81="Buy",L81,K81)</f>
        <v>5.88</v>
      </c>
      <c r="J81" s="19">
        <f>I81/S81</f>
        <v>9.4282140910111282E-3</v>
      </c>
      <c r="K81" s="36">
        <f>_xll.BDP($B81&amp;" Equity","bid")</f>
        <v>5.85</v>
      </c>
      <c r="L81" s="36">
        <f>_xll.BDP($B81&amp;" Equity","ask")</f>
        <v>5.88</v>
      </c>
      <c r="M81" s="40">
        <f>(L81/K81-1)</f>
        <v>5.12820512820511E-3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323400</v>
      </c>
      <c r="Q81" s="58">
        <f>P81/'Master P&amp;L'!$AD$5*10000</f>
        <v>1.439870661894759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623.66</v>
      </c>
      <c r="T81" s="53" cm="1">
        <f t="array" ref="T81">_xll.BDP(B81&amp;" Equity","OPT_STRIKE_PX")</f>
        <v>616</v>
      </c>
      <c r="U81" s="19">
        <f>T81/S81-1</f>
        <v>-1.2282333322643724E-2</v>
      </c>
      <c r="V81" s="37" cm="1">
        <f t="array" ref="V81">_xll.BDP($B81&amp;" Equity","ivol_mid")</f>
        <v>19.176279999999998</v>
      </c>
      <c r="W81" s="38">
        <f>_xll.BDP(B81&amp;" Equity","DELTA_MID_RT")</f>
        <v>-0.35491076111793518</v>
      </c>
      <c r="X81" s="48">
        <f>Y81/'Master P&amp;L'!$AE$5</f>
        <v>-5.4201738271054583E-3</v>
      </c>
      <c r="Y81" s="15">
        <f>IF(G81="Sell", S81*W81*-H81*O81/N81, S81*W81*H81*O81/N81)</f>
        <v>-12173900.490334628</v>
      </c>
      <c r="Z81" s="15" cm="1">
        <f t="array" ref="Z81">_xll.BDP($B81&amp;" Equity","opt_theta")*H81*O81/N81</f>
        <v>-17368.010000000002</v>
      </c>
      <c r="AA81" s="19" cm="1">
        <f t="array" ref="AA81">_xll.BDP($B81&amp;" Equity","opt_theta")/I81</f>
        <v>-5.3704421768707482E-2</v>
      </c>
      <c r="AB81" s="36" t="str" cm="1">
        <f t="array" ref="AB81">_xll.BDP($C81&amp;" Equity","EXPECTED_REPORT_DT")</f>
        <v>#N/A N/A</v>
      </c>
      <c r="AC81" s="15">
        <f>S81*H81*O81/N81</f>
        <v>34301300</v>
      </c>
      <c r="AD81" s="48">
        <f>AC81/'Master P&amp;L'!$AE$5</f>
        <v>1.5271934302674921E-2</v>
      </c>
      <c r="AE81" t="str">
        <f>B81&amp;" -&gt; Buy to open "&amp;H81&amp;"x"</f>
        <v>QQQ US 02/06/26 P616 -&gt; Buy to open 550x</v>
      </c>
    </row>
    <row r="82" spans="1:38">
      <c r="A82" s="98" t="s">
        <v>256</v>
      </c>
      <c r="B82" s="59" t="s">
        <v>2301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21/01/2026</v>
      </c>
      <c r="E82" t="str" cm="1">
        <f t="array" ref="E82">_xll.BDP($B82&amp;" Equity","opt_days_expire")</f>
        <v>#N/A N/A</v>
      </c>
      <c r="F82" t="s">
        <v>194</v>
      </c>
      <c r="G82" s="105" t="s">
        <v>248</v>
      </c>
      <c r="H82" s="96">
        <f>H81</f>
        <v>550</v>
      </c>
      <c r="I82" s="97" t="str">
        <f>IF(G82="Buy",L82,K82)</f>
        <v>#N/A N/A</v>
      </c>
      <c r="J82" s="19" t="e">
        <f>I82/S82</f>
        <v>#VALUE!</v>
      </c>
      <c r="K82" s="36" t="str" cm="1">
        <f t="array" ref="K82">_xll.BDP($B82&amp;" Equity","bid")</f>
        <v>#N/A N/A</v>
      </c>
      <c r="L82" s="36" cm="1">
        <f t="array" ref="L82">_xll.BDP($B82&amp;" Equity","ask")</f>
        <v>0.01</v>
      </c>
      <c r="M82" s="40" t="e">
        <f>(L82/K82-1)</f>
        <v>#VALUE!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 t="e">
        <f>IF(G82="Buy",((I82/N82)*H82*O82),((I82/N82)*-H82*O82))</f>
        <v>#VALUE!</v>
      </c>
      <c r="Q82" s="58" t="e">
        <f>P82/'Master P&amp;L'!$AD$5*10000</f>
        <v>#VALUE!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623.66</v>
      </c>
      <c r="T82" s="53" cm="1">
        <f t="array" ref="T82">_xll.BDP(B82&amp;" Equity","OPT_STRIKE_PX")</f>
        <v>614</v>
      </c>
      <c r="U82" s="19">
        <f>T82/S82-1</f>
        <v>-1.5489208863803894E-2</v>
      </c>
      <c r="V82" s="37" cm="1">
        <f t="array" ref="V82">_xll.BDP($B82&amp;" Equity","ivol_mid")</f>
        <v>84.461179999999999</v>
      </c>
      <c r="W82" s="38" cm="1">
        <f t="array" ref="W82">_xll.BDP(B82&amp;" Equity","DELTA_MID_RT")</f>
        <v>-1.6759784892201424E-2</v>
      </c>
      <c r="X82" s="48">
        <f>Y82/'Master P&amp;L'!$AE$5</f>
        <v>2.5595433380066378E-4</v>
      </c>
      <c r="Y82" s="15">
        <f>IF(G82="Sell", S82*W82*-H82*O82/N82, S82*W82*H82*O82/N82)</f>
        <v>574882.40952286858</v>
      </c>
      <c r="Z82" s="15" cm="1">
        <f t="array" ref="Z82">_xll.BDP($B82&amp;" Equity","opt_theta")*H82*O82/N82</f>
        <v>0</v>
      </c>
      <c r="AA82" s="19" t="e" cm="1">
        <f t="array" ref="AA82">_xll.BDP($B82&amp;" Equity","opt_theta")/I82</f>
        <v>#VALUE!</v>
      </c>
      <c r="AB82" s="36" t="str" cm="1">
        <f t="array" ref="AB82">_xll.BDP($C82&amp;" Equity","EXPECTED_REPORT_DT")</f>
        <v>#N/A N/A</v>
      </c>
      <c r="AC82" s="15">
        <f>S82*H82*O82/N82</f>
        <v>34301300</v>
      </c>
      <c r="AD82" s="48">
        <f>AC82/'Master P&amp;L'!$AE$5</f>
        <v>1.5271934302674921E-2</v>
      </c>
      <c r="AE82" t="str">
        <f>B82&amp;" -&gt; Buy to open "&amp;H82&amp;"x"</f>
        <v>QQQ US 01/21/26 P614 -&gt; Buy to open 550x</v>
      </c>
    </row>
    <row r="83" spans="1:38">
      <c r="H83" s="100" t="s">
        <v>116</v>
      </c>
      <c r="I83" s="102" t="e">
        <f>I81-I82</f>
        <v>#VALUE!</v>
      </c>
      <c r="J83" s="100" t="s">
        <v>249</v>
      </c>
      <c r="K83" s="101" t="e">
        <f>K82/L81</f>
        <v>#VALUE!</v>
      </c>
      <c r="P83" s="100" t="s">
        <v>250</v>
      </c>
      <c r="Q83" s="108" t="e">
        <f>Q81+Q82</f>
        <v>#VALUE!</v>
      </c>
      <c r="S83" s="100" t="s">
        <v>251</v>
      </c>
      <c r="T83" s="102">
        <f>T81-T82</f>
        <v>2</v>
      </c>
      <c r="W83" s="100" t="s">
        <v>252</v>
      </c>
      <c r="X83" s="122">
        <f>X81+X82</f>
        <v>-5.1642194933047949E-3</v>
      </c>
      <c r="AC83" s="100" t="s">
        <v>229</v>
      </c>
      <c r="AD83" s="122">
        <f>AD81</f>
        <v>1.5271934302674921E-2</v>
      </c>
    </row>
    <row r="84" spans="1:38">
      <c r="H84" s="100" t="s">
        <v>253</v>
      </c>
      <c r="I84" s="102" t="e">
        <f>(T83-I83)/I83</f>
        <v>#VALUE!</v>
      </c>
      <c r="J84" s="100" t="s">
        <v>145</v>
      </c>
      <c r="K84" s="109">
        <f>AVERAGE(K81:L81)-AVERAGE(K82:L82)</f>
        <v>5.8550000000000004</v>
      </c>
      <c r="P84" s="100"/>
      <c r="Q84" s="108"/>
      <c r="S84" s="100"/>
      <c r="T84" s="102"/>
      <c r="W84" s="100"/>
      <c r="X84" s="122"/>
      <c r="Y84" s="15">
        <f>Y81+Y82</f>
        <v>-11599018.080811759</v>
      </c>
      <c r="AC84" s="100"/>
      <c r="AD84" s="104"/>
    </row>
    <row r="85" spans="1:38">
      <c r="K85" s="64">
        <f>K84-K78</f>
        <v>5.7600000000000007</v>
      </c>
      <c r="Y85" s="64">
        <f>Y84/S81</f>
        <v>-18598.303692415353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-241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-241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-298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-298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-298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-298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-427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-371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-245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-245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-400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-400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-396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-210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-210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-210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-126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-126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-0.10876447407407407</v>
      </c>
    </row>
    <row r="153" spans="1:33">
      <c r="A153" s="98"/>
      <c r="B153" s="321" t="s">
        <v>2283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14</v>
      </c>
      <c r="F153" t="str" cm="1">
        <f t="array" ref="F153">_xll.BDP(B153&amp;" Index","QUOTED_CURRENCY_REALTIME")</f>
        <v>USD</v>
      </c>
      <c r="G153" s="105" t="s">
        <v>247</v>
      </c>
      <c r="H153" s="96">
        <v>40</v>
      </c>
      <c r="I153" s="97">
        <f>IF(G153="Buy",L153,K153)</f>
        <v>101.25</v>
      </c>
      <c r="J153" s="19">
        <f>I153/S153</f>
        <v>3.9286441812414518E-3</v>
      </c>
      <c r="K153" s="36" cm="1">
        <f t="array" ref="K153">_xll.BDP($B153&amp;" Index","bid")</f>
        <v>99.75</v>
      </c>
      <c r="L153" s="36" cm="1">
        <f t="array" ref="L153">_xll.BDP($B153&amp;" Index","ask")</f>
        <v>101.25</v>
      </c>
      <c r="M153" s="40">
        <f>(L153/K153-1)</f>
        <v>1.5037593984962516E-2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81000</v>
      </c>
      <c r="Q153" s="58">
        <f>P153/'Master P&amp;L'!$AD$5*10000</f>
        <v>0.36063550900889141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25772.25</v>
      </c>
      <c r="T153" s="53" cm="1">
        <f t="array" ref="T153">_xll.BDP(B153&amp;" Index","OPT_STRIKE_PX")</f>
        <v>24700</v>
      </c>
      <c r="U153" s="40">
        <f>T153/S153-1</f>
        <v>-4.1604826897147174E-2</v>
      </c>
      <c r="V153" s="37" cm="1">
        <f t="array" ref="V153">_xll.BDP($B153&amp;" Index","ivol_mid")</f>
        <v>23.033190999999999</v>
      </c>
      <c r="W153" s="38" cm="1">
        <f t="array" ref="W153">_xll.BDP(B153&amp;" Index","DELTA_MID_RT")</f>
        <v>-0.16291241347789764</v>
      </c>
      <c r="X153" s="48">
        <f>Y153/'Master P&amp;L'!$AE$5</f>
        <v>-1.4954777894877454E-3</v>
      </c>
      <c r="Y153" s="15">
        <f>IF(G153="Sell", S153*W153*-H153*O153/N153, S153*W153*H153*O153/N153)</f>
        <v>-3358895.558604598</v>
      </c>
      <c r="Z153" s="15" cm="1">
        <f t="array" ref="Z153">_xll.BDP($B153&amp;" Index","opt_theta")*H153*O153/N153</f>
        <v>-8809.9223999999995</v>
      </c>
      <c r="AA153" s="126" cm="1">
        <f t="array" ref="AA153">_xll.BDP($B153&amp;" Index","opt_theta")/I153</f>
        <v>-0.10876447407407408</v>
      </c>
      <c r="AB153" s="36" t="str" cm="1">
        <f t="array" ref="AB153">_xll.BDP($C153&amp;" Index","EXPECTED_REPORT_DT")</f>
        <v>#N/A Field Not Applicable</v>
      </c>
      <c r="AC153" s="15">
        <f>S153*H153*O153/N153</f>
        <v>20617800</v>
      </c>
      <c r="AD153" s="48">
        <f>AC153/'Master P&amp;L'!$AE$5</f>
        <v>9.1796429600537292E-3</v>
      </c>
      <c r="AG153" t="str">
        <f>B153&amp;" -&gt; Buy to open "&amp;H153&amp;"x"</f>
        <v>1OG6P 24700 -&gt; Buy to open 40x</v>
      </c>
    </row>
    <row r="154" spans="1:33">
      <c r="A154" s="98"/>
      <c r="B154" s="321" t="s">
        <v>2280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14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144.5</v>
      </c>
      <c r="J154" s="19">
        <f>I154/S154</f>
        <v>5.606805769771751E-3</v>
      </c>
      <c r="K154" s="36" cm="1">
        <f t="array" ref="K154">_xll.BDP($B154&amp;" Index","bid")</f>
        <v>144.5</v>
      </c>
      <c r="L154" s="36" cm="1">
        <f t="array" ref="L154">_xll.BDP($B154&amp;" Index","ask")</f>
        <v>146</v>
      </c>
      <c r="M154" s="40">
        <f>(L154/K154-1)</f>
        <v>1.0380622837370179E-2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-115600</v>
      </c>
      <c r="Q154" s="58">
        <f>P154/'Master P&amp;L'!$AD$5*10000</f>
        <v>-0.51468475112873879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25772.25</v>
      </c>
      <c r="T154" s="53" cm="1">
        <f t="array" ref="T154">_xll.BDP(B154&amp;" Index","OPT_STRIKE_PX")</f>
        <v>25000</v>
      </c>
      <c r="U154" s="40">
        <f>T154/S154-1</f>
        <v>-2.9964399693468757E-2</v>
      </c>
      <c r="V154" s="37" cm="1">
        <f t="array" ref="V154">_xll.BDP($B154&amp;" Index","ivol_mid")</f>
        <v>21.784098</v>
      </c>
      <c r="W154" s="38" cm="1">
        <f t="array" ref="W154">_xll.BDP(B154&amp;" Index","DELTA_MID_RT")</f>
        <v>-0.22708186507225037</v>
      </c>
      <c r="X154" s="48">
        <f>Y154/'Master P&amp;L'!$AE$5</f>
        <v>2.0845304440663538E-3</v>
      </c>
      <c r="Y154" s="15">
        <f>IF(G154="Sell", S154*W154*-H154*O154/N154, S154*W154*H154*O154/N154)</f>
        <v>4681928.4776866436</v>
      </c>
      <c r="Z154" s="15" cm="1">
        <f t="array" ref="Z154">_xll.BDP($B154&amp;" Index","opt_theta")*H154*O154/N154</f>
        <v>-10069.964</v>
      </c>
      <c r="AA154" s="126" cm="1">
        <f t="array" ref="AA154">_xll.BDP($B154&amp;" Index","opt_theta")/I154</f>
        <v>-8.7110415224913501E-2</v>
      </c>
      <c r="AB154" s="36" t="str" cm="1">
        <f t="array" ref="AB154">_xll.BDP($C154&amp;" Index","EXPECTED_REPORT_DT")</f>
        <v>#N/A Field Not Applicable</v>
      </c>
      <c r="AC154" s="15">
        <f>S154*H154*O154/N154</f>
        <v>20617800</v>
      </c>
      <c r="AD154" s="48">
        <f>AC154/'Master P&amp;L'!$AE$5</f>
        <v>9.1796429600537292E-3</v>
      </c>
      <c r="AG154" t="str">
        <f>B154&amp;" -&gt; Buy to open "&amp;H154&amp;"x"</f>
        <v>1OG6P 25000 -&gt; Buy to open 40x</v>
      </c>
    </row>
    <row r="155" spans="1:33">
      <c r="H155" s="100" t="s">
        <v>116</v>
      </c>
      <c r="I155" s="102">
        <f>I153-I154</f>
        <v>-43.25</v>
      </c>
      <c r="J155" s="100" t="s">
        <v>249</v>
      </c>
      <c r="K155" s="101">
        <f>K154/L153</f>
        <v>1.4271604938271605</v>
      </c>
      <c r="O155" s="164"/>
      <c r="P155" s="100" t="s">
        <v>250</v>
      </c>
      <c r="Q155" s="108">
        <f>Q153+Q154</f>
        <v>-0.15404924211984738</v>
      </c>
      <c r="S155" s="100" t="s">
        <v>251</v>
      </c>
      <c r="T155" s="102">
        <f>T154-T153</f>
        <v>300</v>
      </c>
      <c r="W155" s="100" t="s">
        <v>252</v>
      </c>
      <c r="X155" s="122">
        <f>X153+X154</f>
        <v>5.890526545786084E-4</v>
      </c>
      <c r="Y155" s="13">
        <f>Y153+Y154</f>
        <v>1323032.9190820456</v>
      </c>
      <c r="AC155" s="100" t="s">
        <v>229</v>
      </c>
      <c r="AD155" s="122">
        <f>AD153</f>
        <v>9.1796429600537292E-3</v>
      </c>
    </row>
    <row r="156" spans="1:33">
      <c r="H156" s="100" t="s">
        <v>253</v>
      </c>
      <c r="I156" s="102">
        <f>(T155-I155)/I155</f>
        <v>-7.9364161849710984</v>
      </c>
      <c r="J156" s="100" t="s">
        <v>145</v>
      </c>
      <c r="K156" s="109">
        <f>AVERAGE(K153:L153)-AVERAGE(K154:L154)</f>
        <v>-44.75</v>
      </c>
      <c r="O156" s="164"/>
      <c r="P156" s="100"/>
      <c r="Q156" s="108"/>
      <c r="S156" s="100"/>
      <c r="T156" s="102"/>
      <c r="W156" s="100"/>
      <c r="X156" s="122"/>
      <c r="Y156" s="13">
        <f>Y155/S153</f>
        <v>51.335561275482178</v>
      </c>
      <c r="AC156" s="100"/>
      <c r="AD156" s="104"/>
    </row>
    <row r="157" spans="1:33">
      <c r="K157" s="64">
        <f>K153-K154</f>
        <v>-44.75</v>
      </c>
      <c r="L157" s="64">
        <f>L153-L154</f>
        <v>-44.75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2129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6920.51</v>
      </c>
      <c r="T160" s="53" cm="1">
        <f t="array" ref="T160">_xll.BDP(B160&amp;" Index","OPT_STRIKE_PX")</f>
        <v>6950</v>
      </c>
      <c r="U160" s="40">
        <f>T160/S160-1</f>
        <v>4.2612466422271567E-3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69205100</v>
      </c>
      <c r="AD160" s="48">
        <f>AC160/'Master P&amp;L'!$AE$5</f>
        <v>3.0812119091989172E-2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3.0812119091989172E-2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17</v>
      </c>
    </row>
    <row r="168" spans="1:37">
      <c r="A168">
        <v>300</v>
      </c>
      <c r="H168" s="276">
        <v>1</v>
      </c>
      <c r="I168" s="64">
        <f>I170-I171</f>
        <v>17</v>
      </c>
      <c r="K168" s="129"/>
    </row>
    <row r="169" spans="1:37">
      <c r="A169" s="237">
        <v>1</v>
      </c>
      <c r="B169" s="384" t="s">
        <v>2068</v>
      </c>
      <c r="C169" t="str" cm="1">
        <f t="array" ref="C169">_xll.BDP(B169&amp;" Equity","OPT_UNDL_TICKER")</f>
        <v>META US</v>
      </c>
      <c r="D169" s="64">
        <f>A169*AVERAGE(K169:L169)</f>
        <v>16.350000000000001</v>
      </c>
      <c r="E169" cm="1">
        <f t="array" ref="E169">_xll.BDP($B169&amp;" Index","opt_days_expire")</f>
        <v>84</v>
      </c>
      <c r="F169" t="str" cm="1">
        <f t="array" ref="F169">_xll.BDP(B169&amp;" Equity","QUOTED_CURRENCY_REALTIME")</f>
        <v>USD</v>
      </c>
      <c r="G169" s="105" t="s">
        <v>248</v>
      </c>
      <c r="H169" s="131">
        <f>H170</f>
        <v>40</v>
      </c>
      <c r="I169" s="97">
        <f>IF(G169="Buy",L169,K169)</f>
        <v>16.25</v>
      </c>
      <c r="J169" s="19">
        <f>I169/S169</f>
        <v>2.4728556537089032E-2</v>
      </c>
      <c r="K169" s="36" cm="1">
        <f t="array" ref="K169">_xll.BDP($B169&amp;" Equity","bid")</f>
        <v>16.25</v>
      </c>
      <c r="L169" s="36" cm="1">
        <f t="array" ref="L169">_xll.BDP($B169&amp;" Equity","ask")</f>
        <v>16.45</v>
      </c>
      <c r="M169" s="40">
        <f>(L169/K169-1)</f>
        <v>1.2307692307692353E-2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-65000</v>
      </c>
      <c r="Q169" s="58">
        <f>P169/'Master P&amp;L'!$AD$5*10000</f>
        <v>-0.28939886525404868</v>
      </c>
      <c r="R169" s="37" cm="1">
        <f t="array" ref="R169">_xll.BDP($C169&amp;" Equity","EST_PE_NXT_YR")*(T169/S169)</f>
        <v>22.184671311899681</v>
      </c>
      <c r="S169" s="36" cm="1">
        <f t="array" ref="S169">_xll.BDP(C169&amp;" Equity","LAST_PRICE")</f>
        <v>657.13499999999999</v>
      </c>
      <c r="T169" s="53" cm="1">
        <f t="array" ref="T169">_xll.BDP(B169&amp;" Equity","OPT_STRIKE_PX")</f>
        <v>750</v>
      </c>
      <c r="U169" s="40">
        <f>T169/S169-1</f>
        <v>0.14131799401949374</v>
      </c>
      <c r="V169" s="37" cm="1">
        <f t="array" ref="V169">_xll.BDP($B169&amp;" Equity","ivol_mid")</f>
        <v>35.976430000000001</v>
      </c>
      <c r="W169" s="38" cm="1">
        <f t="array" ref="W169">_xll.BDP(B169&amp;" Equity","DELTA_MID_RT")</f>
        <v>0.26160073280334473</v>
      </c>
      <c r="X169" s="48">
        <f>Y169/'Master P&amp;L'!$AE$5</f>
        <v>-3.061519385871422E-4</v>
      </c>
      <c r="Y169" s="15">
        <f>IF(G169="Sell", S169*W169*-H169*O169/N169, S169*W169*H169*O169/N169)</f>
        <v>-687627.99020290375</v>
      </c>
      <c r="Z169" s="15" cm="1">
        <f t="array" ref="Z169">_xll.BDP($B169&amp;" Equity","opt_theta")*H169*O169/N169</f>
        <v>-891.52799999999991</v>
      </c>
      <c r="AA169" s="19" cm="1">
        <f t="array" ref="AA169">_xll.BDP($B169&amp;" Equity","opt_theta")/I169</f>
        <v>-1.3715815384615384E-2</v>
      </c>
      <c r="AB169" s="36" t="str" cm="1">
        <f t="array" ref="AB169">_xll.BDP($C169&amp;" Equity","EXPECTED_REPORT_DT")</f>
        <v>28/01/2026</v>
      </c>
      <c r="AC169" s="15">
        <f>S169*H169*O169/N169</f>
        <v>2628540</v>
      </c>
      <c r="AD169" s="19">
        <f>AC169/'Master P&amp;L'!$AE$5</f>
        <v>1.1703022973459647E-3</v>
      </c>
      <c r="AE169" t="str">
        <f>B169  &amp; " - Buy to open " &amp;  "-" &amp; H169 &amp;"x"</f>
        <v>META US 04/17/26 C750 - Buy to open -40x</v>
      </c>
      <c r="AK169" s="59" t="s">
        <v>273</v>
      </c>
    </row>
    <row r="170" spans="1:37">
      <c r="A170" s="237">
        <v>2</v>
      </c>
      <c r="B170" s="384" t="s">
        <v>2069</v>
      </c>
      <c r="C170" t="str" cm="1">
        <f t="array" ref="C170">_xll.BDP(B170&amp;" Equity","OPT_UNDL_TICKER")</f>
        <v>META US</v>
      </c>
      <c r="D170" s="64">
        <f>A170*AVERAGE(K170:L170)</f>
        <v>66.7</v>
      </c>
      <c r="E170" cm="1">
        <f t="array" ref="E170">_xll.BDP($B170&amp;" Index","opt_days_expire")</f>
        <v>84</v>
      </c>
      <c r="F170" t="str" cm="1">
        <f t="array" ref="F170">_xll.BDP(B170&amp;" Equity","QUOTED_CURRENCY_REALTIME")</f>
        <v>USD</v>
      </c>
      <c r="G170" s="105" t="s">
        <v>247</v>
      </c>
      <c r="H170" s="131">
        <v>40</v>
      </c>
      <c r="I170" s="97">
        <f>IF(G170="Buy",L170,K170)</f>
        <v>33.5</v>
      </c>
      <c r="J170" s="19">
        <f>I170/S170</f>
        <v>5.0978870399537385E-2</v>
      </c>
      <c r="K170" s="36" cm="1">
        <f t="array" ref="K170">_xll.BDP($B170&amp;" Equity","bid")</f>
        <v>33.200000000000003</v>
      </c>
      <c r="L170" s="36" cm="1">
        <f t="array" ref="L170">_xll.BDP($B170&amp;" Equity","ask")</f>
        <v>33.5</v>
      </c>
      <c r="M170" s="40">
        <f>(L170/K170-1)</f>
        <v>9.0361445783131433E-3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134000</v>
      </c>
      <c r="Q170" s="58">
        <f>P170/'Master P&amp;L'!$AD$5*10000</f>
        <v>0.59660689144680801</v>
      </c>
      <c r="R170" s="37" cm="1">
        <f t="array" ref="R170">_xll.BDP($C170&amp;" Equity","EST_PE_NXT_YR")*(T170/S170)</f>
        <v>20.409897606947705</v>
      </c>
      <c r="S170" s="36" cm="1">
        <f t="array" ref="S170">_xll.BDP(C170&amp;" Equity","LAST_PRICE")</f>
        <v>657.13499999999999</v>
      </c>
      <c r="T170" s="53" cm="1">
        <f t="array" ref="T170">_xll.BDP(B170&amp;" Equity","OPT_STRIKE_PX")</f>
        <v>690</v>
      </c>
      <c r="U170" s="40">
        <f>T170/S170-1</f>
        <v>5.0012554497934181E-2</v>
      </c>
      <c r="V170" s="37" cm="1">
        <f t="array" ref="V170">_xll.BDP($B170&amp;" Equity","ivol_mid")</f>
        <v>36.052399999999999</v>
      </c>
      <c r="W170" s="38" cm="1">
        <f t="array" ref="W170">_xll.BDP(B170&amp;" Equity","DELTA_MID_RT")</f>
        <v>0.44001784920692444</v>
      </c>
      <c r="X170" s="48">
        <f>Y170/'Master P&amp;L'!$AE$5</f>
        <v>5.1495389980009399E-4</v>
      </c>
      <c r="Y170" s="15">
        <f>IF(G170="Sell", S170*W170*-H170*O170/N170, S170*W170*H170*O170/N170)</f>
        <v>1156604.5173543692</v>
      </c>
      <c r="Z170" s="15" cm="1">
        <f t="array" ref="Z170">_xll.BDP($B170&amp;" Equity","opt_theta")*H170*O170/N170</f>
        <v>-1057.364</v>
      </c>
      <c r="AA170" s="19" cm="1">
        <f t="array" ref="AA170">_xll.BDP($B170&amp;" Equity","opt_theta")/I170</f>
        <v>-7.8907761194029844E-3</v>
      </c>
      <c r="AB170" s="36" t="str" cm="1">
        <f t="array" ref="AB170">_xll.BDP($C170&amp;" Equity","EXPECTED_REPORT_DT")</f>
        <v>28/01/2026</v>
      </c>
      <c r="AC170" s="15">
        <f>S170*H170*O170/N170</f>
        <v>2628540</v>
      </c>
      <c r="AD170" s="48">
        <f>AC170/'Master P&amp;L'!$AE$5</f>
        <v>1.1703022973459647E-3</v>
      </c>
      <c r="AE170" t="str">
        <f>B170&amp;" -&gt; Buy to open "&amp;H170&amp;"x"</f>
        <v>META US 04/17/26 C690 -&gt; Buy to open 40x</v>
      </c>
      <c r="AK170" t="s">
        <v>274</v>
      </c>
    </row>
    <row r="171" spans="1:37">
      <c r="A171" s="237">
        <v>2</v>
      </c>
      <c r="B171" s="384" t="s">
        <v>2070</v>
      </c>
      <c r="C171" t="str" cm="1">
        <f t="array" ref="C171">_xll.BDP(B171&amp;" Equity","OPT_UNDL_TICKER")</f>
        <v>META US</v>
      </c>
      <c r="D171" s="64">
        <f>A171*AVERAGE(K171:L171)</f>
        <v>33.25</v>
      </c>
      <c r="E171" cm="1">
        <f t="array" ref="E171">_xll.BDP($B171&amp;" Index","opt_days_expire")</f>
        <v>84</v>
      </c>
      <c r="F171" t="str" cm="1">
        <f t="array" ref="F171">_xll.BDP(B171&amp;" Equity","QUOTED_CURRENCY_REALTIME")</f>
        <v>USD</v>
      </c>
      <c r="G171" s="105" t="s">
        <v>248</v>
      </c>
      <c r="H171" s="131">
        <f>H170</f>
        <v>40</v>
      </c>
      <c r="I171" s="97">
        <f>IF(G171="Buy",L171,K171)</f>
        <v>16.5</v>
      </c>
      <c r="J171" s="19">
        <f>I171/S171</f>
        <v>2.5108995868428862E-2</v>
      </c>
      <c r="K171" s="36" cm="1">
        <f t="array" ref="K171">_xll.BDP($B171&amp;" Equity","bid")</f>
        <v>16.5</v>
      </c>
      <c r="L171" s="36" cm="1">
        <f t="array" ref="L171">_xll.BDP($B171&amp;" Equity","ask")</f>
        <v>16.75</v>
      </c>
      <c r="M171" s="40">
        <f>(L171/K171-1)</f>
        <v>1.5151515151515138E-2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-66000</v>
      </c>
      <c r="Q171" s="58">
        <f>P171/'Master P&amp;L'!$AD$5*10000</f>
        <v>-0.29385115548872631</v>
      </c>
      <c r="R171" s="37" cm="1">
        <f t="array" ref="R171">_xll.BDP($C171&amp;" Equity","EST_PE_NXT_YR")*(T171/S171)</f>
        <v>17.451941432027748</v>
      </c>
      <c r="S171" s="36" cm="1">
        <f t="array" ref="S171">_xll.BDP(C171&amp;" Equity","LAST_PRICE")</f>
        <v>657.13499999999999</v>
      </c>
      <c r="T171" s="53" cm="1">
        <f t="array" ref="T171">_xll.BDP(B171&amp;" Equity","OPT_STRIKE_PX")</f>
        <v>590</v>
      </c>
      <c r="U171" s="40">
        <f>T171/S171-1</f>
        <v>-0.10216317803799824</v>
      </c>
      <c r="V171" s="37" cm="1">
        <f t="array" ref="V171">_xll.BDP(B171&amp;" Equity","ivol_mid")</f>
        <v>37.084919999999997</v>
      </c>
      <c r="W171" s="38" cm="1">
        <f t="array" ref="W171">_xll.BDP(B171&amp;" Equity","DELTA_MID_RT")</f>
        <v>-0.22808891534805298</v>
      </c>
      <c r="X171" s="48">
        <f>Y171/'Master P&amp;L'!$AE$5</f>
        <v>2.6693298163097561E-4</v>
      </c>
      <c r="Y171" s="15">
        <f>IF(G171="Sell", S171*W171*-H171*O171/N171, S171*W171*H171*O171/N171)</f>
        <v>599540.83754897106</v>
      </c>
      <c r="Z171" s="15" cm="1">
        <f t="array" ref="Z171">_xll.BDP($B171&amp;" Equity","opt_theta")*H171*O171/N171</f>
        <v>-840.91199999999992</v>
      </c>
      <c r="AA171" s="19" cm="1">
        <f t="array" ref="AA171">_xll.BDP($B171&amp;" Equity","opt_theta")/I171</f>
        <v>-1.2741090909090909E-2</v>
      </c>
      <c r="AB171" s="36" t="str" cm="1">
        <f t="array" ref="AB171">_xll.BDP($C171&amp;" Equity","EXPECTED_REPORT_DT")</f>
        <v>28/01/2026</v>
      </c>
      <c r="AC171" s="15">
        <f>S171*H171*O171/N171</f>
        <v>2628540</v>
      </c>
      <c r="AD171" s="19">
        <f>AC171/'Master P&amp;L'!$AE$5</f>
        <v>1.1703022973459647E-3</v>
      </c>
      <c r="AE171" t="str">
        <f>B171  &amp; " -&gt; Sell to open " &amp;   H171 &amp;"x"</f>
        <v>META US 04/17/26 P590 -&gt; Sell to open 40x</v>
      </c>
      <c r="AK171" t="s">
        <v>275</v>
      </c>
    </row>
    <row r="172" spans="1:37">
      <c r="H172" s="100" t="s">
        <v>116</v>
      </c>
      <c r="I172" s="102">
        <f>I170-I169-I171</f>
        <v>0.75</v>
      </c>
      <c r="J172" s="100" t="s">
        <v>249</v>
      </c>
      <c r="K172" s="101">
        <f>K171/L170</f>
        <v>0.4925373134328358</v>
      </c>
      <c r="P172" s="130">
        <f>P170+P171+P169</f>
        <v>3000</v>
      </c>
      <c r="Q172" s="58">
        <f>P172/'Master P&amp;L'!$AD$5*10000</f>
        <v>1.3356870704033014E-2</v>
      </c>
      <c r="S172" s="100" t="s">
        <v>251</v>
      </c>
      <c r="T172" s="102"/>
      <c r="W172" s="100" t="s">
        <v>252</v>
      </c>
      <c r="X172" s="122">
        <f>X170+X171+X169</f>
        <v>4.757349428439274E-4</v>
      </c>
      <c r="AC172" s="100" t="s">
        <v>229</v>
      </c>
      <c r="AD172" s="122">
        <f>AD170</f>
        <v>1.1703022973459647E-3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0.375</v>
      </c>
      <c r="P173" s="100"/>
      <c r="Q173" s="108"/>
      <c r="S173" s="100"/>
      <c r="T173" s="102"/>
      <c r="W173" s="100"/>
      <c r="X173" s="122"/>
      <c r="Y173" s="13">
        <f>(Y169+Y170+Y171)/S170</f>
        <v>1626.0241270065308</v>
      </c>
      <c r="AC173" s="100"/>
      <c r="AD173" s="104"/>
    </row>
    <row r="174" spans="1:37">
      <c r="D174" s="64"/>
      <c r="H174" s="96"/>
      <c r="I174" s="64">
        <f>(I170*A170)-(I171*A171)-(I169*A169)</f>
        <v>17.75</v>
      </c>
      <c r="K174" s="64"/>
      <c r="N174" s="36"/>
      <c r="O174" s="162"/>
      <c r="P174" s="15"/>
      <c r="Q174" s="58"/>
    </row>
    <row r="175" spans="1:37">
      <c r="I175" s="21">
        <f>I171/I170</f>
        <v>0.4925373134328358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2332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35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31.5</v>
      </c>
      <c r="J180" s="19">
        <f>I180/S180</f>
        <v>4.7935355748818735E-2</v>
      </c>
      <c r="K180" s="36" cm="1">
        <f t="array" ref="K180">_xll.BDP($B180&amp;" Equity","bid")</f>
        <v>31.1</v>
      </c>
      <c r="L180" s="36" cm="1">
        <f t="array" ref="L180">_xll.BDP($B180&amp;" Equity","ask")</f>
        <v>31.5</v>
      </c>
      <c r="M180" s="40">
        <f>(L180/K180-1)</f>
        <v>1.2861736334405016E-2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110250</v>
      </c>
      <c r="Q180" s="58">
        <f>P180/'Master P&amp;L'!$AD$5*10000</f>
        <v>0.49086499837321329</v>
      </c>
      <c r="R180" s="37" cm="1">
        <f t="array" ref="R180">_xll.BDP($C180&amp;" Equity","EST_PE_NXT_YR")*(T180/S180)</f>
        <v>19.522510754471718</v>
      </c>
      <c r="S180" s="36" cm="1">
        <f t="array" ref="S180">_xll.BDP(C180&amp;" Equity","LAST_PRICE")</f>
        <v>657.13499999999999</v>
      </c>
      <c r="T180" s="53" cm="1">
        <f t="array" ref="T180">_xll.BDP(B180&amp;" Equity","OPT_STRIKE_PX")</f>
        <v>660</v>
      </c>
      <c r="U180" s="40">
        <f>T180/S180-1</f>
        <v>4.359834737154511E-3</v>
      </c>
      <c r="V180" s="37" cm="1">
        <f t="array" ref="V180">_xll.BDP(B180&amp;" Equity","ivol_mid")</f>
        <v>39.720039999999997</v>
      </c>
      <c r="W180" s="38" cm="1">
        <f t="array" ref="W180">_xll.BDP(B180&amp;" Equity","DELTA_MID_RT")</f>
        <v>0.5214880108833313</v>
      </c>
      <c r="X180" s="48">
        <f>Y180/'Master P&amp;L'!$AE$5</f>
        <v>5.3401129002824755E-4</v>
      </c>
      <c r="Y180" s="15">
        <f>IF(G180="Sell", S180*W180*-H180*O180/N180, S180*W180*H180*O180/N180)</f>
        <v>1199408.0841113627</v>
      </c>
      <c r="Z180" s="15" cm="1">
        <f t="array" ref="Z180">_xll.BDP($B180&amp;" Equity","opt_theta")*H180*O180/N180</f>
        <v>-1627.0870000000002</v>
      </c>
      <c r="AA180" s="19" cm="1">
        <f t="array" ref="AA180">_xll.BDP($B180&amp;" Equity","opt_theta")/I180</f>
        <v>-1.4758158730158731E-2</v>
      </c>
      <c r="AB180" s="36" t="str" cm="1">
        <f t="array" ref="AB180">_xll.BDP($C180&amp;" Equity","EXPECTED_REPORT_DT")</f>
        <v>28/01/2026</v>
      </c>
      <c r="AC180" s="15">
        <f>S180*H180*O180/N180</f>
        <v>2299972.5</v>
      </c>
      <c r="AD180" s="19">
        <f>AC180/'Master P&amp;L'!$AE$5</f>
        <v>1.024014510177719E-3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6.3</v>
      </c>
      <c r="J185" s="18">
        <f>T186-T187</f>
        <v>15</v>
      </c>
      <c r="K185" s="276">
        <f>(J185-I185)/I185</f>
        <v>1.3809523809523809</v>
      </c>
      <c r="Q185" s="276">
        <f>Q187+Q186</f>
        <v>5.6098856956938663E-2</v>
      </c>
    </row>
    <row r="186" spans="1:37">
      <c r="A186" s="237">
        <v>1</v>
      </c>
      <c r="B186" s="132" t="s">
        <v>2090</v>
      </c>
      <c r="C186" t="str" cm="1">
        <f t="array" ref="C186">_xll.BDP(B186&amp;" Equity","OPT_UNDL_TICKER")</f>
        <v>NFLX US</v>
      </c>
      <c r="D186" s="64">
        <f>A186*AVERAGE(K186:L186)</f>
        <v>0.40500000000000003</v>
      </c>
      <c r="E186" cm="1">
        <f t="array" ref="E186">_xll.BDP($B186&amp;" Index","opt_days_expire")</f>
        <v>56</v>
      </c>
      <c r="F186" t="str" cm="1">
        <f t="array" ref="F186">_xll.BDP(B186&amp;" Equity","QUOTED_CURRENCY_REALTIME")</f>
        <v>USD</v>
      </c>
      <c r="G186" s="105" t="s">
        <v>248</v>
      </c>
      <c r="H186" s="131">
        <f>H187*H185</f>
        <v>20</v>
      </c>
      <c r="I186" s="97">
        <f>IF(G186="Buy",L186,K186)</f>
        <v>0.4</v>
      </c>
      <c r="J186" s="19">
        <f>I186/S186</f>
        <v>4.6780890006432379E-3</v>
      </c>
      <c r="K186" s="36" cm="1">
        <f t="array" ref="K186">_xll.BDP($B186&amp;" Equity","bid")</f>
        <v>0.4</v>
      </c>
      <c r="L186" s="36" cm="1">
        <f t="array" ref="L186">_xll.BDP($B186&amp;" Equity","ask")</f>
        <v>0.41</v>
      </c>
      <c r="M186" s="40">
        <f>(L186/K186-1)</f>
        <v>2.4999999999999911E-2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-800</v>
      </c>
      <c r="Q186" s="58">
        <f>P186/'Master P&amp;L'!$AD$5*10000</f>
        <v>-3.561832187742137E-3</v>
      </c>
      <c r="R186" s="37" cm="1">
        <f t="array" ref="R186">_xll.BDP($C186&amp;" Equity","EST_PE_NXT_YR")*(T186/S186)</f>
        <v>27.241396732530994</v>
      </c>
      <c r="S186" s="36" cm="1">
        <f t="array" ref="S186">_xll.BDP(C186&amp;" Equity","LAST_PRICE")</f>
        <v>85.504999999999995</v>
      </c>
      <c r="T186" s="53" cm="1">
        <f t="array" ref="T186">_xll.BDP(B186&amp;" Equity","OPT_STRIKE_PX")</f>
        <v>105</v>
      </c>
      <c r="U186" s="40">
        <f>T186/S186-1</f>
        <v>0.22799836266884976</v>
      </c>
      <c r="V186" s="37" cm="1">
        <f t="array" ref="V186">_xll.BDP($B186&amp;" Equity","ivol_mid")</f>
        <v>34.122439999999997</v>
      </c>
      <c r="W186" s="38" cm="1">
        <f t="array" ref="W186">_xll.BDP(B186&amp;" Equity","DELTA_MID_RT")</f>
        <v>8.121982216835022E-2</v>
      </c>
      <c r="X186" s="48">
        <f>Y186/'Master P&amp;L'!$AE$5</f>
        <v>-6.1839647950721891E-6</v>
      </c>
      <c r="Y186" s="15">
        <f>IF(G186="Sell", S186*W186*-H186*O186/N186, S186*W186*H186*O186/N186)</f>
        <v>-13889.401789009571</v>
      </c>
      <c r="Z186" s="15" cm="1">
        <f t="array" ref="Z186">_xll.BDP($B186&amp;" Equity","opt_theta")*H186*O186/N186</f>
        <v>-28.750000000000004</v>
      </c>
      <c r="AA186" s="19" cm="1">
        <f t="array" ref="AA186">_xll.BDP($B186&amp;" Equity","opt_theta")/I186</f>
        <v>-3.5937499999999997E-2</v>
      </c>
      <c r="AB186" s="36" t="str" cm="1">
        <f t="array" ref="AB186">_xll.BDP($C186&amp;" Equity","EXPECTED_REPORT_DT")</f>
        <v>17/04/2026</v>
      </c>
      <c r="AC186" s="15">
        <f>S186*H186*O186/N186</f>
        <v>171010</v>
      </c>
      <c r="AD186" s="19">
        <f>AC186/'Master P&amp;L'!$AE$5</f>
        <v>7.6138615303222864E-5</v>
      </c>
      <c r="AE186" t="str">
        <f>B186  &amp; " - Buy to open " &amp;  "-" &amp; H186 &amp;"x"</f>
        <v>NFLX US 03/20/26 C105 - Buy to open -20x</v>
      </c>
      <c r="AK186" s="59"/>
    </row>
    <row r="187" spans="1:37">
      <c r="A187" s="237">
        <v>2</v>
      </c>
      <c r="B187" s="132" t="s">
        <v>2088</v>
      </c>
      <c r="C187" t="str" cm="1">
        <f t="array" ref="C187">_xll.BDP(B187&amp;" Equity","OPT_UNDL_TICKER")</f>
        <v>NFLX US</v>
      </c>
      <c r="D187" s="64">
        <f>A187*AVERAGE(K187:L187)</f>
        <v>13.2</v>
      </c>
      <c r="E187" cm="1">
        <f t="array" ref="E187">_xll.BDP($B187&amp;" Index","opt_days_expire")</f>
        <v>56</v>
      </c>
      <c r="F187" t="str" cm="1">
        <f t="array" ref="F187">_xll.BDP(B187&amp;" Equity","QUOTED_CURRENCY_REALTIME")</f>
        <v>USD</v>
      </c>
      <c r="G187" s="105" t="s">
        <v>247</v>
      </c>
      <c r="H187" s="131">
        <v>20</v>
      </c>
      <c r="I187" s="97">
        <f>IF(G187="Buy",L187,K187)</f>
        <v>6.7</v>
      </c>
      <c r="J187" s="19">
        <f>I187/S187</f>
        <v>7.8357990760774224E-2</v>
      </c>
      <c r="K187" s="36" cm="1">
        <f t="array" ref="K187">_xll.BDP($B187&amp;" Equity","bid")</f>
        <v>6.5</v>
      </c>
      <c r="L187" s="36" cm="1">
        <f t="array" ref="L187">_xll.BDP($B187&amp;" Equity","ask")</f>
        <v>6.7</v>
      </c>
      <c r="M187" s="40">
        <f>(L187/K187-1)</f>
        <v>3.0769230769230882E-2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13400</v>
      </c>
      <c r="Q187" s="58">
        <f>P187/'Master P&amp;L'!$AD$5*10000</f>
        <v>5.9660689144680798E-2</v>
      </c>
      <c r="R187" s="37" cm="1">
        <f t="array" ref="R187">_xll.BDP($C187&amp;" Equity","EST_PE_NXT_YR")*(T187/S187)</f>
        <v>23.349768627883712</v>
      </c>
      <c r="S187" s="36" cm="1">
        <f t="array" ref="S187">_xll.BDP(C187&amp;" Equity","LAST_PRICE")</f>
        <v>85.504999999999995</v>
      </c>
      <c r="T187" s="53" cm="1">
        <f t="array" ref="T187">_xll.BDP(B187&amp;" Equity","OPT_STRIKE_PX")</f>
        <v>90</v>
      </c>
      <c r="U187" s="40">
        <f>T187/S187-1</f>
        <v>5.2570025144728527E-2</v>
      </c>
      <c r="V187" s="37" cm="1">
        <f t="array" ref="V187">_xll.BDP($B187&amp;" Equity","ivol_mid")</f>
        <v>30.966069999999998</v>
      </c>
      <c r="W187" s="38" cm="1">
        <f t="array" ref="W187">_xll.BDP(B187&amp;" Equity","DELTA_MID_RT")</f>
        <v>-0.62737232446670532</v>
      </c>
      <c r="X187" s="48">
        <f>Y187/'Master P&amp;L'!$AE$5</f>
        <v>-4.7767260064459183E-5</v>
      </c>
      <c r="Y187" s="15">
        <f>IF(G187="Sell", S187*W187*-H187*O187/N187, S187*W187*H187*O187/N187)</f>
        <v>-107286.94120705126</v>
      </c>
      <c r="Z187" s="15" cm="1">
        <f t="array" ref="Z187">_xll.BDP($B187&amp;" Equity","opt_theta")*H187*O187/N187</f>
        <v>-72.212000000000003</v>
      </c>
      <c r="AA187" s="19" cm="1">
        <f t="array" ref="AA187">_xll.BDP($B187&amp;" Equity","opt_theta")/I187</f>
        <v>-5.3889552238805972E-3</v>
      </c>
      <c r="AB187" s="36" t="str" cm="1">
        <f t="array" ref="AB187">_xll.BDP($C187&amp;" Equity","EXPECTED_REPORT_DT")</f>
        <v>17/04/2026</v>
      </c>
      <c r="AC187" s="15">
        <f>S187*H187*O187/N187</f>
        <v>171010</v>
      </c>
      <c r="AD187" s="48">
        <f>AC187/'Master P&amp;L'!$AE$5</f>
        <v>7.6138615303222864E-5</v>
      </c>
      <c r="AE187" t="str">
        <f>B187&amp;" -&gt; Buy to open "&amp;H187&amp;"x"</f>
        <v>NFLX US 03/20/26 P90 -&gt; Buy to open 20x</v>
      </c>
    </row>
    <row r="188" spans="1:37">
      <c r="A188" s="237">
        <v>2</v>
      </c>
      <c r="B188" s="132" t="s">
        <v>2089</v>
      </c>
      <c r="C188" t="str" cm="1">
        <f t="array" ref="C188">_xll.BDP(B188&amp;" Equity","OPT_UNDL_TICKER")</f>
        <v>NFLX US</v>
      </c>
      <c r="D188" s="64">
        <f>A188*AVERAGE(K188:L188)</f>
        <v>3.64</v>
      </c>
      <c r="E188" cm="1">
        <f t="array" ref="E188">_xll.BDP($B188&amp;" Index","opt_days_expire")</f>
        <v>56</v>
      </c>
      <c r="F188" t="str" cm="1">
        <f t="array" ref="F188">_xll.BDP(B188&amp;" Equity","QUOTED_CURRENCY_REALTIME")</f>
        <v>USD</v>
      </c>
      <c r="G188" s="105" t="s">
        <v>248</v>
      </c>
      <c r="H188" s="131">
        <f>H187*1.5</f>
        <v>30</v>
      </c>
      <c r="I188" s="97">
        <f>IF(G188="Buy",L188,K188)</f>
        <v>1.79</v>
      </c>
      <c r="J188" s="19">
        <f>I188/S188</f>
        <v>2.0934448277878489E-2</v>
      </c>
      <c r="K188" s="36" cm="1">
        <f t="array" ref="K188">_xll.BDP($B188&amp;" Equity","bid")</f>
        <v>1.79</v>
      </c>
      <c r="L188" s="36" cm="1">
        <f t="array" ref="L188">_xll.BDP($B188&amp;" Equity","ask")</f>
        <v>1.85</v>
      </c>
      <c r="M188" s="40">
        <f>(L188/K188-1)</f>
        <v>3.3519553072625774E-2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-5370</v>
      </c>
      <c r="Q188" s="58">
        <f>P188/'Master P&amp;L'!$AD$5*10000</f>
        <v>-2.3908798560219099E-2</v>
      </c>
      <c r="R188" s="37" cm="1">
        <f t="array" ref="R188">_xll.BDP($C188&amp;" Equity","EST_PE_NXT_YR")*(T188/S188)</f>
        <v>20.755349891452187</v>
      </c>
      <c r="S188" s="36" cm="1">
        <f t="array" ref="S188">_xll.BDP(C188&amp;" Equity","LAST_PRICE")</f>
        <v>85.504999999999995</v>
      </c>
      <c r="T188" s="53" cm="1">
        <f t="array" ref="T188">_xll.BDP(B188&amp;" Equity","OPT_STRIKE_PX")</f>
        <v>80</v>
      </c>
      <c r="U188" s="40">
        <f>T188/S188-1</f>
        <v>-6.4382199871352519E-2</v>
      </c>
      <c r="V188" s="37" cm="1">
        <f t="array" ref="V188">_xll.BDP(B188&amp;" Equity","ivol_mid")</f>
        <v>31.66583</v>
      </c>
      <c r="W188" s="38" cm="1">
        <f t="array" ref="W188">_xll.BDP(B188&amp;" Equity","DELTA_MID_RT")</f>
        <v>-0.26145914196968079</v>
      </c>
      <c r="X188" s="48">
        <f>Y188/'Master P&amp;L'!$AE$5</f>
        <v>2.9860705541910379E-5</v>
      </c>
      <c r="Y188" s="15">
        <f>IF(G188="Sell", S188*W188*-H188*O188/N188, S188*W188*H188*O188/N188)</f>
        <v>67068.191802352652</v>
      </c>
      <c r="Z188" s="15" cm="1">
        <f t="array" ref="Z188">_xll.BDP($B188&amp;" Equity","opt_theta")*H188*O188/N188</f>
        <v>-94.113000000000014</v>
      </c>
      <c r="AA188" s="19" cm="1">
        <f t="array" ref="AA188">_xll.BDP($B188&amp;" Equity","opt_theta")/I188</f>
        <v>-1.7525698324022346E-2</v>
      </c>
      <c r="AB188" s="36" t="str" cm="1">
        <f t="array" ref="AB188">_xll.BDP($C188&amp;" Equity","EXPECTED_REPORT_DT")</f>
        <v>17/04/2026</v>
      </c>
      <c r="AC188" s="15">
        <f>S188*H188*O188/N188</f>
        <v>256514.99999999997</v>
      </c>
      <c r="AD188" s="19">
        <f>AC188/'Master P&amp;L'!$AE$5</f>
        <v>1.1420792295483428E-4</v>
      </c>
      <c r="AE188" t="str">
        <f>B188  &amp; " -&gt; Sell to open " &amp;   H188 &amp;"x"</f>
        <v>NFLX US 03/20/26 P80 -&gt; Sell to open 30x</v>
      </c>
    </row>
    <row r="189" spans="1:37">
      <c r="H189" s="100" t="s">
        <v>116</v>
      </c>
      <c r="I189" s="102">
        <f>I187-I186-I188</f>
        <v>4.51</v>
      </c>
      <c r="J189" s="100" t="s">
        <v>249</v>
      </c>
      <c r="K189" s="101">
        <f>K188/L187</f>
        <v>0.26716417910447759</v>
      </c>
      <c r="P189" s="130">
        <f>P187+P188+P186</f>
        <v>7230</v>
      </c>
      <c r="Q189" s="58">
        <f>P189/'Master P&amp;L'!$AD$5*10000</f>
        <v>3.2190058396719567E-2</v>
      </c>
      <c r="S189" s="100" t="s">
        <v>251</v>
      </c>
      <c r="T189" s="102"/>
      <c r="W189" s="100" t="s">
        <v>252</v>
      </c>
      <c r="X189" s="122">
        <f>X187+X188+X186</f>
        <v>-2.4090519317620992E-5</v>
      </c>
      <c r="AC189" s="100" t="s">
        <v>229</v>
      </c>
      <c r="AD189" s="122">
        <f>AD187</f>
        <v>7.6138615303222864E-5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4.3749999999999991</v>
      </c>
      <c r="P190" s="100"/>
      <c r="Q190" s="108"/>
      <c r="S190" s="100"/>
      <c r="T190" s="102"/>
      <c r="W190" s="100"/>
      <c r="X190" s="122"/>
      <c r="Y190" s="13">
        <f>(Y186+Y187+Y188)/S187</f>
        <v>-632.80686736106873</v>
      </c>
      <c r="AC190" s="100"/>
      <c r="AD190" s="104"/>
    </row>
    <row r="191" spans="1:37">
      <c r="D191" s="64"/>
      <c r="H191" s="96"/>
      <c r="I191" s="64">
        <f>I187-I186</f>
        <v>6.3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2.65</v>
      </c>
      <c r="Q193" s="64">
        <f>Q196+Q197</f>
        <v>0.17697853682843742</v>
      </c>
    </row>
    <row r="194" spans="1:37">
      <c r="A194">
        <v>300</v>
      </c>
      <c r="H194" s="276">
        <v>1</v>
      </c>
      <c r="I194" s="129">
        <f>(I196-I195)/I197</f>
        <v>0.76388888888888884</v>
      </c>
      <c r="K194" s="129"/>
      <c r="Q194" s="129">
        <f>(Q196+Q195)/Q197</f>
        <v>-0.76388888888888884</v>
      </c>
    </row>
    <row r="195" spans="1:37">
      <c r="A195" s="237">
        <v>1</v>
      </c>
      <c r="B195" s="132" t="s">
        <v>2370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3.5</v>
      </c>
      <c r="J195" s="19">
        <f>I195/S195</f>
        <v>7.5618450902020101E-2</v>
      </c>
      <c r="K195" s="36" cm="1">
        <f t="array" ref="K195">_xll.BDP($B195&amp;" Equity","bid")</f>
        <v>3.5</v>
      </c>
      <c r="L195" s="36" cm="1">
        <f t="array" ref="L195">_xll.BDP($B195&amp;" Equity","ask")</f>
        <v>3.65</v>
      </c>
      <c r="M195" s="40">
        <f>(L195/K195-1)</f>
        <v>4.2857142857142927E-2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-52500</v>
      </c>
      <c r="Q195" s="58">
        <f>P195/'Master P&amp;L'!$AD$5*10000</f>
        <v>-0.23374523732057775</v>
      </c>
      <c r="R195" s="37" cm="1">
        <f t="array" ref="R195">_xll.BDP($C195&amp;" Equity","EST_PE_NXT_YR")*(T195/S195)</f>
        <v>55.312800801007384</v>
      </c>
      <c r="S195" s="36" cm="1">
        <f t="array" ref="S195">_xll.BDP(C195&amp;" Equity","LAST_PRICE")</f>
        <v>46.284999999999997</v>
      </c>
      <c r="T195" s="53" cm="1">
        <f t="array" ref="T195">_xll.BDP(B195&amp;" Equity","OPT_STRIKE_PX")</f>
        <v>60</v>
      </c>
      <c r="U195" s="40">
        <f>T195/S195-1</f>
        <v>0.29631630117748742</v>
      </c>
      <c r="V195" s="37" cm="1">
        <f t="array" ref="V195">_xll.BDP($B195&amp;" Equity","ivol_mid")</f>
        <v>60.48</v>
      </c>
      <c r="W195" s="38" cm="1">
        <f t="array" ref="W195">_xll.BDP(B195&amp;" Equity","DELTA_MID_RT")</f>
        <v>0.34666207432746887</v>
      </c>
      <c r="X195" s="48">
        <f>Y195/'Master P&amp;L'!$AE$5</f>
        <v>-1.0715719228196101E-4</v>
      </c>
      <c r="Y195" s="15">
        <f>IF(G195="Sell", S195*W195*-H195*O195/N195, S195*W195*H195*O195/N195)</f>
        <v>-240678.81165370339</v>
      </c>
      <c r="Z195" s="15" cm="1">
        <f t="array" ref="Z195">_xll.BDP($B195&amp;" Equity","opt_theta")*H195*O195/N195</f>
        <v>-294.33000000000004</v>
      </c>
      <c r="AA195" s="19" cm="1">
        <f t="array" ref="AA195">_xll.BDP($B195&amp;" Equity","opt_theta")/I195</f>
        <v>-5.6062857142857147E-3</v>
      </c>
      <c r="AB195" s="36" t="str" cm="1">
        <f t="array" ref="AB195">_xll.BDP($C195&amp;" Equity","EXPECTED_REPORT_DT")</f>
        <v>24/04/2026</v>
      </c>
      <c r="AC195" s="15">
        <f>S195*H195*O195/N195</f>
        <v>694274.99999999988</v>
      </c>
      <c r="AD195" s="19">
        <f>AC195/'Master P&amp;L'!$AE$5</f>
        <v>3.0911138026808399E-4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2369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6.25</v>
      </c>
      <c r="J196" s="19">
        <f>I196/S196</f>
        <v>0.13503294803932162</v>
      </c>
      <c r="K196" s="36" cm="1">
        <f t="array" ref="K196">_xll.BDP($B196&amp;" Equity","bid")</f>
        <v>6.05</v>
      </c>
      <c r="L196" s="36" cm="1">
        <f t="array" ref="L196">_xll.BDP($B196&amp;" Equity","ask")</f>
        <v>6.25</v>
      </c>
      <c r="M196" s="40">
        <f>(L196/K196-1)</f>
        <v>3.3057851239669533E-2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93750</v>
      </c>
      <c r="Q196" s="58">
        <f>P196/'Master P&amp;L'!$AD$5*10000</f>
        <v>0.41740220950103168</v>
      </c>
      <c r="R196" s="37" cm="1">
        <f t="array" ref="R196">_xll.BDP($C196&amp;" Equity","EST_PE_NXT_YR")*(T196/S196)</f>
        <v>46.094000667506158</v>
      </c>
      <c r="S196" s="36">
        <f>_xll.BDP(C196&amp;" Equity","LAST_PRICE")</f>
        <v>46.284999999999997</v>
      </c>
      <c r="T196" s="53" cm="1">
        <f t="array" ref="T196">_xll.BDP(B196&amp;" Equity","OPT_STRIKE_PX")</f>
        <v>50</v>
      </c>
      <c r="U196" s="40">
        <f>T196/S196-1</f>
        <v>8.0263584314572922E-2</v>
      </c>
      <c r="V196" s="37" cm="1">
        <f t="array" ref="V196">_xll.BDP($B196&amp;" Equity","ivol_mid")</f>
        <v>58.492870000000003</v>
      </c>
      <c r="W196" s="38" cm="1">
        <f t="array" ref="W196">_xll.BDP(B196&amp;" Equity","DELTA_MID_RT")</f>
        <v>0.51730060577392578</v>
      </c>
      <c r="X196" s="48">
        <f>Y196/'Master P&amp;L'!$AE$5</f>
        <v>1.5990350426429417E-4</v>
      </c>
      <c r="Y196" s="15">
        <f>IF(G196="Sell", S196*W196*-H196*O196/N196, S196*W196*H196*O196/N196)</f>
        <v>359148.87807369226</v>
      </c>
      <c r="Z196" s="15" cm="1">
        <f t="array" ref="Z196">_xll.BDP($B196&amp;" Equity","opt_theta")*H196*O196/N196</f>
        <v>-307.54500000000002</v>
      </c>
      <c r="AA196" s="19" cm="1">
        <f t="array" ref="AA196">_xll.BDP($B196&amp;" Equity","opt_theta")/I196</f>
        <v>-3.2804800000000001E-3</v>
      </c>
      <c r="AB196" s="36" t="str" cm="1">
        <f t="array" ref="AB196">_xll.BDP($C196&amp;" Equity","EXPECTED_REPORT_DT")</f>
        <v>24/04/2026</v>
      </c>
      <c r="AC196" s="15">
        <f>S196*H196*O196/N196</f>
        <v>694274.99999999988</v>
      </c>
      <c r="AD196" s="19">
        <f>AC196/'Master P&amp;L'!$AE$5</f>
        <v>3.0911138026808399E-4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2368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3.6</v>
      </c>
      <c r="J197" s="19">
        <f>I197/S197</f>
        <v>7.7778978070649249E-2</v>
      </c>
      <c r="K197" s="36" cm="1">
        <f t="array" ref="K197">_xll.BDP($B197&amp;" Equity","bid")</f>
        <v>3.6</v>
      </c>
      <c r="L197" s="36" cm="1">
        <f t="array" ref="L197">_xll.BDP($B197&amp;" Equity","ask")</f>
        <v>3.85</v>
      </c>
      <c r="M197" s="40">
        <f>(L197/K197-1)</f>
        <v>6.944444444444442E-2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-54000</v>
      </c>
      <c r="Q197" s="58">
        <f>P197/'Master P&amp;L'!$AD$5*10000</f>
        <v>-0.24042367267259426</v>
      </c>
      <c r="R197" s="37" cm="1">
        <f t="array" ref="R197">_xll.BDP($C197&amp;" Equity","EST_PE_NXT_YR")*(T197/S197)</f>
        <v>36.875200534004925</v>
      </c>
      <c r="S197" s="36" cm="1">
        <f t="array" ref="S197">_xll.BDP(C197&amp;" Equity","LAST_PRICE")</f>
        <v>46.284999999999997</v>
      </c>
      <c r="T197" s="53" cm="1">
        <f t="array" ref="T197">_xll.BDP(B197&amp;" Equity","OPT_STRIKE_PX")</f>
        <v>40</v>
      </c>
      <c r="U197" s="40">
        <f>T197/S197-1</f>
        <v>-0.13578913254834168</v>
      </c>
      <c r="V197" s="37" cm="1">
        <f t="array" ref="V197">_xll.BDP($B197&amp;" Equity","ivol_mid")</f>
        <v>56.284230000000001</v>
      </c>
      <c r="W197" s="38" cm="1">
        <f t="array" ref="W197">_xll.BDP(B197&amp;" Equity","DELTA_MID_RT")</f>
        <v>-0.27288761734962463</v>
      </c>
      <c r="X197" s="48">
        <f>Y197/'Master P&amp;L'!$AE$5</f>
        <v>8.4352668057011222E-5</v>
      </c>
      <c r="Y197" s="15">
        <f>IF(G197="Sell", S197*W197*-H197*O197/N197, S197*W197*H197*O197/N197)</f>
        <v>189459.05053541061</v>
      </c>
      <c r="Z197" s="15" cm="1">
        <f t="array" ref="Z197">_xll.BDP($B197&amp;" Equity","opt_theta")*H197*O197/N197</f>
        <v>-258.79500000000002</v>
      </c>
      <c r="AA197" s="19" cm="1">
        <f t="array" ref="AA197">_xll.BDP($B197&amp;" Equity","opt_theta")/I197</f>
        <v>-4.7924999999999999E-3</v>
      </c>
      <c r="AB197" s="36" t="str" cm="1">
        <f t="array" ref="AB197">_xll.BDP($C197&amp;" Equity","EXPECTED_REPORT_DT")</f>
        <v>24/04/2026</v>
      </c>
      <c r="AC197" s="15">
        <f>S197*H197*O197/N197</f>
        <v>694274.99999999988</v>
      </c>
      <c r="AD197" s="19">
        <f>AC197/'Master P&amp;L'!$AE$5</f>
        <v>3.0911138026808399E-4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-0.85000000000000009</v>
      </c>
      <c r="J198" s="100" t="s">
        <v>249</v>
      </c>
      <c r="K198" s="101">
        <f>K197/L196</f>
        <v>0.57600000000000007</v>
      </c>
      <c r="P198" s="130">
        <f>P196+P197+P195</f>
        <v>-12750</v>
      </c>
      <c r="Q198" s="58">
        <f>P198/'Master P&amp;L'!$AD$5*10000</f>
        <v>-5.6766700492140311E-2</v>
      </c>
      <c r="S198" s="100" t="s">
        <v>251</v>
      </c>
      <c r="T198" s="102"/>
      <c r="W198" s="100" t="s">
        <v>252</v>
      </c>
      <c r="X198" s="122">
        <f>X196+X197+X195</f>
        <v>1.3709898003934438E-4</v>
      </c>
      <c r="AC198" s="100" t="s">
        <v>229</v>
      </c>
      <c r="AD198" s="122">
        <f>AD196</f>
        <v>3.0911138026808399E-4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-1.1499999999999999</v>
      </c>
      <c r="P199" s="100"/>
      <c r="Q199" s="108"/>
      <c r="S199" s="100"/>
      <c r="T199" s="102"/>
      <c r="W199" s="100"/>
      <c r="X199" s="122"/>
      <c r="Y199" s="13">
        <f>(Y195+Y196+Y197)/S196</f>
        <v>6652.8922319412241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1.7999999999999998</v>
      </c>
      <c r="K200" s="64"/>
      <c r="N200" s="36"/>
      <c r="O200" s="162"/>
      <c r="P200" s="15"/>
      <c r="Q200" s="58"/>
      <c r="X200" s="71">
        <f>AD198+X198</f>
        <v>4.4621036030742837E-4</v>
      </c>
    </row>
    <row r="201" spans="1:37">
      <c r="I201" s="64"/>
      <c r="K201" s="64"/>
    </row>
    <row r="202" spans="1:37">
      <c r="H202" s="276">
        <v>1</v>
      </c>
      <c r="I202" s="64">
        <f>I204-I205</f>
        <v>-1</v>
      </c>
      <c r="K202" s="64"/>
      <c r="Q202" s="129" t="e">
        <f>(Q204+Q203)/Q205</f>
        <v>#VALUE!</v>
      </c>
    </row>
    <row r="203" spans="1:37">
      <c r="A203" s="237"/>
      <c r="B203" t="s">
        <v>2266</v>
      </c>
      <c r="C203" t="str" cm="1">
        <f t="array" ref="C203">_xll.BDP(B203&amp;" Equity","OPT_UNDL_TICKER")</f>
        <v>QQQ US</v>
      </c>
      <c r="D203" t="str" cm="1">
        <f t="array" ref="D203">_xll.BDP($B203&amp;" Index","mifid_Maturity_date")</f>
        <v>16/01/2026</v>
      </c>
      <c r="E203" t="str" cm="1">
        <f t="array" ref="E203">_xll.BDP($B203&amp;" Index","opt_days_expire")</f>
        <v>#N/A N/A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140</v>
      </c>
      <c r="I203" s="97" t="str">
        <f>IF(G203="Buy",L203,K203)</f>
        <v>#N/A N/A</v>
      </c>
      <c r="J203" s="19" t="e">
        <f>I203/S203</f>
        <v>#VALUE!</v>
      </c>
      <c r="K203" s="36" t="str" cm="1">
        <f t="array" ref="K203">_xll.BDP($B203&amp;" Equity","bid")</f>
        <v>#N/A N/A</v>
      </c>
      <c r="L203" s="36" cm="1">
        <f t="array" ref="L203">_xll.BDP($B203&amp;" Equity","ask")</f>
        <v>0.01</v>
      </c>
      <c r="M203" s="40" t="e">
        <f>(L203/K203-1)</f>
        <v>#VALUE!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 t="e">
        <f>IF(G203="Buy",((I203/N203)*H203*O203),((I203/N203)*-H203*O203))</f>
        <v>#VALUE!</v>
      </c>
      <c r="Q203" s="58" t="e">
        <f>P203/'Master P&amp;L'!$AD$5*10000</f>
        <v>#VALUE!</v>
      </c>
      <c r="R203" s="37" t="e" cm="1">
        <f t="array" ref="R203">_xll.BDP($C203&amp;" Equity","EST_PE_NXT_YR")*(T203/S203)</f>
        <v>#VALUE!</v>
      </c>
      <c r="S203" s="36" cm="1">
        <f t="array" ref="S203">_xll.BDP(C203&amp;" Equity","LAST_PRICE")</f>
        <v>623.66</v>
      </c>
      <c r="T203" s="53" cm="1">
        <f t="array" ref="T203">_xll.BDP(B203&amp;" Equity","OPT_STRIKE_PX")</f>
        <v>635</v>
      </c>
      <c r="U203" s="40">
        <f>T203/S203-1</f>
        <v>1.8182984318378725E-2</v>
      </c>
      <c r="V203" s="37" cm="1">
        <f t="array" ref="V203">_xll.BDP($B203&amp;" Equity","ivol_mid")</f>
        <v>188.90729999999999</v>
      </c>
      <c r="W203" s="38" cm="1">
        <f t="array" ref="W203">_xll.BDP(B203&amp;" Equity","DELTA_MID_RT")</f>
        <v>3.4509999677538872E-3</v>
      </c>
      <c r="X203" s="48">
        <f>Y203/'Master P&amp;L'!$AE$5</f>
        <v>-1.3415422309181616E-5</v>
      </c>
      <c r="Y203" s="15">
        <f>IF(G203="Sell", S203*W203*-H203*O203/N203, S203*W203*H203*O203/N203)</f>
        <v>-30131.508958451446</v>
      </c>
      <c r="Z203" s="15" cm="1">
        <f t="array" ref="Z203">_xll.BDP($B203&amp;" Equity","opt_theta")*H203*O203/N203</f>
        <v>0</v>
      </c>
      <c r="AA203" s="19" t="e" cm="1">
        <f t="array" ref="AA203">_xll.BDP($B203&amp;" Equity","opt_theta")/I203</f>
        <v>#VALUE!</v>
      </c>
      <c r="AB203" s="36" t="str" cm="1">
        <f t="array" ref="AB203">_xll.BDP($C203&amp;" Equity","EXPECTED_REPORT_DT")</f>
        <v>#N/A N/A</v>
      </c>
      <c r="AC203" s="15">
        <f>S203*H203*O203/N203</f>
        <v>8731240</v>
      </c>
      <c r="AD203" s="19">
        <f>AC203/'Master P&amp;L'!$AE$5</f>
        <v>3.8874014588627073E-3</v>
      </c>
      <c r="AE203" t="str">
        <f>B203  &amp; " - Buy to open " &amp;  "-" &amp; H203 &amp;"x"</f>
        <v>QQQ US 01/16/26 C635 - Buy to open -140x</v>
      </c>
      <c r="AK203" s="59" t="s">
        <v>1813</v>
      </c>
    </row>
    <row r="204" spans="1:37">
      <c r="A204" s="237"/>
      <c r="B204" t="s">
        <v>2267</v>
      </c>
      <c r="C204" t="str" cm="1">
        <f t="array" ref="C204">_xll.BDP(B204&amp;" Equity","OPT_UNDL_TICKER")</f>
        <v>QQQ US</v>
      </c>
      <c r="D204" t="str" cm="1">
        <f t="array" ref="D204">_xll.BDP($B204&amp;" Index","mifid_Maturity_date")</f>
        <v>16/01/2026</v>
      </c>
      <c r="E204" t="str" cm="1">
        <f t="array" ref="E204">_xll.BDP($B204&amp;" Index","opt_days_expire")</f>
        <v>#N/A N/A</v>
      </c>
      <c r="F204" t="str" cm="1">
        <f t="array" ref="F204">_xll.BDP(B204&amp;" Equity","QUOTED_CURRENCY_REALTIME")</f>
        <v>USD</v>
      </c>
      <c r="G204" s="105" t="s">
        <v>247</v>
      </c>
      <c r="H204" s="131">
        <v>140</v>
      </c>
      <c r="I204" s="97">
        <f>IF(G204="Buy",L204,K204)</f>
        <v>0.01</v>
      </c>
      <c r="J204" s="19">
        <f>I204/S204</f>
        <v>1.6034377705801239E-5</v>
      </c>
      <c r="K204" s="36" t="str" cm="1">
        <f t="array" ref="K204">_xll.BDP($B204&amp;" Equity","bid")</f>
        <v>#N/A N/A</v>
      </c>
      <c r="L204" s="36" cm="1">
        <f t="array" ref="L204">_xll.BDP($B204&amp;" Equity","ask")</f>
        <v>0.01</v>
      </c>
      <c r="M204" s="40" t="e">
        <f>(L204/K204-1)</f>
        <v>#VALUE!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140</v>
      </c>
      <c r="Q204" s="58">
        <f>P204/'Master P&amp;L'!$AD$5*10000</f>
        <v>6.233206328548741E-4</v>
      </c>
      <c r="R204" s="37" t="e" cm="1">
        <f t="array" ref="R204">_xll.BDP($C204&amp;" Equity","EST_PE_NXT_YR")*(T204/S204)</f>
        <v>#VALUE!</v>
      </c>
      <c r="S204" s="36">
        <f>_xll.BDP(C204&amp;" Equity","LAST_PRICE")</f>
        <v>623.66</v>
      </c>
      <c r="T204" s="53" cm="1">
        <f t="array" ref="T204">_xll.BDP(B204&amp;" Equity","OPT_STRIKE_PX")</f>
        <v>633</v>
      </c>
      <c r="U204" s="40">
        <f>T204/S204-1</f>
        <v>1.4976108777218444E-2</v>
      </c>
      <c r="V204" s="37" cm="1">
        <f t="array" ref="V204">_xll.BDP($B204&amp;" Equity","ivol_mid")</f>
        <v>330.947</v>
      </c>
      <c r="W204" s="38" cm="1">
        <f t="array" ref="W204">_xll.BDP(B204&amp;" Equity","DELTA_MID_RT")</f>
        <v>3.9510000497102737E-3</v>
      </c>
      <c r="X204" s="48">
        <f>Y204/'Master P&amp;L'!$AE$5</f>
        <v>1.5359123357210348E-5</v>
      </c>
      <c r="Y204" s="15">
        <f>IF(G204="Sell", S204*W204*-H204*O204/N204, S204*W204*H204*O204/N204)</f>
        <v>34497.129674032331</v>
      </c>
      <c r="Z204" s="15" cm="1">
        <f t="array" ref="Z204">_xll.BDP($B204&amp;" Equity","opt_theta")*H204*O204/N204</f>
        <v>0</v>
      </c>
      <c r="AA204" s="19" cm="1">
        <f t="array" ref="AA204">_xll.BDP($B204&amp;" Equity","opt_theta")/I204</f>
        <v>0</v>
      </c>
      <c r="AB204" s="36" t="str" cm="1">
        <f t="array" ref="AB204">_xll.BDP($C204&amp;" Equity","EXPECTED_REPORT_DT")</f>
        <v>#N/A N/A</v>
      </c>
      <c r="AC204" s="15">
        <f>S204*H204*O204/N204</f>
        <v>8731240</v>
      </c>
      <c r="AD204" s="19">
        <f>AC204/'Master P&amp;L'!$AE$5</f>
        <v>3.8874014588627073E-3</v>
      </c>
      <c r="AE204" t="str">
        <f>B204  &amp; " - Buy to open " &amp;  "-" &amp; H204 &amp;"x"</f>
        <v>QQQ US 01/16/26 C633 - Buy to open -140x</v>
      </c>
      <c r="AK204" s="59" t="s">
        <v>1813</v>
      </c>
    </row>
    <row r="205" spans="1:37">
      <c r="A205" s="237"/>
      <c r="B205" t="s">
        <v>2268</v>
      </c>
      <c r="C205" t="str" cm="1">
        <f t="array" ref="C205">_xll.BDP(B205&amp;" Equity","OPT_UNDL_TICKER")</f>
        <v>QQQ US</v>
      </c>
      <c r="D205" t="str" cm="1">
        <f t="array" ref="D205">_xll.BDP($B205&amp;" Index","mifid_Maturity_date")</f>
        <v>16/01/2026</v>
      </c>
      <c r="E205" t="str" cm="1">
        <f t="array" ref="E205">_xll.BDP($B205&amp;" Index","opt_days_expire")</f>
        <v>#N/A N/A</v>
      </c>
      <c r="F205" t="str" cm="1">
        <f t="array" ref="F205">_xll.BDP(B205&amp;" Equity","QUOTED_CURRENCY_REALTIME")</f>
        <v>USD</v>
      </c>
      <c r="G205" s="105" t="s">
        <v>248</v>
      </c>
      <c r="H205" s="131">
        <f>H204*1.5</f>
        <v>210</v>
      </c>
      <c r="I205" s="97">
        <f>IF(G205="Buy",L205,K205)</f>
        <v>1.01</v>
      </c>
      <c r="J205" s="19">
        <f>I205/S205</f>
        <v>1.619472148285925E-3</v>
      </c>
      <c r="K205" s="36" cm="1">
        <f t="array" ref="K205">_xll.BDP($B205&amp;" Equity","bid")</f>
        <v>1.01</v>
      </c>
      <c r="L205" s="36" cm="1">
        <f t="array" ref="L205">_xll.BDP($B205&amp;" Equity","ask")</f>
        <v>1.53</v>
      </c>
      <c r="M205" s="40">
        <f>(L205/K205-1)</f>
        <v>0.51485148514851486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-21210</v>
      </c>
      <c r="Q205" s="58">
        <f>P205/'Master P&amp;L'!$AD$5*10000</f>
        <v>-9.4433075877513414E-2</v>
      </c>
      <c r="R205" s="37" t="e" cm="1">
        <f t="array" ref="R205">_xll.BDP($C205&amp;" Equity","EST_PE_NXT_YR")*(T205/S205)</f>
        <v>#VALUE!</v>
      </c>
      <c r="S205" s="36" cm="1">
        <f t="array" ref="S205">_xll.BDP(C205&amp;" Equity","LAST_PRICE")</f>
        <v>623.66</v>
      </c>
      <c r="T205" s="53" cm="1">
        <f t="array" ref="T205">_xll.BDP(B205&amp;" Equity","OPT_STRIKE_PX")</f>
        <v>622</v>
      </c>
      <c r="U205" s="40">
        <f>T205/S205-1</f>
        <v>-2.6617066991629912E-3</v>
      </c>
      <c r="V205" s="37" cm="1">
        <f t="array" ref="V205">_xll.BDP($B205&amp;" Equity","ivol_mid")</f>
        <v>118.77249999999999</v>
      </c>
      <c r="W205" s="38" cm="1">
        <f t="array" ref="W205">_xll.BDP(B205&amp;" Equity","DELTA_MID_RT")</f>
        <v>-0.77941399812698364</v>
      </c>
      <c r="X205" s="48">
        <f>Y205/'Master P&amp;L'!$AE$5</f>
        <v>4.544842670065277E-3</v>
      </c>
      <c r="Y205" s="15">
        <f>IF(G205="Sell", S205*W205*-H205*O205/N205, S205*W205*H205*O205/N205)</f>
        <v>10207876.015509367</v>
      </c>
      <c r="Z205" s="15" cm="1">
        <f t="array" ref="Z205">_xll.BDP($B205&amp;" Equity","opt_theta")*H205*O205/N205</f>
        <v>0</v>
      </c>
      <c r="AA205" s="19" cm="1">
        <f t="array" ref="AA205">_xll.BDP($B205&amp;" Equity","opt_theta")/I205</f>
        <v>0</v>
      </c>
      <c r="AB205" s="36" t="str" cm="1">
        <f t="array" ref="AB205">_xll.BDP($C205&amp;" Equity","EXPECTED_REPORT_DT")</f>
        <v>#N/A N/A</v>
      </c>
      <c r="AC205" s="15">
        <f>S205*H205*O205/N205</f>
        <v>13096860</v>
      </c>
      <c r="AD205" s="19">
        <f>AC205/'Master P&amp;L'!$AE$5</f>
        <v>5.8311021882940612E-3</v>
      </c>
      <c r="AE205" t="str">
        <f>B205  &amp; " - Buy to open " &amp;  "-" &amp; H205 &amp;"x"</f>
        <v>QQQ US 01/16/26 P622 - Buy to open -210x</v>
      </c>
      <c r="AK205" s="59" t="s">
        <v>1813</v>
      </c>
    </row>
    <row r="206" spans="1:37">
      <c r="H206" s="100" t="s">
        <v>116</v>
      </c>
      <c r="I206" s="102" t="e">
        <f>I204-I203-I205</f>
        <v>#VALUE!</v>
      </c>
      <c r="J206" s="100" t="s">
        <v>249</v>
      </c>
      <c r="K206" s="101">
        <f>K205/L204</f>
        <v>101</v>
      </c>
      <c r="P206" s="130" t="e">
        <f>P204+P205+P203</f>
        <v>#VALUE!</v>
      </c>
      <c r="Q206" s="58" t="e">
        <f>P206/'Master P&amp;L'!$AD$5*10000</f>
        <v>#VALUE!</v>
      </c>
      <c r="S206" s="100" t="s">
        <v>251</v>
      </c>
      <c r="T206" s="102"/>
      <c r="W206" s="100" t="s">
        <v>252</v>
      </c>
      <c r="X206" s="122">
        <f>X204+X205+X203</f>
        <v>4.5467863711133056E-3</v>
      </c>
      <c r="AC206" s="100" t="s">
        <v>229</v>
      </c>
      <c r="AD206" s="122">
        <f>AD204</f>
        <v>3.8874014588627073E-3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-1.27</v>
      </c>
      <c r="P207" s="100"/>
      <c r="Q207" s="108"/>
      <c r="S207" s="100"/>
      <c r="T207" s="102"/>
      <c r="W207" s="100"/>
      <c r="X207" s="122"/>
      <c r="Y207" s="13">
        <f>(Y203+Y204+Y205)/S204</f>
        <v>16374.693961814046</v>
      </c>
      <c r="AC207" s="100"/>
      <c r="AD207" s="104"/>
    </row>
    <row r="208" spans="1:37">
      <c r="D208" s="64"/>
      <c r="H208" s="96"/>
      <c r="I208" s="64" t="e">
        <f>(I204*A204)-(I205*A205)-(I203*A203)</f>
        <v>#VALUE!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8.4341878299760125E-3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8.9999999999999969E-2</v>
      </c>
      <c r="K210" s="129"/>
      <c r="W210" s="50">
        <f>W212-W211+W214-W213</f>
        <v>0.29833236336708069</v>
      </c>
    </row>
    <row r="211" spans="1:37">
      <c r="A211" s="237">
        <v>9</v>
      </c>
      <c r="B211" t="s">
        <v>2314</v>
      </c>
      <c r="C211" t="str" cm="1">
        <f t="array" ref="C211">_xll.BDP(B211&amp;" Equity","OPT_UNDL_TICKER")</f>
        <v>QQQ US</v>
      </c>
      <c r="D211" s="64"/>
      <c r="E211" cm="1">
        <f t="array" ref="E211">_xll.BDP($B211&amp;" Index","opt_days_expire")</f>
        <v>3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0.34</v>
      </c>
      <c r="J211" s="19">
        <f>I211/S211</f>
        <v>5.4516884199724217E-4</v>
      </c>
      <c r="K211" s="36" cm="1">
        <f t="array" ref="K211">_xll.BDP($B211&amp;" Equity","bid")</f>
        <v>0.33</v>
      </c>
      <c r="L211" s="36" cm="1">
        <f t="array" ref="L211">_xll.BDP($B211&amp;" Equity","ask")</f>
        <v>0.34</v>
      </c>
      <c r="M211" s="40">
        <f>(L211/K211-1)</f>
        <v>3.0303030303030276E-2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6800</v>
      </c>
      <c r="Q211" s="58">
        <f>P211/'Master P&amp;L'!$AD$5*10000</f>
        <v>3.0275573595808163E-2</v>
      </c>
      <c r="R211" s="37" t="e" cm="1">
        <f t="array" ref="R211">_xll.BDP($C211&amp;" Equity","EST_PE_NXT_YR")*(T211/S211)</f>
        <v>#VALUE!</v>
      </c>
      <c r="S211" s="36" cm="1">
        <f t="array" ref="S211">_xll.BDP(C211&amp;" Equity","LAST_PRICE")</f>
        <v>623.66</v>
      </c>
      <c r="T211" s="53" cm="1">
        <f t="array" ref="T211">_xll.BDP(B211&amp;" Equity","OPT_STRIKE_PX")</f>
        <v>630</v>
      </c>
      <c r="U211" s="40">
        <f>T211/S211-1</f>
        <v>1.0165795465478134E-2</v>
      </c>
      <c r="V211" s="37" cm="1">
        <f t="array" ref="V211">_xll.BDP($B211&amp;" Equity","ivol_mid")</f>
        <v>12.713520000000001</v>
      </c>
      <c r="W211" s="38" cm="1">
        <f t="array" ref="W211">_xll.BDP(B211&amp;" Equity","DELTA_MID_RT")</f>
        <v>0.12691491842269897</v>
      </c>
      <c r="X211" s="48">
        <f>Y211/'Master P&amp;L'!$AE$5</f>
        <v>7.0481319861120202E-4</v>
      </c>
      <c r="Y211" s="15">
        <f>IF(G211="Sell", S211*W211*-H211*O211/N211, S211*W211*H211*O211/N211)</f>
        <v>1583035.1604700086</v>
      </c>
      <c r="Z211" s="15" cm="1">
        <f t="array" ref="Z211">_xll.BDP($B211&amp;" Equity","opt_theta")*H211*O211/N211</f>
        <v>-3675.1</v>
      </c>
      <c r="AA211" s="19" cm="1">
        <f t="array" ref="AA211">_xll.BDP($B211&amp;" Equity","opt_theta")/I211</f>
        <v>-0.54045588235294117</v>
      </c>
      <c r="AB211" s="36" t="str" cm="1">
        <f t="array" ref="AB211">_xll.BDP($C211&amp;" Equity","EXPECTED_REPORT_DT")</f>
        <v>#N/A N/A</v>
      </c>
      <c r="AC211" s="15">
        <f>S211*H211*O211/N211</f>
        <v>12473200</v>
      </c>
      <c r="AD211" s="19">
        <f>AC211/'Master P&amp;L'!$AE$5</f>
        <v>5.5534306555181535E-3</v>
      </c>
      <c r="AE211" t="s">
        <v>1875</v>
      </c>
      <c r="AK211" t="s">
        <v>1791</v>
      </c>
    </row>
    <row r="212" spans="1:37">
      <c r="A212" s="237">
        <v>3</v>
      </c>
      <c r="B212" t="s">
        <v>2313</v>
      </c>
      <c r="C212" t="str" cm="1">
        <f t="array" ref="C212">_xll.BDP(B212&amp;" Equity","OPT_UNDL_TICKER")</f>
        <v>QQQ US</v>
      </c>
      <c r="D212" s="64"/>
      <c r="E212" cm="1">
        <f t="array" ref="E212">_xll.BDP($B212&amp;" Index","opt_days_expire")</f>
        <v>3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1</v>
      </c>
      <c r="J212" s="19">
        <f>I212/S212</f>
        <v>1.6034377705801239E-3</v>
      </c>
      <c r="K212" s="36" cm="1">
        <f t="array" ref="K212">_xll.BDP($B212&amp;" Equity","bid")</f>
        <v>1</v>
      </c>
      <c r="L212" s="36" cm="1">
        <f t="array" ref="L212">_xll.BDP($B212&amp;" Equity","ask")</f>
        <v>1.01</v>
      </c>
      <c r="M212" s="40">
        <f>(L212/K212-1)</f>
        <v>1.0000000000000009E-2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-20000</v>
      </c>
      <c r="Q212" s="58">
        <f>P212/'Master P&amp;L'!$AD$5*10000</f>
        <v>-8.9045804693553429E-2</v>
      </c>
      <c r="R212" s="37" t="e" cm="1">
        <f t="array" ref="R212">_xll.BDP($C212&amp;" Equity","EST_PE_NXT_YR")*(T212/S212)</f>
        <v>#VALUE!</v>
      </c>
      <c r="S212" s="36" cm="1">
        <f t="array" ref="S212">_xll.BDP(C212&amp;" Equity","LAST_PRICE")</f>
        <v>623.66</v>
      </c>
      <c r="T212" s="53" cm="1">
        <f t="array" ref="T212">_xll.BDP(B212&amp;" Equity","OPT_STRIKE_PX")</f>
        <v>627</v>
      </c>
      <c r="U212" s="40">
        <f>T212/S212-1</f>
        <v>5.3554821537376007E-3</v>
      </c>
      <c r="V212" s="37" cm="1">
        <f t="array" ref="V212">_xll.BDP($B212&amp;" Equity","ivol_mid")</f>
        <v>13.288080000000001</v>
      </c>
      <c r="W212" s="38" cm="1">
        <f t="array" ref="W212">_xll.BDP(B212&amp;" Equity","DELTA_MID_RT")</f>
        <v>0.28946611285209656</v>
      </c>
      <c r="X212" s="48">
        <f>Y212/'Master P&amp;L'!$AE$5</f>
        <v>-1.6075299848465102E-3</v>
      </c>
      <c r="Y212" s="15">
        <f>IF(G212="Sell", S212*W212*-H212*O212/N212, S212*W212*H212*O212/N212)</f>
        <v>-3610568.7188267708</v>
      </c>
      <c r="Z212" s="15" cm="1">
        <f t="array" ref="Z212">_xll.BDP($B212&amp;" Equity","opt_theta")*H212*O212/N212</f>
        <v>-9386.8799999999992</v>
      </c>
      <c r="AA212" s="19" cm="1">
        <f t="array" ref="AA212">_xll.BDP($B212&amp;" Equity","opt_theta")/I212</f>
        <v>-0.46934399999999998</v>
      </c>
      <c r="AB212" s="36" t="str" cm="1">
        <f t="array" ref="AB212">_xll.BDP($C212&amp;" Equity","EXPECTED_REPORT_DT")</f>
        <v>#N/A N/A</v>
      </c>
      <c r="AC212" s="15">
        <f>S212*H212*O212/N212</f>
        <v>12473200</v>
      </c>
      <c r="AD212" s="48">
        <f>AC212/'Master P&amp;L'!$AE$5</f>
        <v>5.5534306555181535E-3</v>
      </c>
      <c r="AE212" t="s">
        <v>1876</v>
      </c>
      <c r="AK212" t="s">
        <v>1792</v>
      </c>
    </row>
    <row r="213" spans="1:37">
      <c r="A213" s="237">
        <v>20</v>
      </c>
      <c r="B213" t="s">
        <v>2315</v>
      </c>
      <c r="C213" t="str" cm="1">
        <f t="array" ref="C213">_xll.BDP(B213&amp;" Equity","OPT_UNDL_TICKER")</f>
        <v>QQQ US</v>
      </c>
      <c r="D213" s="64"/>
      <c r="E213" cm="1">
        <f t="array" ref="E213">_xll.BDP($B213&amp;" Index","opt_days_expire")</f>
        <v>3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0.56999999999999995</v>
      </c>
      <c r="J213" s="19">
        <f>I213/S213</f>
        <v>9.1395952923067057E-4</v>
      </c>
      <c r="K213" s="36" cm="1">
        <f t="array" ref="K213">_xll.BDP($B213&amp;" Equity","bid")</f>
        <v>0.56000000000000005</v>
      </c>
      <c r="L213" s="36" cm="1">
        <f t="array" ref="L213">_xll.BDP($B213&amp;" Equity","ask")</f>
        <v>0.56999999999999995</v>
      </c>
      <c r="M213" s="40">
        <f>(L213/K213-1)</f>
        <v>1.7857142857142572E-2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11399.999999999998</v>
      </c>
      <c r="Q213" s="58">
        <f>P213/'Master P&amp;L'!$AD$5*10000</f>
        <v>5.075610867532545E-2</v>
      </c>
      <c r="R213" s="37" t="e" cm="1">
        <f t="array" ref="R213">_xll.BDP($C213&amp;" Equity","EST_PE_NXT_YR")*(T213/S213)</f>
        <v>#VALUE!</v>
      </c>
      <c r="S213" s="36" cm="1">
        <f t="array" ref="S213">_xll.BDP(C213&amp;" Equity","LAST_PRICE")</f>
        <v>623.66</v>
      </c>
      <c r="T213" s="53" cm="1">
        <f t="array" ref="T213">_xll.BDP(B213&amp;" Equity","OPT_STRIKE_PX")</f>
        <v>615</v>
      </c>
      <c r="U213" s="40">
        <f>T213/S213-1</f>
        <v>-1.3885771093223864E-2</v>
      </c>
      <c r="V213" s="37" cm="1">
        <f t="array" ref="V213">_xll.BDP(B213&amp;" Equity","ivol_mid")</f>
        <v>18.986090000000001</v>
      </c>
      <c r="W213" s="38" cm="1">
        <f t="array" ref="W213">_xll.BDP(B213&amp;" Equity","DELTA_MID_RT")</f>
        <v>-0.13578116893768311</v>
      </c>
      <c r="X213" s="48">
        <f>Y213/'Master P&amp;L'!$AE$5</f>
        <v>-7.5405130602061862E-4</v>
      </c>
      <c r="Y213" s="15">
        <f>IF(G213="Sell", S213*W213*-H213*O213/N213, S213*W213*H213*O213/N213)</f>
        <v>-1693625.6763935089</v>
      </c>
      <c r="Z213" s="15" cm="1">
        <f t="array" ref="Z213">_xll.BDP($B213&amp;" Equity","opt_theta")*H213*O213/N213</f>
        <v>-12492.44</v>
      </c>
      <c r="AA213" s="19" cm="1">
        <f t="array" ref="AA213">_xll.BDP($B213&amp;" Equity","opt_theta")/I213</f>
        <v>-1.0958280701754388</v>
      </c>
      <c r="AB213" s="36" t="str" cm="1">
        <f t="array" ref="AB213">_xll.BDP($C213&amp;" Equity","EXPECTED_REPORT_DT")</f>
        <v>#N/A N/A</v>
      </c>
      <c r="AC213" s="15">
        <f>S213*H213*O213/N213</f>
        <v>12473200</v>
      </c>
      <c r="AD213" s="19">
        <f>AC213/'Master P&amp;L'!$AE$5</f>
        <v>5.5534306555181535E-3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9.0000000000000024E-2</v>
      </c>
      <c r="J215" s="100" t="s">
        <v>249</v>
      </c>
      <c r="K215" s="101">
        <f>K214/L212</f>
        <v>0</v>
      </c>
      <c r="P215" s="130">
        <f>P212+P214+P211+P213</f>
        <v>-1800.0000000000018</v>
      </c>
      <c r="Q215" s="58">
        <f>P215/'Master P&amp;L'!$AD$5*10000</f>
        <v>-8.0141224224198164E-3</v>
      </c>
      <c r="S215" s="100" t="s">
        <v>251</v>
      </c>
      <c r="T215" s="102"/>
      <c r="W215" s="100" t="s">
        <v>252</v>
      </c>
      <c r="X215" s="122">
        <f>X212+X214+X211+X213</f>
        <v>-1.6567680922559267E-3</v>
      </c>
      <c r="AC215" s="100" t="s">
        <v>229</v>
      </c>
      <c r="AD215" s="122">
        <f>AD212</f>
        <v>5.5534306555181535E-3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-3251.0238885879521</v>
      </c>
      <c r="AC216" s="100"/>
      <c r="AD216" s="104"/>
    </row>
    <row r="217" spans="1:37">
      <c r="C217">
        <f>H211*(T211-T212)*100+P215</f>
        <v>58200</v>
      </c>
      <c r="D217" s="64"/>
      <c r="H217" s="96"/>
      <c r="I217" s="64">
        <f>I212-I211</f>
        <v>0.65999999999999992</v>
      </c>
      <c r="K217" s="64">
        <f>(I211/25*A211)+(I212/25*A212)-(I214/25*A214)</f>
        <v>0.2424</v>
      </c>
      <c r="N217" s="36"/>
      <c r="O217" s="162"/>
      <c r="P217" s="15"/>
      <c r="Q217" s="58"/>
    </row>
    <row r="218" spans="1:37">
      <c r="C218">
        <f>C217/'Master P&amp;L'!$AD$5*10000</f>
        <v>0.2591232916582405</v>
      </c>
      <c r="I218" s="64">
        <f>I213-I214</f>
        <v>0.56999999999999995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0.86363636363636365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15.25</v>
      </c>
      <c r="J221" s="64">
        <f>I224-I225</f>
        <v>11.299999999999997</v>
      </c>
      <c r="K221" s="129"/>
      <c r="W221" s="50">
        <f>W223-W222+W225-W224</f>
        <v>0.30126683413982391</v>
      </c>
    </row>
    <row r="222" spans="1:37">
      <c r="A222" s="237">
        <v>9</v>
      </c>
      <c r="B222" s="59" t="s">
        <v>2108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146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13.75</v>
      </c>
      <c r="J222" s="19">
        <f>I222/S222</f>
        <v>4.3301631290546073E-2</v>
      </c>
      <c r="K222" s="36" cm="1">
        <f t="array" ref="K222">_xll.BDP($B222&amp;" Equity","bid")</f>
        <v>13.75</v>
      </c>
      <c r="L222" s="36" cm="1">
        <f t="array" ref="L222">_xll.BDP($B222&amp;" Equity","ask")</f>
        <v>14</v>
      </c>
      <c r="M222" s="40">
        <f>(L222/K222-1)</f>
        <v>1.8181818181818077E-2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-68750</v>
      </c>
      <c r="Q222" s="58">
        <f>P222/'Master P&amp;L'!$AD$5*10000</f>
        <v>-0.30609495363408995</v>
      </c>
      <c r="R222" s="37" cm="1">
        <f t="array" ref="R222">_xll.BDP($C222&amp;" Equity","EST_PE_NXT_YR")*(T222/S222)</f>
        <v>28.909316998771935</v>
      </c>
      <c r="S222" s="36" cm="1">
        <f t="array" ref="S222">_xll.BDP(C222&amp;" Equity","LAST_PRICE")</f>
        <v>317.54000000000002</v>
      </c>
      <c r="T222" s="53" cm="1">
        <f t="array" ref="T222">_xll.BDP(B222&amp;" Equity","OPT_STRIKE_PX")</f>
        <v>410</v>
      </c>
      <c r="U222" s="40">
        <f>T222/S222-1</f>
        <v>0.29117591484537364</v>
      </c>
      <c r="V222" s="37" cm="1">
        <f t="array" ref="V222">_xll.BDP($B222&amp;" Equity","ivol_mid")</f>
        <v>49.619990000000001</v>
      </c>
      <c r="W222" s="38" cm="1">
        <f t="array" ref="W222">_xll.BDP(B222&amp;" Equity","DELTA_MID_RT")</f>
        <v>0.26796475052833557</v>
      </c>
      <c r="X222" s="48">
        <f>Y222/'Master P&amp;L'!$AE$5</f>
        <v>-1.8942163480674488E-4</v>
      </c>
      <c r="Y222" s="15">
        <f>IF(G222="Sell", S222*W222*-H222*O222/N222, S222*W222*H222*O222/N222)</f>
        <v>-425447.63441383839</v>
      </c>
      <c r="Z222" s="15" cm="1">
        <f t="array" ref="Z222">_xll.BDP($B222&amp;" Equity","opt_theta")*H222*O222/N222</f>
        <v>-552.18499999999995</v>
      </c>
      <c r="AA222" s="19" cm="1">
        <f t="array" ref="AA222">_xll.BDP($B222&amp;" Equity","opt_theta")/I222</f>
        <v>-8.0317818181818174E-3</v>
      </c>
      <c r="AB222" s="36" t="str" cm="1">
        <f t="array" ref="AB222">_xll.BDP($C222&amp;" Equity","EXPECTED_REPORT_DT")</f>
        <v>06/03/2026</v>
      </c>
      <c r="AC222" s="15">
        <f>S222*H222*O222/N222</f>
        <v>1587700.0000000002</v>
      </c>
      <c r="AD222" s="19">
        <f>AC222/'Master P&amp;L'!$AE$5</f>
        <v>7.0689012055977403E-4</v>
      </c>
      <c r="AE222" t="s">
        <v>1875</v>
      </c>
      <c r="AK222" t="s">
        <v>1791</v>
      </c>
    </row>
    <row r="223" spans="1:37">
      <c r="A223" s="237">
        <v>3</v>
      </c>
      <c r="B223" s="59" t="s">
        <v>2106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146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29</v>
      </c>
      <c r="J223" s="19">
        <f>I223/S223</f>
        <v>9.1327076903697166E-2</v>
      </c>
      <c r="K223" s="36" cm="1">
        <f t="array" ref="K223">_xll.BDP($B223&amp;" Equity","bid")</f>
        <v>28.75</v>
      </c>
      <c r="L223" s="36" cm="1">
        <f t="array" ref="L223">_xll.BDP($B223&amp;" Equity","ask")</f>
        <v>29</v>
      </c>
      <c r="M223" s="40">
        <f>(L223/K223-1)</f>
        <v>8.6956521739129933E-3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145000</v>
      </c>
      <c r="Q223" s="58">
        <f>P223/'Master P&amp;L'!$AD$5*10000</f>
        <v>0.64558208402826234</v>
      </c>
      <c r="R223" s="37" cm="1">
        <f t="array" ref="R223">_xll.BDP($C223&amp;" Equity","EST_PE_NXT_YR")*(T223/S223)</f>
        <v>24.678685242854094</v>
      </c>
      <c r="S223" s="36" cm="1">
        <f t="array" ref="S223">_xll.BDP(C223&amp;" Equity","LAST_PRICE")</f>
        <v>317.54000000000002</v>
      </c>
      <c r="T223" s="53" cm="1">
        <f t="array" ref="T223">_xll.BDP(B223&amp;" Equity","OPT_STRIKE_PX")</f>
        <v>350</v>
      </c>
      <c r="U223" s="40">
        <f>T223/S223-1</f>
        <v>0.10222334194117266</v>
      </c>
      <c r="V223" s="37" cm="1">
        <f t="array" ref="V223">_xll.BDP($B223&amp;" Equity","ivol_mid")</f>
        <v>49.986420000000003</v>
      </c>
      <c r="W223" s="38" cm="1">
        <f t="array" ref="W223">_xll.BDP(B223&amp;" Equity","DELTA_MID_RT")</f>
        <v>0.45659318566322327</v>
      </c>
      <c r="X223" s="48">
        <f>Y223/'Master P&amp;L'!$AE$5</f>
        <v>3.2276121206024715E-4</v>
      </c>
      <c r="Y223" s="15">
        <f>IF(G223="Sell", S223*W223*-H223*O223/N223, S223*W223*H223*O223/N223)</f>
        <v>724933.00087749958</v>
      </c>
      <c r="Z223" s="15" cm="1">
        <f t="array" ref="Z223">_xll.BDP($B223&amp;" Equity","opt_theta")*H223*O223/N223</f>
        <v>-666.42000000000007</v>
      </c>
      <c r="AA223" s="19" cm="1">
        <f t="array" ref="AA223">_xll.BDP($B223&amp;" Equity","opt_theta")/I223</f>
        <v>-4.5960000000000003E-3</v>
      </c>
      <c r="AB223" s="36" t="str" cm="1">
        <f t="array" ref="AB223">_xll.BDP($C223&amp;" Equity","EXPECTED_REPORT_DT")</f>
        <v>06/03/2026</v>
      </c>
      <c r="AC223" s="15">
        <f>S223*H223*O223/N223</f>
        <v>1587700.0000000002</v>
      </c>
      <c r="AD223" s="48">
        <f>AC223/'Master P&amp;L'!$AE$5</f>
        <v>7.0689012055977403E-4</v>
      </c>
      <c r="AE223" t="s">
        <v>1876</v>
      </c>
      <c r="AK223" t="s">
        <v>1792</v>
      </c>
    </row>
    <row r="224" spans="1:37">
      <c r="A224" s="237"/>
      <c r="B224" s="59" t="s">
        <v>2105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146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28.9</v>
      </c>
      <c r="J224" s="19">
        <f>I224/S224</f>
        <v>9.1012155948856824E-2</v>
      </c>
      <c r="K224" s="36" cm="1">
        <f t="array" ref="K224">_xll.BDP($B224&amp;" Equity","bid")</f>
        <v>28.9</v>
      </c>
      <c r="L224" s="36" cm="1">
        <f t="array" ref="L224">_xll.BDP($B224&amp;" Equity","ask")</f>
        <v>29.15</v>
      </c>
      <c r="M224" s="40">
        <f>(L224/K224-1)</f>
        <v>8.65051903114189E-3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-144500</v>
      </c>
      <c r="Q224" s="58">
        <f>P224/'Master P&amp;L'!$AD$5*10000</f>
        <v>-0.64335593891092346</v>
      </c>
      <c r="R224" s="37" cm="1">
        <f t="array" ref="R224">_xll.BDP($C224&amp;" Equity","EST_PE_NXT_YR")*(T224/S224)</f>
        <v>21.153158779589223</v>
      </c>
      <c r="S224" s="36" cm="1">
        <f t="array" ref="S224">_xll.BDP(C224&amp;" Equity","LAST_PRICE")</f>
        <v>317.54000000000002</v>
      </c>
      <c r="T224" s="53" cm="1">
        <f t="array" ref="T224">_xll.BDP(B224&amp;" Equity","OPT_STRIKE_PX")</f>
        <v>300</v>
      </c>
      <c r="U224" s="40">
        <f>T224/S224-1</f>
        <v>-5.5237135478994781E-2</v>
      </c>
      <c r="V224" s="37" cm="1">
        <f t="array" ref="V224">_xll.BDP(B224&amp;" Equity","ivol_mid")</f>
        <v>50.896039999999999</v>
      </c>
      <c r="W224" s="38" cm="1">
        <f t="array" ref="W224">_xll.BDP(B224&amp;" Equity","DELTA_MID_RT")</f>
        <v>-0.35452631115913391</v>
      </c>
      <c r="X224" s="48">
        <f>Y224/'Master P&amp;L'!$AE$5</f>
        <v>2.5061114683689212E-4</v>
      </c>
      <c r="Y224" s="15">
        <f>IF(G224="Sell", S224*W224*-H224*O224/N224, S224*W224*H224*O224/N224)</f>
        <v>562881.42422735703</v>
      </c>
      <c r="Z224" s="15" cm="1">
        <f t="array" ref="Z224">_xll.BDP($B224&amp;" Equity","opt_theta")*H224*O224/N224</f>
        <v>-650.04000000000008</v>
      </c>
      <c r="AA224" s="19" cm="1">
        <f t="array" ref="AA224">_xll.BDP($B224&amp;" Equity","opt_theta")/I224</f>
        <v>-4.498546712802769E-3</v>
      </c>
      <c r="AB224" s="36" t="str" cm="1">
        <f t="array" ref="AB224">_xll.BDP($C224&amp;" Equity","EXPECTED_REPORT_DT")</f>
        <v>06/03/2026</v>
      </c>
      <c r="AC224" s="15">
        <f>S224*H224*O224/N224</f>
        <v>1587700.0000000002</v>
      </c>
      <c r="AD224" s="19">
        <f>AC224/'Master P&amp;L'!$AE$5</f>
        <v>7.0689012055977403E-4</v>
      </c>
      <c r="AE224" t="s">
        <v>1877</v>
      </c>
      <c r="AK224" t="s">
        <v>1793</v>
      </c>
    </row>
    <row r="225" spans="1:37">
      <c r="A225" s="237"/>
      <c r="B225" s="59" t="s">
        <v>2107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146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17.600000000000001</v>
      </c>
      <c r="J225" s="19">
        <f>I225/S225</f>
        <v>5.5426088051898977E-2</v>
      </c>
      <c r="K225" s="36" cm="1">
        <f t="array" ref="K225">_xll.BDP($B225&amp;" Equity","bid")</f>
        <v>17.350000000000001</v>
      </c>
      <c r="L225" s="36" cm="1">
        <f t="array" ref="L225">_xll.BDP($B225&amp;" Equity","ask")</f>
        <v>17.600000000000001</v>
      </c>
      <c r="M225" s="40">
        <f>(L225/K225-1)</f>
        <v>1.4409221902017322E-2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88000.000000000015</v>
      </c>
      <c r="Q225" s="58">
        <f>P225/'Master P&amp;L'!$AD$5*10000</f>
        <v>0.39180154065163514</v>
      </c>
      <c r="R225" s="37" cm="1">
        <f t="array" ref="R225">_xll.BDP($C225&amp;" Equity","EST_PE_NXT_YR")*(T225/S225)</f>
        <v>19.037842901630299</v>
      </c>
      <c r="S225" s="36" cm="1">
        <f t="array" ref="S225">_xll.BDP(C225&amp;" Equity","LAST_PRICE")</f>
        <v>317.54000000000002</v>
      </c>
      <c r="T225" s="53" cm="1">
        <f t="array" ref="T225">_xll.BDP(B225&amp;" Equity","OPT_STRIKE_PX")</f>
        <v>270</v>
      </c>
      <c r="U225" s="40">
        <f>T225/S225-1</f>
        <v>-0.14971342193109538</v>
      </c>
      <c r="V225" s="37" cm="1">
        <f t="array" ref="V225">_xll.BDP(B225&amp;" Equity","ivol_mid")</f>
        <v>52.048940000000002</v>
      </c>
      <c r="W225" s="38" cm="1">
        <f t="array" ref="W225">_xll.BDP(B225&amp;" Equity","DELTA_MID_RT")</f>
        <v>-0.24188791215419769</v>
      </c>
      <c r="X225" s="48">
        <f>Y225/'Master P&amp;L'!$AE$5</f>
        <v>-1.709881753846328E-4</v>
      </c>
      <c r="Y225" s="15">
        <f>IF(G225="Sell", S225*W225*-H225*O225/N225, S225*W225*H225*O225/N225)</f>
        <v>-384045.43812721968</v>
      </c>
      <c r="Z225" s="15" cm="1">
        <f t="array" ref="Z225">_xll.BDP($B225&amp;" Equity","opt_theta")*H225*O225/N225</f>
        <v>-561.79</v>
      </c>
      <c r="AA225" s="19" cm="1">
        <f t="array" ref="AA225">_xll.BDP($B225&amp;" Equity","opt_theta")/I225</f>
        <v>-6.3839772727272721E-3</v>
      </c>
      <c r="AB225" s="36" t="str" cm="1">
        <f t="array" ref="AB225">_xll.BDP($C225&amp;" Equity","EXPECTED_REPORT_DT")</f>
        <v>06/03/2026</v>
      </c>
      <c r="AC225" s="15">
        <f>S225*H225*O225/N225</f>
        <v>1587700.0000000002</v>
      </c>
      <c r="AD225" s="19">
        <f>AC225/'Master P&amp;L'!$AE$5</f>
        <v>7.0689012055977403E-4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3.9500000000000028</v>
      </c>
      <c r="J226" s="100" t="s">
        <v>249</v>
      </c>
      <c r="K226" s="101">
        <f>K225/L223</f>
        <v>0.59827586206896555</v>
      </c>
      <c r="P226" s="130">
        <f>P223+P225+P222+P224</f>
        <v>19750</v>
      </c>
      <c r="Q226" s="58">
        <f>P226/'Master P&amp;L'!$AD$5*10000</f>
        <v>8.793273213488402E-2</v>
      </c>
      <c r="S226" s="100" t="s">
        <v>251</v>
      </c>
      <c r="T226" s="102"/>
      <c r="W226" s="100" t="s">
        <v>252</v>
      </c>
      <c r="X226" s="122">
        <f>X223+X225+X222+X224</f>
        <v>2.129625487057616E-4</v>
      </c>
      <c r="AC226" s="100" t="s">
        <v>229</v>
      </c>
      <c r="AD226" s="122">
        <f>AD223</f>
        <v>7.0689012055977403E-4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3.4500000000000028</v>
      </c>
      <c r="P227" s="100"/>
      <c r="Q227" s="108"/>
      <c r="S227" s="100"/>
      <c r="T227" s="102"/>
      <c r="W227" s="100"/>
      <c r="X227" s="122"/>
      <c r="Y227" s="13">
        <f>(Y222+Y223+Y224)/S223</f>
        <v>2715.773731470108</v>
      </c>
      <c r="AC227" s="100"/>
      <c r="AD227" s="104"/>
    </row>
    <row r="228" spans="1:37">
      <c r="D228" s="64"/>
      <c r="H228" s="96"/>
      <c r="I228" s="64">
        <f>I223-I222</f>
        <v>15.25</v>
      </c>
      <c r="K228" s="64">
        <f>(I222/25*A222)+(I223/25*A223)-(I225/25*A225)</f>
        <v>8.43</v>
      </c>
      <c r="N228" s="36"/>
      <c r="O228" s="162"/>
      <c r="P228" s="15"/>
      <c r="Q228" s="58"/>
    </row>
    <row r="229" spans="1:37">
      <c r="I229" s="64">
        <f>I224-I225</f>
        <v>11.299999999999997</v>
      </c>
      <c r="K229">
        <v>11.59</v>
      </c>
      <c r="M229" s="267">
        <f>(I226-K227)*500*100</f>
        <v>25000</v>
      </c>
      <c r="P229">
        <v>-7500</v>
      </c>
      <c r="S229">
        <v>521.79999999999995</v>
      </c>
    </row>
    <row r="230" spans="1:37">
      <c r="I230" s="40">
        <f>I229/I228</f>
        <v>0.74098360655737683</v>
      </c>
    </row>
    <row r="231" spans="1:37">
      <c r="I231" s="64"/>
    </row>
    <row r="232" spans="1:37">
      <c r="I232" s="64"/>
    </row>
    <row r="233" spans="1:37">
      <c r="A233" s="457">
        <f>P233/Y233</f>
        <v>0.17891909873877285</v>
      </c>
      <c r="B233" s="59" t="s">
        <v>2329</v>
      </c>
      <c r="C233" t="str" cm="1">
        <f t="array" ref="C233">_xll.BDP(B233&amp;" Equity","OPT_UNDL_TICKER")</f>
        <v>META US</v>
      </c>
      <c r="D233" s="43">
        <f>J233+U233</f>
        <v>0.12845914462020733</v>
      </c>
      <c r="E233" cm="1">
        <f t="array" ref="E233">_xll.BDP($B233&amp;" Index","opt_days_expire")</f>
        <v>175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61.55</v>
      </c>
      <c r="J233" s="19">
        <f>I233/S233</f>
        <v>9.3664163375866444E-2</v>
      </c>
      <c r="K233" s="36" cm="1">
        <f t="array" ref="K233">_xll.BDP($B233&amp;" Equity","bid")</f>
        <v>61.05</v>
      </c>
      <c r="L233" s="36" cm="1">
        <f t="array" ref="L233">_xll.BDP($B233&amp;" Equity","ask")</f>
        <v>61.55</v>
      </c>
      <c r="M233" s="40">
        <f>(L233/K233-1)</f>
        <v>8.1900081900081467E-3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246200</v>
      </c>
      <c r="Q233" s="58">
        <f>P233/'Master P&amp;L'!$AD$5*10000</f>
        <v>1.0961538557776427</v>
      </c>
      <c r="R233" s="37" cm="1">
        <f t="array" ref="R233">_xll.BDP($C233&amp;" Equity","EST_PE_NXT_YR")*(T233/S233)</f>
        <v>20.114101989455708</v>
      </c>
      <c r="S233" s="36" cm="1">
        <f t="array" ref="S233">_xll.BDP(C233&amp;" Equity","LAST_PRICE")</f>
        <v>657.13499999999999</v>
      </c>
      <c r="T233" s="53" cm="1">
        <f t="array" ref="T233">_xll.BDP(B233&amp;" Equity","OPT_STRIKE_PX")</f>
        <v>680</v>
      </c>
      <c r="U233" s="40">
        <f>T233/S233-1</f>
        <v>3.4794981244340883E-2</v>
      </c>
      <c r="V233" s="37" cm="1">
        <f t="array" ref="V233">_xll.BDP($B233&amp;" Equity","ivol_mid")</f>
        <v>37.01923</v>
      </c>
      <c r="W233" s="38" cm="1">
        <f t="array" ref="W233">_xll.BDP(B233&amp;" Equity","DELTA_MID_RT")</f>
        <v>0.52350008487701416</v>
      </c>
      <c r="X233" s="48">
        <f>Y233/'Master P&amp;L'!$AE$5</f>
        <v>6.1265335199237709E-4</v>
      </c>
      <c r="Y233" s="15">
        <f>IF(G233="Sell", S233*W233*-H233*O233/N233, S233*W233*H233*O233/N233)</f>
        <v>1376040.9131026266</v>
      </c>
      <c r="Z233" s="15" cm="1">
        <f t="array" ref="Z233">_xll.BDP($B233&amp;" Equity","opt_theta")*H233*O233/N233</f>
        <v>-741.84799999999996</v>
      </c>
      <c r="AA233" s="19" cm="1">
        <f t="array" ref="AA233">_xll.BDP($B233&amp;" Equity","opt_theta")/I233</f>
        <v>-3.0131925264012998E-3</v>
      </c>
      <c r="AB233" s="36" t="str" cm="1">
        <f t="array" ref="AB233">_xll.BDP($C233&amp;" Equity","EXPECTED_REPORT_DT")</f>
        <v>28/01/2026</v>
      </c>
      <c r="AC233" s="15">
        <f>S233*H233*O233/N233</f>
        <v>2628540</v>
      </c>
      <c r="AD233" s="48">
        <f>AC233/'Master P&amp;L'!$AE$5</f>
        <v>1.1703022973459647E-3</v>
      </c>
      <c r="AE233" t="str">
        <f>B233&amp;" -&gt; Buy to open "&amp;H233&amp;"x"</f>
        <v>META US 07/17/26 C680 -&gt; Buy to open 40x</v>
      </c>
    </row>
    <row r="234" spans="1:37">
      <c r="A234" s="457">
        <f t="shared" ref="A234:A235" si="0">P234/Y234</f>
        <v>0.16056934341897641</v>
      </c>
      <c r="B234" s="59" t="s">
        <v>2317</v>
      </c>
      <c r="C234" t="str" cm="1">
        <f t="array" ref="C234">_xll.BDP(B234&amp;" Equity","OPT_UNDL_TICKER")</f>
        <v>AMZN US</v>
      </c>
      <c r="D234" s="43">
        <f>J234+U234</f>
        <v>0.13037258325794726</v>
      </c>
      <c r="E234" cm="1">
        <f t="array" ref="E234">_xll.BDP($B234&amp;" Index","opt_days_expire")</f>
        <v>175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18.649999999999999</v>
      </c>
      <c r="J234" s="19">
        <f>I234/S234</f>
        <v>7.847179853996171E-2</v>
      </c>
      <c r="K234" s="36" cm="1">
        <f t="array" ref="K234">_xll.BDP($B234&amp;" Equity","bid")</f>
        <v>18.5</v>
      </c>
      <c r="L234" s="36" cm="1">
        <f t="array" ref="L234">_xll.BDP($B234&amp;" Equity","ask")</f>
        <v>18.649999999999999</v>
      </c>
      <c r="M234" s="40">
        <f>(L234/K234-1)</f>
        <v>8.1081081081080253E-3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195824.99999999997</v>
      </c>
      <c r="Q234" s="58">
        <f>P234/'Master P&amp;L'!$AD$5*10000</f>
        <v>0.87186973520575484</v>
      </c>
      <c r="R234" s="37" cm="1">
        <f t="array" ref="R234">_xll.BDP($C234&amp;" Equity","EST_PE_NXT_YR")*(T234/S234)</f>
        <v>26.647551008313073</v>
      </c>
      <c r="S234" s="36" cm="1">
        <f t="array" ref="S234">_xll.BDP(C234&amp;" Equity","LAST_PRICE")</f>
        <v>237.66499999999999</v>
      </c>
      <c r="T234" s="53" cm="1">
        <f t="array" ref="T234">_xll.BDP(B234&amp;" Equity","OPT_STRIKE_PX")</f>
        <v>250</v>
      </c>
      <c r="U234" s="40">
        <f>T234/S234-1</f>
        <v>5.1900784717985537E-2</v>
      </c>
      <c r="V234" s="37" cm="1">
        <f t="array" ref="V234">_xll.BDP(B234&amp;" Equity","ivol_mid")</f>
        <v>33.42615</v>
      </c>
      <c r="W234" s="38" cm="1">
        <f t="array" ref="W234">_xll.BDP(B234&amp;" Equity","DELTA_MID_RT")</f>
        <v>0.4887097179889679</v>
      </c>
      <c r="X234" s="48">
        <f>Y234/'Master P&amp;L'!$AE$5</f>
        <v>5.429864235857089E-4</v>
      </c>
      <c r="Y234" s="15">
        <f>IF(G234="Sell", S234*W234*-H234*O234/N234, S234*W234*H234*O234/N234)</f>
        <v>1219566.5488214046</v>
      </c>
      <c r="Z234" s="15" cm="1">
        <f t="array" ref="Z234">_xll.BDP($B234&amp;" Equity","opt_theta")*H234*O234/N234</f>
        <v>-637.86450000000002</v>
      </c>
      <c r="AA234" s="19" cm="1">
        <f t="array" ref="AA234">_xll.BDP($B234&amp;" Equity","opt_theta")/I234</f>
        <v>-3.2573190348525469E-3</v>
      </c>
      <c r="AB234" s="36" t="str" cm="1">
        <f t="array" ref="AB234">_xll.BDP($C234&amp;" Equity","EXPECTED_REPORT_DT")</f>
        <v>05/02/2026</v>
      </c>
      <c r="AC234" s="15">
        <f>S234*H234*O234/N234</f>
        <v>2495482.5</v>
      </c>
      <c r="AD234" s="19">
        <f>AC234/'Master P&amp;L'!$AE$5</f>
        <v>1.1110612365559022E-3</v>
      </c>
      <c r="AE234" t="str">
        <f>B234  &amp; " -&gt; Sell to open " &amp;   H234 &amp;"x"</f>
        <v>AMZN US 07/17/26 C250 -&gt; Sell to open 105x</v>
      </c>
    </row>
    <row r="235" spans="1:37">
      <c r="A235" s="457">
        <f t="shared" si="0"/>
        <v>0.14288244068079076</v>
      </c>
      <c r="B235" s="59" t="s">
        <v>2320</v>
      </c>
      <c r="C235" t="str" cm="1">
        <f t="array" ref="C235">_xll.BDP(B235&amp;" Equity","OPT_UNDL_TICKER")</f>
        <v>MSFT US</v>
      </c>
      <c r="D235" s="43">
        <f>J235+U235</f>
        <v>8.8430258167792916E-2</v>
      </c>
      <c r="E235" cm="1">
        <f t="array" ref="E235">_xll.BDP($B235&amp;" Index","opt_days_expire")</f>
        <v>175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36.549999999999997</v>
      </c>
      <c r="J235" s="19">
        <f t="shared" ref="J235" si="2">I235/S235</f>
        <v>7.8535437638994829E-2</v>
      </c>
      <c r="K235" s="36" cm="1">
        <f t="array" ref="K235">_xll.BDP($B235&amp;" Equity","bid")</f>
        <v>36.35</v>
      </c>
      <c r="L235" s="36" cm="1">
        <f t="array" ref="L235">_xll.BDP($B235&amp;" Equity","ask")</f>
        <v>36.549999999999997</v>
      </c>
      <c r="M235" s="40">
        <f t="shared" ref="M235" si="3">(L235/K235-1)</f>
        <v>5.5020632737274866E-3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201024.99999999997</v>
      </c>
      <c r="Q235" s="58">
        <f>P235/'Master P&amp;L'!$AD$5*10000</f>
        <v>0.8950216444260789</v>
      </c>
      <c r="R235" s="37" cm="1">
        <f t="array" ref="R235">_xll.BDP($C235&amp;" Equity","EST_PE_NXT_YR")*(T235/S235)</f>
        <v>24.523177397956189</v>
      </c>
      <c r="S235" s="36" cm="1">
        <f t="array" ref="S235">_xll.BDP(C235&amp;" Equity","LAST_PRICE")</f>
        <v>465.39499999999998</v>
      </c>
      <c r="T235" s="53" cm="1">
        <f t="array" ref="T235">_xll.BDP(B235&amp;" Equity","OPT_STRIKE_PX")</f>
        <v>470</v>
      </c>
      <c r="U235" s="40">
        <f t="shared" ref="U235" si="5">T235/S235-1</f>
        <v>9.8948205287980873E-3</v>
      </c>
      <c r="V235" s="37" cm="1">
        <f t="array" ref="V235">_xll.BDP(B235&amp;" Equity","ivol_mid")</f>
        <v>27.181619999999999</v>
      </c>
      <c r="W235" s="38" cm="1">
        <f t="array" ref="W235">_xll.BDP(B235&amp;" Equity","DELTA_MID_RT")</f>
        <v>0.54965072870254517</v>
      </c>
      <c r="X235" s="48">
        <f>Y235/'Master P&amp;L'!$AE$5</f>
        <v>6.2640422445303754E-4</v>
      </c>
      <c r="Y235" s="15">
        <f t="shared" ref="Y235" si="6">IF(G235="Sell", S235*W235*-H235*O235/N235, S235*W235*H235*O235/N235)</f>
        <v>1406925.8548648655</v>
      </c>
      <c r="Z235" s="15" cm="1">
        <f t="array" ref="Z235">_xll.BDP($B235&amp;" Equity","opt_theta")*H235*O235/N235</f>
        <v>-551.77649999999994</v>
      </c>
      <c r="AA235" s="19" cm="1">
        <f t="array" ref="AA235">_xll.BDP($B235&amp;" Equity","opt_theta")/I235</f>
        <v>-2.7448153214774283E-3</v>
      </c>
      <c r="AB235" s="36" t="str" cm="1">
        <f t="array" ref="AB235">_xll.BDP($C235&amp;" Equity","EXPECTED_REPORT_DT")</f>
        <v>28/01/2026</v>
      </c>
      <c r="AC235" s="15">
        <f t="shared" ref="AC235" si="7">S235*H235*O235/N235</f>
        <v>2559672.5</v>
      </c>
      <c r="AD235" s="19">
        <f>AC235/'Master P&amp;L'!$AE$5</f>
        <v>1.1396404875722982E-3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57">
        <f t="shared" ref="A236" si="9">P236/Y236</f>
        <v>0.16475295589955097</v>
      </c>
      <c r="B236" s="59" t="s">
        <v>2322</v>
      </c>
      <c r="C236" t="str" cm="1">
        <f t="array" ref="C236">_xll.BDP(B236&amp;" Equity","OPT_UNDL_TICKER")</f>
        <v>GOOG US</v>
      </c>
      <c r="D236" s="43">
        <f>J236+U236</f>
        <v>0.13519216277317248</v>
      </c>
      <c r="E236" cm="1">
        <f t="array" ref="E236">_xll.BDP($B236&amp;" Index","opt_days_expire")</f>
        <v>175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26.6</v>
      </c>
      <c r="J236" s="19">
        <f t="shared" ref="J236" si="11">I236/S236</f>
        <v>8.0180859080633007E-2</v>
      </c>
      <c r="K236" s="36" cm="1">
        <f t="array" ref="K236">_xll.BDP($B236&amp;" Equity","bid")</f>
        <v>26.4</v>
      </c>
      <c r="L236" s="36" cm="1">
        <f t="array" ref="L236">_xll.BDP($B236&amp;" Equity","ask")</f>
        <v>26.6</v>
      </c>
      <c r="M236" s="40">
        <f t="shared" ref="M236" si="12">(L236/K236-1)</f>
        <v>7.5757575757577911E-3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186200</v>
      </c>
      <c r="Q236" s="58">
        <f>P236/'Master P&amp;L'!$AD$5*10000</f>
        <v>0.82901644169698241</v>
      </c>
      <c r="R236" s="37" cm="1">
        <f t="array" ref="R236">_xll.BDP($C236&amp;" Equity","EST_PE_NXT_YR")*(T236/S236)</f>
        <v>29.539960020436652</v>
      </c>
      <c r="S236" s="36" cm="1">
        <f t="array" ref="S236">_xll.BDP(C236&amp;" Equity","LAST_PRICE")</f>
        <v>331.75</v>
      </c>
      <c r="T236" s="53" cm="1">
        <f t="array" ref="T236">_xll.BDP(B236&amp;" Equity","OPT_STRIKE_PX")</f>
        <v>350</v>
      </c>
      <c r="U236" s="40">
        <f t="shared" ref="U236" si="14">T236/S236-1</f>
        <v>5.5011303692539482E-2</v>
      </c>
      <c r="V236" s="37" cm="1">
        <f t="array" ref="V236">_xll.BDP(B236&amp;" Equity","ivol_mid")</f>
        <v>34.795059999999999</v>
      </c>
      <c r="W236" s="38" cm="1">
        <f t="array" ref="W236">_xll.BDP(B236&amp;" Equity","DELTA_MID_RT")</f>
        <v>0.4866732656955719</v>
      </c>
      <c r="X236" s="48">
        <f>Y236/'Master P&amp;L'!$AE$5</f>
        <v>5.0318759816511552E-4</v>
      </c>
      <c r="Y236" s="15">
        <f t="shared" ref="Y236" si="15">IF(G236="Sell", S236*W236*-H236*O236/N236, S236*W236*H236*O236/N236)</f>
        <v>1130176.9912615418</v>
      </c>
      <c r="Z236" s="15" cm="1">
        <f t="array" ref="Z236">_xll.BDP($B236&amp;" Equity","opt_theta")*H236*O236/N236</f>
        <v>-644.14700000000005</v>
      </c>
      <c r="AA236" s="19" cm="1">
        <f t="array" ref="AA236">_xll.BDP($B236&amp;" Equity","opt_theta")/I236</f>
        <v>-3.4594360902255638E-3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2322250</v>
      </c>
      <c r="AD236" s="19">
        <f>AC236/'Master P&amp;L'!$AE$5</f>
        <v>1.0339330997480222E-3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57">
        <f t="shared" ref="A237" si="18">P237/Y237</f>
        <v>0.21014102126102618</v>
      </c>
      <c r="B237" s="59" t="s">
        <v>2328</v>
      </c>
      <c r="C237" t="str" cm="1">
        <f t="array" ref="C237">_xll.BDP(B237&amp;" Equity","OPT_UNDL_TICKER")</f>
        <v>NVDA US</v>
      </c>
      <c r="D237" s="43">
        <f t="shared" ref="D237" si="19">J237+U237</f>
        <v>0.15104846660094318</v>
      </c>
      <c r="E237" cm="1">
        <f t="array" ref="E237">_xll.BDP($B237&amp;" Index","opt_days_expire")</f>
        <v>175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21</v>
      </c>
      <c r="J237" s="19">
        <f t="shared" ref="J237" si="21">I237/S237</f>
        <v>0.11190748980842503</v>
      </c>
      <c r="K237" s="36" cm="1">
        <f t="array" ref="K237">_xll.BDP($B237&amp;" Equity","bid")</f>
        <v>20.85</v>
      </c>
      <c r="L237" s="36" cm="1">
        <f t="array" ref="L237">_xll.BDP($B237&amp;" Equity","ask")</f>
        <v>21</v>
      </c>
      <c r="M237" s="40">
        <f t="shared" ref="M237" si="22">(L237/K237-1)</f>
        <v>7.194244604316502E-3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283500</v>
      </c>
      <c r="Q237" s="58">
        <f>P237/'Master P&amp;L'!$AD$5*10000</f>
        <v>1.2622242815311198</v>
      </c>
      <c r="R237" s="37" cm="1">
        <f t="array" ref="R237">_xll.BDP($C237&amp;" Equity","EST_PE_NXT_YR")*(T237/S237)</f>
        <v>25.233954515883109</v>
      </c>
      <c r="S237" s="36" cm="1">
        <f t="array" ref="S237">_xll.BDP(C237&amp;" Equity","LAST_PRICE")</f>
        <v>187.655</v>
      </c>
      <c r="T237" s="53" cm="1">
        <f t="array" ref="T237">_xll.BDP(B237&amp;" Equity","OPT_STRIKE_PX")</f>
        <v>195</v>
      </c>
      <c r="U237" s="40">
        <f t="shared" ref="U237" si="24">T237/S237-1</f>
        <v>3.9140976792518156E-2</v>
      </c>
      <c r="V237" s="37" cm="1">
        <f t="array" ref="V237">_xll.BDP(B237&amp;" Equity","ivol_mid")</f>
        <v>44.076830000000001</v>
      </c>
      <c r="W237" s="38" cm="1">
        <f t="array" ref="W237">_xll.BDP(B237&amp;" Equity","DELTA_MID_RT")</f>
        <v>0.53253519535064697</v>
      </c>
      <c r="X237" s="48">
        <f>Y237/'Master P&amp;L'!$AE$5</f>
        <v>6.0065582338788149E-4</v>
      </c>
      <c r="Y237" s="15">
        <f t="shared" ref="Y237" si="25">IF(G237="Sell", S237*W237*-H237*O237/N237, S237*W237*H237*O237/N237)</f>
        <v>1349094.0431275964</v>
      </c>
      <c r="Z237" s="15" cm="1">
        <f t="array" ref="Z237">_xll.BDP($B237&amp;" Equity","opt_theta")*H237*O237/N237</f>
        <v>-855.96750000000009</v>
      </c>
      <c r="AA237" s="19" cm="1">
        <f t="array" ref="AA237">_xll.BDP($B237&amp;" Equity","opt_theta")/I237</f>
        <v>-3.0192857142857144E-3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2533342.5</v>
      </c>
      <c r="AD237" s="19">
        <f>AC237/'Master P&amp;L'!$AE$5</f>
        <v>1.1279176073843919E-3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-42.9</v>
      </c>
      <c r="J239" s="19"/>
      <c r="K239" s="109">
        <f>AVERAGE(K233:L233)-AVERAGE(K234:L234)</f>
        <v>42.724999999999994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G42" sqref="G42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4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IF(B5="","",IF(LEN(B5)&gt;9,SUMIFS(Options!$H$3:$H$23,Options!$B$3:$B$23,Check!B5),SUMIFS('Master P&amp;L'!$H$11:$H$77,'Master P&amp;L'!$B$11:$B$77,Check!B5)))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2280</v>
      </c>
      <c r="P5" s="217">
        <f>IF(O5="","",IF(OR(LEFT(O5,4)="Cash",LEFT(O5,4)="Prov"),0,SUMIFS(Input_APM!N:N,Input_APM!L:L,Check!O5)))</f>
        <v>0</v>
      </c>
      <c r="Q5" s="22">
        <f>IF(O5="","",IF(LEN(O5)&gt;9,SUMIFS(Options!$H$3:$H$23,Options!$B$3:$B$23,Check!O5),SUMIFS('Master P&amp;L'!$H$11:$H$77,'Master P&amp;L'!$B$11:$B$77,Check!O5)))</f>
        <v>0</v>
      </c>
      <c r="R5" s="217">
        <f>IF(O5="","",P5-Q5)</f>
        <v>0</v>
      </c>
      <c r="S5" s="361" t="str">
        <f>IF(O5="","",IF((P5+Q5)=0,"Ok",IF(OR(P5=0,Q5=0),"Erro",P5/Q5)))</f>
        <v>Ok</v>
      </c>
      <c r="V5" s="13"/>
    </row>
    <row r="6" spans="2:22">
      <c r="B6" t="s">
        <v>461</v>
      </c>
      <c r="C6" s="233">
        <f>IF(B6="","",IF(LEN(B6)&gt;9,SUMIFS(Options!$H$3:$H$23,Options!$B$3:$B$23,Check!B6),SUMIFS('Master P&amp;L'!$H$11:$H$77,'Master P&amp;L'!$B$11:$B$77,Check!B6)))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79</v>
      </c>
      <c r="P6" s="217">
        <f>IF(O6="","",IF(OR(LEFT(O6,4)="Cash",LEFT(O6,4)="Prov"),0,SUMIFS(Input_APM!N:N,Input_APM!L:L,Check!O6)))</f>
        <v>0</v>
      </c>
      <c r="Q6" s="22">
        <f>IF(O6="","",IF(LEN(O6)&gt;9,SUMIFS(Options!$H$3:$H$23,Options!$B$3:$B$23,Check!O6),SUMIFS('Master P&amp;L'!$H$11:$H$77,'Master P&amp;L'!$B$11:$B$77,Check!O6)))</f>
        <v>0</v>
      </c>
      <c r="R6" s="217">
        <f t="shared" ref="R6:R69" si="1">IF(O6="","",P6-Q6)</f>
        <v>0</v>
      </c>
      <c r="S6" s="361" t="str">
        <f t="shared" ref="S6:S69" si="2">IF(O6="","",IF((P6+Q6)=0,"Ok",IF(OR(P6=0,Q6=0),"Erro",P6/Q6)))</f>
        <v>Ok</v>
      </c>
      <c r="V6" s="13"/>
    </row>
    <row r="7" spans="2:22">
      <c r="B7" t="s">
        <v>2144</v>
      </c>
      <c r="C7" s="233">
        <f>IF(B7="","",IF(LEN(B7)&gt;9,SUMIFS(Options!$H$3:$H$23,Options!$B$3:$B$23,Check!B7),SUMIFS('Master P&amp;L'!$H$11:$H$77,'Master P&amp;L'!$B$11:$B$77,Check!B7)))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2257</v>
      </c>
      <c r="P7" s="217">
        <f>IF(O7="","",IF(OR(LEFT(O7,4)="Cash",LEFT(O7,4)="Prov"),0,SUMIFS(Input_APM!N:N,Input_APM!L:L,Check!O7)))</f>
        <v>-23</v>
      </c>
      <c r="Q7" s="22">
        <f>IF(O7="","",IF(LEN(O7)&gt;9,SUMIFS(Options!$H$3:$H$23,Options!$B$3:$B$23,Check!O7),SUMIFS('Master P&amp;L'!$H$11:$H$77,'Master P&amp;L'!$B$11:$B$77,Check!O7)))</f>
        <v>-25</v>
      </c>
      <c r="R7" s="217">
        <f t="shared" si="1"/>
        <v>2</v>
      </c>
      <c r="S7" s="361">
        <f t="shared" si="2"/>
        <v>0.92</v>
      </c>
      <c r="V7" s="13"/>
    </row>
    <row r="8" spans="2:22">
      <c r="B8" t="s">
        <v>38</v>
      </c>
      <c r="C8" s="233">
        <f>IF(B8="","",IF(LEN(B8)&gt;9,SUMIFS(Options!$H$3:$H$23,Options!$B$3:$B$23,Check!B8),SUMIFS('Master P&amp;L'!$H$11:$H$77,'Master P&amp;L'!$B$11:$B$77,Check!B8)))</f>
        <v>0</v>
      </c>
      <c r="D8" s="233">
        <f>IF(B8="","",SUMIFS(Input_APM!N:N,Input_APM!L:L,Check!B8,Input_APM!M:M,Check!$F$1))</f>
        <v>0</v>
      </c>
      <c r="E8" s="219">
        <f>IF(B8="","",C8-M8)</f>
        <v>0</v>
      </c>
      <c r="F8" s="233">
        <f>IF(B8="","",SUMIFS(Input_APM!N:N,Input_APM!M:M,Check!$F$1,Input_APM!L:L,Check!B8))</f>
        <v>0</v>
      </c>
      <c r="G8" s="233">
        <f>IF(B8="","",SUMIFS(Input_APM!N:N,Input_APM!M:M,Check!$G$1,Input_APM!L:L,Check!B8))</f>
        <v>0</v>
      </c>
      <c r="H8" s="217">
        <f t="shared" si="0"/>
        <v>0</v>
      </c>
      <c r="I8" s="217">
        <f>SUMIFS(Input_APM!N:N,Input_APM!L:L,Check!B8)</f>
        <v>0</v>
      </c>
      <c r="J8" s="219">
        <f t="shared" si="3"/>
        <v>0</v>
      </c>
      <c r="K8" s="22">
        <f>IF(B8="","",SUMIFS('Input_APM (Zenith)'!N:N,'Input_APM (Zenith)'!L:L,Check!B8,'Input_APM (Zenith)'!M:M,Check!$F$1))</f>
        <v>0</v>
      </c>
      <c r="L8" s="22">
        <f>IF(B8="","",SUMIFS('Input_APM (Zenith)'!N:N,'Input_APM (Zenith)'!L:L,Check!B8,'Input_APM (Zenith)'!M:M,Check!$G$1))</f>
        <v>0</v>
      </c>
      <c r="M8" s="240">
        <f t="shared" si="4"/>
        <v>0</v>
      </c>
      <c r="O8" t="s">
        <v>2258</v>
      </c>
      <c r="P8" s="217">
        <f>IF(O8="","",IF(OR(LEFT(O8,4)="Cash",LEFT(O8,4)="Prov"),0,SUMIFS(Input_APM!N:N,Input_APM!L:L,Check!O8)))</f>
        <v>117</v>
      </c>
      <c r="Q8" s="22">
        <f>IF(O8="","",IF(LEN(O8)&gt;9,SUMIFS(Options!$H$3:$H$23,Options!$B$3:$B$23,Check!O8),SUMIFS('Master P&amp;L'!$H$11:$H$77,'Master P&amp;L'!$B$11:$B$77,Check!O8)))</f>
        <v>125</v>
      </c>
      <c r="R8" s="217">
        <f t="shared" si="1"/>
        <v>-8</v>
      </c>
      <c r="S8" s="361">
        <f t="shared" si="2"/>
        <v>0.93600000000000005</v>
      </c>
      <c r="V8" s="13"/>
    </row>
    <row r="9" spans="2:22">
      <c r="B9" t="s">
        <v>135</v>
      </c>
      <c r="C9" s="233">
        <f>IF(B9="","",IF(LEN(B9)&gt;9,SUMIFS(Options!$H$3:$H$23,Options!$B$3:$B$23,Check!B9),SUMIFS('Master P&amp;L'!$H$11:$H$77,'Master P&amp;L'!$B$11:$B$77,Check!B9)))</f>
        <v>0</v>
      </c>
      <c r="D9" s="233">
        <f>IF(B9="","",SUMIFS(Input_APM!N:N,Input_APM!L:L,Check!B9,Input_APM!M:M,Check!$F$1))</f>
        <v>0</v>
      </c>
      <c r="E9" s="219">
        <f>IF(B9="","",C9-M9)</f>
        <v>0</v>
      </c>
      <c r="F9" s="233">
        <f>IF(B9="","",SUMIFS(Input_APM!N:N,Input_APM!M:M,Check!$F$1,Input_APM!L:L,Check!B9))</f>
        <v>0</v>
      </c>
      <c r="G9" s="233">
        <f>IF(B9="","",SUMIFS(Input_APM!N:N,Input_APM!M:M,Check!$G$1,Input_APM!L:L,Check!B9))</f>
        <v>0</v>
      </c>
      <c r="H9" s="217">
        <f t="shared" si="0"/>
        <v>0</v>
      </c>
      <c r="I9" s="217">
        <f>SUMIFS(Input_APM!N:N,Input_APM!L:L,Check!B9)</f>
        <v>0</v>
      </c>
      <c r="J9" s="219">
        <f t="shared" si="3"/>
        <v>0</v>
      </c>
      <c r="K9" s="22">
        <f>IF(B9="","",SUMIFS('Input_APM (Zenith)'!N:N,'Input_APM (Zenith)'!L:L,Check!B9,'Input_APM (Zenith)'!M:M,Check!$F$1))</f>
        <v>0</v>
      </c>
      <c r="L9" s="22">
        <f>IF(B9="","",SUMIFS('Input_APM (Zenith)'!N:N,'Input_APM (Zenith)'!L:L,Check!B9,'Input_APM (Zenith)'!M:M,Check!$G$1))</f>
        <v>0</v>
      </c>
      <c r="M9" s="240">
        <f t="shared" si="4"/>
        <v>0</v>
      </c>
      <c r="O9" t="s">
        <v>399</v>
      </c>
      <c r="P9" s="217">
        <f>IF(O9="","",IF(OR(LEFT(O9,4)="Cash",LEFT(O9,4)="Prov"),0,SUMIFS(Input_APM!N:N,Input_APM!L:L,Check!O9)))</f>
        <v>10709</v>
      </c>
      <c r="Q9" s="22">
        <f>IF(O9="","",IF(LEN(O9)&gt;9,SUMIFS(Options!$H$3:$H$23,Options!$B$3:$B$23,Check!O9),SUMIFS('Master P&amp;L'!$H$11:$H$77,'Master P&amp;L'!$B$11:$B$77,Check!O9)))</f>
        <v>11435</v>
      </c>
      <c r="R9" s="217">
        <f t="shared" si="1"/>
        <v>-726</v>
      </c>
      <c r="S9" s="361">
        <f t="shared" si="2"/>
        <v>0.9365107127240927</v>
      </c>
      <c r="V9" s="13"/>
    </row>
    <row r="10" spans="2:22">
      <c r="B10" t="s">
        <v>131</v>
      </c>
      <c r="C10" s="233">
        <f>IF(B10="","",IF(LEN(B10)&gt;9,SUMIFS(Options!$H$3:$H$23,Options!$B$3:$B$23,Check!B10),SUMIFS('Master P&amp;L'!$H$11:$H$77,'Master P&amp;L'!$B$11:$B$77,Check!B10)))</f>
        <v>14800</v>
      </c>
      <c r="D10" s="233">
        <f>IF(B10="","",SUMIFS(Input_APM!N:N,Input_APM!L:L,Check!B10,Input_APM!M:M,Check!$F$1))</f>
        <v>0</v>
      </c>
      <c r="E10" s="217">
        <f t="shared" ref="E10:E65" si="5">IF(B10="","",C10-M10)</f>
        <v>14800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2318</v>
      </c>
      <c r="P10" s="217">
        <f>IF(O10="","",IF(OR(LEFT(O10,4)="Cash",LEFT(O10,4)="Prov"),0,SUMIFS(Input_APM!N:N,Input_APM!L:L,Check!O10)))</f>
        <v>46</v>
      </c>
      <c r="Q10" s="22">
        <f>IF(O10="","",IF(LEN(O10)&gt;9,SUMIFS(Options!$H$3:$H$23,Options!$B$3:$B$23,Check!O10),SUMIFS('Master P&amp;L'!$H$11:$H$77,'Master P&amp;L'!$B$11:$B$77,Check!O10)))</f>
        <v>50</v>
      </c>
      <c r="R10" s="217">
        <f t="shared" si="1"/>
        <v>-4</v>
      </c>
      <c r="S10" s="361">
        <f t="shared" si="2"/>
        <v>0.92</v>
      </c>
      <c r="V10" s="13"/>
    </row>
    <row r="11" spans="2:22">
      <c r="B11" t="s">
        <v>2152</v>
      </c>
      <c r="C11" s="233">
        <f>IF(B11="","",IF(LEN(B11)&gt;9,SUMIFS(Options!$H$3:$H$23,Options!$B$3:$B$23,Check!B11),SUMIFS('Master P&amp;L'!$H$11:$H$77,'Master P&amp;L'!$B$11:$B$77,Check!B11)))</f>
        <v>14800</v>
      </c>
      <c r="D11" s="233">
        <f>IF(B11="","",SUMIFS(Input_APM!N:N,Input_APM!L:L,Check!B11,Input_APM!M:M,Check!$F$1))</f>
        <v>13873</v>
      </c>
      <c r="E11" s="217">
        <f t="shared" si="5"/>
        <v>0</v>
      </c>
      <c r="F11" s="233">
        <f>IF(B11="","",SUMIFS(Input_APM!N:N,Input_APM!M:M,Check!$F$1,Input_APM!L:L,Check!B11))</f>
        <v>13873</v>
      </c>
      <c r="G11" s="233">
        <f>IF(B11="","",SUMIFS(Input_APM!N:N,Input_APM!M:M,Check!$G$1,Input_APM!L:L,Check!B11))</f>
        <v>0</v>
      </c>
      <c r="H11" s="217">
        <f t="shared" si="0"/>
        <v>13873</v>
      </c>
      <c r="I11" s="217">
        <f>SUMIFS(Input_APM!N:N,Input_APM!L:L,Check!B11)</f>
        <v>13873</v>
      </c>
      <c r="J11" s="219">
        <f t="shared" si="3"/>
        <v>0</v>
      </c>
      <c r="K11" s="22">
        <f>IF(B11="","",SUMIFS('Input_APM (Zenith)'!N:N,'Input_APM (Zenith)'!L:L,Check!B11,'Input_APM (Zenith)'!M:M,Check!$F$1))</f>
        <v>927</v>
      </c>
      <c r="L11" s="22">
        <f>IF(B11="","",SUMIFS('Input_APM (Zenith)'!N:N,'Input_APM (Zenith)'!L:L,Check!B11,'Input_APM (Zenith)'!M:M,Check!$G$1))</f>
        <v>0</v>
      </c>
      <c r="M11" s="240">
        <f t="shared" si="4"/>
        <v>14800</v>
      </c>
      <c r="O11" t="s">
        <v>2234</v>
      </c>
      <c r="P11" s="217">
        <f>IF(O11="","",IF(OR(LEFT(O11,4)="Cash",LEFT(O11,4)="Prov"),0,SUMIFS(Input_APM!N:N,Input_APM!L:L,Check!O11)))</f>
        <v>1874</v>
      </c>
      <c r="Q11" s="22">
        <f>IF(O11="","",IF(LEN(O11)&gt;9,SUMIFS(Options!$H$3:$H$23,Options!$B$3:$B$23,Check!O11),SUMIFS('Master P&amp;L'!$H$11:$H$77,'Master P&amp;L'!$B$11:$B$77,Check!O11)))</f>
        <v>2000</v>
      </c>
      <c r="R11" s="217">
        <f t="shared" si="1"/>
        <v>-126</v>
      </c>
      <c r="S11" s="361">
        <f t="shared" si="2"/>
        <v>0.93700000000000006</v>
      </c>
      <c r="V11" s="13"/>
    </row>
    <row r="12" spans="2:22">
      <c r="B12" t="s">
        <v>399</v>
      </c>
      <c r="C12" s="233">
        <f>IF(B12="","",IF(LEN(B12)&gt;9,SUMIFS(Options!$H$3:$H$23,Options!$B$3:$B$23,Check!B12),SUMIFS('Master P&amp;L'!$H$11:$H$77,'Master P&amp;L'!$B$11:$B$77,Check!B12)))</f>
        <v>11435</v>
      </c>
      <c r="D12" s="233">
        <f>IF(B12="","",SUMIFS(Input_APM!N:N,Input_APM!L:L,Check!B12,Input_APM!M:M,Check!$F$1))</f>
        <v>10709</v>
      </c>
      <c r="E12" s="217">
        <f t="shared" si="5"/>
        <v>0</v>
      </c>
      <c r="F12" s="233">
        <f>IF(B12="","",SUMIFS(Input_APM!N:N,Input_APM!M:M,Check!$F$1,Input_APM!L:L,Check!B12))</f>
        <v>10709</v>
      </c>
      <c r="G12" s="233">
        <f>IF(B12="","",SUMIFS(Input_APM!N:N,Input_APM!M:M,Check!$G$1,Input_APM!L:L,Check!B12))</f>
        <v>0</v>
      </c>
      <c r="H12" s="217">
        <f t="shared" si="0"/>
        <v>10709</v>
      </c>
      <c r="I12" s="217">
        <f>SUMIFS(Input_APM!N:N,Input_APM!L:L,Check!B12)</f>
        <v>10709</v>
      </c>
      <c r="J12" s="219">
        <f t="shared" si="3"/>
        <v>0</v>
      </c>
      <c r="K12" s="22">
        <f>IF(B12="","",SUMIFS('Input_APM (Zenith)'!N:N,'Input_APM (Zenith)'!L:L,Check!B12,'Input_APM (Zenith)'!M:M,Check!$F$1))</f>
        <v>726</v>
      </c>
      <c r="L12" s="22">
        <f>IF(B12="","",SUMIFS('Input_APM (Zenith)'!N:N,'Input_APM (Zenith)'!L:L,Check!B12,'Input_APM (Zenith)'!M:M,Check!$G$1))</f>
        <v>0</v>
      </c>
      <c r="M12" s="240">
        <f t="shared" si="4"/>
        <v>11435</v>
      </c>
      <c r="O12" t="s">
        <v>137</v>
      </c>
      <c r="P12" s="217">
        <f>IF(O12="","",IF(OR(LEFT(O12,4)="Cash",LEFT(O12,4)="Prov"),0,SUMIFS(Input_APM!N:N,Input_APM!L:L,Check!O12)))</f>
        <v>3370</v>
      </c>
      <c r="Q12" s="22">
        <f>IF(O12="","",IF(LEN(O12)&gt;9,SUMIFS(Options!$H$3:$H$23,Options!$B$3:$B$23,Check!O12),SUMIFS('Master P&amp;L'!$H$11:$H$77,'Master P&amp;L'!$B$11:$B$77,Check!O12)))</f>
        <v>3430</v>
      </c>
      <c r="R12" s="217">
        <f t="shared" si="1"/>
        <v>-60</v>
      </c>
      <c r="S12" s="361">
        <f t="shared" si="2"/>
        <v>0.98250728862973757</v>
      </c>
      <c r="V12" s="13"/>
    </row>
    <row r="13" spans="2:22">
      <c r="B13" t="s">
        <v>81</v>
      </c>
      <c r="C13" s="233">
        <f>IF(B13="","",IF(LEN(B13)&gt;9,SUMIFS(Options!$H$3:$H$23,Options!$B$3:$B$23,Check!B13),SUMIFS('Master P&amp;L'!$H$11:$H$77,'Master P&amp;L'!$B$11:$B$77,Check!B13)))</f>
        <v>1345</v>
      </c>
      <c r="D13" s="233">
        <f>IF(B13="","",SUMIFS(Input_APM!N:N,Input_APM!L:L,Check!B13,Input_APM!M:M,Check!$F$1))</f>
        <v>1252</v>
      </c>
      <c r="E13" s="219">
        <f t="shared" si="5"/>
        <v>0</v>
      </c>
      <c r="F13" s="233">
        <f>IF(B13="","",SUMIFS(Input_APM!N:N,Input_APM!M:M,Check!$F$1,Input_APM!L:L,Check!B13))</f>
        <v>1252</v>
      </c>
      <c r="G13" s="233">
        <f>IF(B13="","",SUMIFS(Input_APM!N:N,Input_APM!M:M,Check!$G$1,Input_APM!L:L,Check!B13))</f>
        <v>0</v>
      </c>
      <c r="H13" s="217">
        <f t="shared" si="0"/>
        <v>1252</v>
      </c>
      <c r="I13" s="217">
        <f>SUMIFS(Input_APM!N:N,Input_APM!L:L,Check!B13)</f>
        <v>1252</v>
      </c>
      <c r="J13" s="219">
        <f t="shared" si="3"/>
        <v>0</v>
      </c>
      <c r="K13" s="22">
        <f>IF(B13="","",SUMIFS('Input_APM (Zenith)'!N:N,'Input_APM (Zenith)'!L:L,Check!B13,'Input_APM (Zenith)'!M:M,Check!$F$1))</f>
        <v>93</v>
      </c>
      <c r="L13" s="22">
        <f>IF(B13="","",SUMIFS('Input_APM (Zenith)'!N:N,'Input_APM (Zenith)'!L:L,Check!B13,'Input_APM (Zenith)'!M:M,Check!$G$1))</f>
        <v>0</v>
      </c>
      <c r="M13" s="240">
        <f t="shared" si="4"/>
        <v>1345</v>
      </c>
      <c r="O13" t="s">
        <v>2106</v>
      </c>
      <c r="P13" s="217">
        <f>IF(O13="","",IF(OR(LEFT(O13,4)="Cash",LEFT(O13,4)="Prov"),0,SUMIFS(Input_APM!N:N,Input_APM!L:L,Check!O13)))</f>
        <v>114</v>
      </c>
      <c r="Q13" s="22">
        <f>IF(O13="","",IF(LEN(O13)&gt;9,SUMIFS(Options!$H$3:$H$23,Options!$B$3:$B$23,Check!O13),SUMIFS('Master P&amp;L'!$H$11:$H$77,'Master P&amp;L'!$B$11:$B$77,Check!O13)))</f>
        <v>120</v>
      </c>
      <c r="R13" s="217">
        <f t="shared" si="1"/>
        <v>-6</v>
      </c>
      <c r="S13" s="361">
        <f t="shared" si="2"/>
        <v>0.95</v>
      </c>
      <c r="V13" s="13"/>
    </row>
    <row r="14" spans="2:22">
      <c r="B14" t="s">
        <v>90</v>
      </c>
      <c r="C14" s="233">
        <f>IF(B14="","",IF(LEN(B14)&gt;9,SUMIFS(Options!$H$3:$H$23,Options!$B$3:$B$23,Check!B14),SUMIFS('Master P&amp;L'!$H$11:$H$77,'Master P&amp;L'!$B$11:$B$77,Check!B14)))</f>
        <v>3500</v>
      </c>
      <c r="D14" s="233">
        <f>IF(B14="","",SUMIFS(Input_APM!N:N,Input_APM!L:L,Check!B14,Input_APM!M:M,Check!$F$1))</f>
        <v>3270</v>
      </c>
      <c r="E14" s="217">
        <f t="shared" si="5"/>
        <v>0</v>
      </c>
      <c r="F14" s="233">
        <f>IF(B14="","",SUMIFS(Input_APM!N:N,Input_APM!M:M,Check!$F$1,Input_APM!L:L,Check!B14))</f>
        <v>3270</v>
      </c>
      <c r="G14" s="233">
        <f>IF(B14="","",SUMIFS(Input_APM!N:N,Input_APM!M:M,Check!$G$1,Input_APM!L:L,Check!B14))</f>
        <v>0</v>
      </c>
      <c r="H14" s="217">
        <f t="shared" si="0"/>
        <v>3270</v>
      </c>
      <c r="I14" s="217">
        <f>SUMIFS(Input_APM!N:N,Input_APM!L:L,Check!B14)</f>
        <v>3270</v>
      </c>
      <c r="J14" s="219">
        <f t="shared" si="3"/>
        <v>0</v>
      </c>
      <c r="K14" s="22">
        <f>IF(B14="","",SUMIFS('Input_APM (Zenith)'!N:N,'Input_APM (Zenith)'!L:L,Check!B14,'Input_APM (Zenith)'!M:M,Check!$F$1))</f>
        <v>230</v>
      </c>
      <c r="L14" s="22">
        <f>IF(B14="","",SUMIFS('Input_APM (Zenith)'!N:N,'Input_APM (Zenith)'!L:L,Check!B14,'Input_APM (Zenith)'!M:M,Check!$G$1))</f>
        <v>0</v>
      </c>
      <c r="M14" s="240">
        <f t="shared" si="4"/>
        <v>3500</v>
      </c>
      <c r="O14" t="s">
        <v>2108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IF(O14="","",IF(LEN(O14)&gt;9,SUMIFS(Options!$H$3:$H$23,Options!$B$3:$B$23,Check!O14),SUMIFS('Master P&amp;L'!$H$11:$H$77,'Master P&amp;L'!$B$11:$B$77,Check!O14)))</f>
        <v>0</v>
      </c>
      <c r="R14" s="217">
        <f t="shared" si="1"/>
        <v>0</v>
      </c>
      <c r="S14" s="361" t="str">
        <f t="shared" si="2"/>
        <v>Ok</v>
      </c>
      <c r="V14" s="13"/>
    </row>
    <row r="15" spans="2:22">
      <c r="B15" t="s">
        <v>2295</v>
      </c>
      <c r="C15" s="233">
        <f>IF(B15="","",IF(LEN(B15)&gt;9,SUMIFS(Options!$H$3:$H$23,Options!$B$3:$B$23,Check!B15),SUMIFS('Master P&amp;L'!$H$11:$H$77,'Master P&amp;L'!$B$11:$B$77,Check!B15)))</f>
        <v>2400</v>
      </c>
      <c r="D15" s="233">
        <f>IF(B15="","",SUMIFS(Input_APM!N:N,Input_APM!L:L,Check!B15,Input_APM!M:M,Check!$F$1))</f>
        <v>0</v>
      </c>
      <c r="E15" s="219">
        <f t="shared" si="5"/>
        <v>2400</v>
      </c>
      <c r="F15" s="233">
        <f>IF(B15="","",SUMIFS(Input_APM!N:N,Input_APM!M:M,Check!$F$1,Input_APM!L:L,Check!B15))</f>
        <v>0</v>
      </c>
      <c r="G15" s="233">
        <f>IF(B15="","",SUMIFS(Input_APM!N:N,Input_APM!M:M,Check!$G$1,Input_APM!L:L,Check!B15))</f>
        <v>0</v>
      </c>
      <c r="H15" s="217">
        <f t="shared" si="0"/>
        <v>0</v>
      </c>
      <c r="I15" s="217">
        <f>SUMIFS(Input_APM!N:N,Input_APM!L:L,Check!B15)</f>
        <v>0</v>
      </c>
      <c r="J15" s="219">
        <f t="shared" si="3"/>
        <v>0</v>
      </c>
      <c r="K15" s="22">
        <f>IF(B15="","",SUMIFS('Input_APM (Zenith)'!N:N,'Input_APM (Zenith)'!L:L,Check!B15,'Input_APM (Zenith)'!M:M,Check!$F$1))</f>
        <v>0</v>
      </c>
      <c r="L15" s="22">
        <f>IF(B15="","",SUMIFS('Input_APM (Zenith)'!N:N,'Input_APM (Zenith)'!L:L,Check!B15,'Input_APM (Zenith)'!M:M,Check!$G$1))</f>
        <v>0</v>
      </c>
      <c r="M15" s="240">
        <f t="shared" si="4"/>
        <v>0</v>
      </c>
      <c r="O15" t="s">
        <v>461</v>
      </c>
      <c r="P15" s="217">
        <f>IF(O15="","",IF(OR(LEFT(O15,4)="Cash",LEFT(O15,4)="Prov"),0,SUMIFS(Input_APM!N:N,Input_APM!L:L,Check!O15)))</f>
        <v>3163</v>
      </c>
      <c r="Q15" s="22">
        <f>IF(O15="","",IF(LEN(O15)&gt;9,SUMIFS(Options!$H$3:$H$23,Options!$B$3:$B$23,Check!O15),SUMIFS('Master P&amp;L'!$H$11:$H$77,'Master P&amp;L'!$B$11:$B$77,Check!O15)))</f>
        <v>3378</v>
      </c>
      <c r="R15" s="217">
        <f t="shared" si="1"/>
        <v>-215</v>
      </c>
      <c r="S15" s="361">
        <f t="shared" si="2"/>
        <v>0.9363528715216104</v>
      </c>
      <c r="V15" s="13"/>
    </row>
    <row r="16" spans="2:22">
      <c r="B16" t="s">
        <v>2298</v>
      </c>
      <c r="C16" s="233">
        <f>IF(B16="","",IF(LEN(B16)&gt;9,SUMIFS(Options!$H$3:$H$23,Options!$B$3:$B$23,Check!B16),SUMIFS('Master P&amp;L'!$H$11:$H$77,'Master P&amp;L'!$B$11:$B$77,Check!B16)))</f>
        <v>0</v>
      </c>
      <c r="D16" s="233">
        <f>IF(B16="","",SUMIFS(Input_APM!N:N,Input_APM!L:L,Check!B16,Input_APM!M:M,Check!$F$1))</f>
        <v>0</v>
      </c>
      <c r="E16" s="217">
        <f t="shared" si="5"/>
        <v>0</v>
      </c>
      <c r="F16" s="233">
        <f>IF(B16="","",SUMIFS(Input_APM!N:N,Input_APM!M:M,Check!$F$1,Input_APM!L:L,Check!B16))</f>
        <v>0</v>
      </c>
      <c r="G16" s="233">
        <f>IF(B16="","",SUMIFS(Input_APM!N:N,Input_APM!M:M,Check!$G$1,Input_APM!L:L,Check!B16))</f>
        <v>0</v>
      </c>
      <c r="H16" s="217">
        <f t="shared" si="0"/>
        <v>0</v>
      </c>
      <c r="I16" s="217">
        <f>SUMIFS(Input_APM!N:N,Input_APM!L:L,Check!B16)</f>
        <v>0</v>
      </c>
      <c r="J16" s="219">
        <f t="shared" si="3"/>
        <v>0</v>
      </c>
      <c r="K16" s="22">
        <f>IF(B16="","",SUMIFS('Input_APM (Zenith)'!N:N,'Input_APM (Zenith)'!L:L,Check!B16,'Input_APM (Zenith)'!M:M,Check!$F$1))</f>
        <v>0</v>
      </c>
      <c r="L16" s="22">
        <f>IF(B16="","",SUMIFS('Input_APM (Zenith)'!N:N,'Input_APM (Zenith)'!L:L,Check!B16,'Input_APM (Zenith)'!M:M,Check!$G$1))</f>
        <v>0</v>
      </c>
      <c r="M16" s="240">
        <f t="shared" si="4"/>
        <v>0</v>
      </c>
      <c r="O16" t="s">
        <v>2144</v>
      </c>
      <c r="P16" s="217">
        <f>IF(O16="","",IF(OR(LEFT(O16,4)="Cash",LEFT(O16,4)="Prov"),0,SUMIFS(Input_APM!N:N,Input_APM!L:L,Check!O16)))</f>
        <v>3285</v>
      </c>
      <c r="Q16" s="22">
        <f>IF(O16="","",IF(LEN(O16)&gt;9,SUMIFS(Options!$H$3:$H$23,Options!$B$3:$B$23,Check!O16),SUMIFS('Master P&amp;L'!$H$11:$H$77,'Master P&amp;L'!$B$11:$B$77,Check!O16)))</f>
        <v>3510</v>
      </c>
      <c r="R16" s="217">
        <f t="shared" si="1"/>
        <v>-225</v>
      </c>
      <c r="S16" s="361">
        <f t="shared" si="2"/>
        <v>0.9358974358974359</v>
      </c>
      <c r="V16" s="13"/>
    </row>
    <row r="17" spans="2:22">
      <c r="B17" t="s">
        <v>1754</v>
      </c>
      <c r="C17" s="233">
        <f>IF(B17="","",IF(LEN(B17)&gt;9,SUMIFS(Options!$H$3:$H$23,Options!$B$3:$B$23,Check!B17),SUMIFS('Master P&amp;L'!$H$11:$H$77,'Master P&amp;L'!$B$11:$B$77,Check!B17)))</f>
        <v>42000</v>
      </c>
      <c r="D17" s="233">
        <f>IF(B17="","",SUMIFS(Input_APM!N:N,Input_APM!L:L,Check!B17,Input_APM!M:M,Check!$F$1))</f>
        <v>39308</v>
      </c>
      <c r="E17" s="219">
        <f t="shared" si="5"/>
        <v>0</v>
      </c>
      <c r="F17" s="233">
        <f>IF(B17="","",SUMIFS(Input_APM!N:N,Input_APM!M:M,Check!$F$1,Input_APM!L:L,Check!B17))</f>
        <v>39308</v>
      </c>
      <c r="G17" s="233">
        <f>IF(B17="","",SUMIFS(Input_APM!N:N,Input_APM!M:M,Check!$G$1,Input_APM!L:L,Check!B17))</f>
        <v>0</v>
      </c>
      <c r="H17" s="217">
        <f t="shared" si="0"/>
        <v>39308</v>
      </c>
      <c r="I17" s="217">
        <f>SUMIFS(Input_APM!N:N,Input_APM!L:L,Check!B17)</f>
        <v>39308</v>
      </c>
      <c r="J17" s="219">
        <f t="shared" si="3"/>
        <v>0</v>
      </c>
      <c r="K17" s="22">
        <f>IF(B17="","",SUMIFS('Input_APM (Zenith)'!N:N,'Input_APM (Zenith)'!L:L,Check!B17,'Input_APM (Zenith)'!M:M,Check!$F$1))</f>
        <v>2692</v>
      </c>
      <c r="L17" s="22">
        <f>IF(B17="","",SUMIFS('Input_APM (Zenith)'!N:N,'Input_APM (Zenith)'!L:L,Check!B17,'Input_APM (Zenith)'!M:M,Check!$G$1))</f>
        <v>0</v>
      </c>
      <c r="M17" s="240">
        <f t="shared" si="4"/>
        <v>42000</v>
      </c>
      <c r="O17" t="s">
        <v>295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IF(O17="","",IF(LEN(O17)&gt;9,SUMIFS(Options!$H$3:$H$23,Options!$B$3:$B$23,Check!O17),SUMIFS('Master P&amp;L'!$H$11:$H$77,'Master P&amp;L'!$B$11:$B$77,Check!O17)))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2064</v>
      </c>
      <c r="C18" s="233">
        <f>IF(B18="","",IF(LEN(B18)&gt;9,SUMIFS(Options!$H$3:$H$23,Options!$B$3:$B$23,Check!B18),SUMIFS('Master P&amp;L'!$H$11:$H$77,'Master P&amp;L'!$B$11:$B$77,Check!B18)))</f>
        <v>1200</v>
      </c>
      <c r="D18" s="233">
        <f>IF(B18="","",SUMIFS(Input_APM!N:N,Input_APM!L:L,Check!B18,Input_APM!M:M,Check!$F$1))</f>
        <v>1123</v>
      </c>
      <c r="E18" s="219">
        <f t="shared" si="5"/>
        <v>0</v>
      </c>
      <c r="F18" s="233">
        <f>IF(B18="","",SUMIFS(Input_APM!N:N,Input_APM!M:M,Check!$F$1,Input_APM!L:L,Check!B18))</f>
        <v>1123</v>
      </c>
      <c r="G18" s="233">
        <f>IF(B18="","",SUMIFS(Input_APM!N:N,Input_APM!M:M,Check!$G$1,Input_APM!L:L,Check!B18))</f>
        <v>0</v>
      </c>
      <c r="H18" s="217">
        <f t="shared" si="0"/>
        <v>1123</v>
      </c>
      <c r="I18" s="217">
        <f>SUMIFS(Input_APM!N:N,Input_APM!L:L,Check!B18)</f>
        <v>1123</v>
      </c>
      <c r="J18" s="219">
        <f t="shared" si="3"/>
        <v>0</v>
      </c>
      <c r="K18" s="22">
        <f>IF(B18="","",SUMIFS('Input_APM (Zenith)'!N:N,'Input_APM (Zenith)'!L:L,Check!B18,'Input_APM (Zenith)'!M:M,Check!$F$1))</f>
        <v>77</v>
      </c>
      <c r="L18" s="22">
        <f>IF(B18="","",SUMIFS('Input_APM (Zenith)'!N:N,'Input_APM (Zenith)'!L:L,Check!B18,'Input_APM (Zenith)'!M:M,Check!$G$1))</f>
        <v>0</v>
      </c>
      <c r="M18" s="240">
        <f t="shared" si="4"/>
        <v>1200</v>
      </c>
      <c r="O18" t="s">
        <v>296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IF(O18="","",IF(LEN(O18)&gt;9,SUMIFS(Options!$H$3:$H$23,Options!$B$3:$B$23,Check!O18),SUMIFS('Master P&amp;L'!$H$11:$H$77,'Master P&amp;L'!$B$11:$B$77,Check!O18)))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137</v>
      </c>
      <c r="C19" s="233">
        <f>IF(B19="","",IF(LEN(B19)&gt;9,SUMIFS(Options!$H$3:$H$23,Options!$B$3:$B$23,Check!B19),SUMIFS('Master P&amp;L'!$H$11:$H$77,'Master P&amp;L'!$B$11:$B$77,Check!B19)))</f>
        <v>3430</v>
      </c>
      <c r="D19" s="233">
        <f>IF(B19="","",SUMIFS(Input_APM!N:N,Input_APM!L:L,Check!B19,Input_APM!M:M,Check!$F$1))</f>
        <v>3370</v>
      </c>
      <c r="E19" s="219">
        <f t="shared" si="5"/>
        <v>0</v>
      </c>
      <c r="F19" s="233">
        <f>IF(B19="","",SUMIFS(Input_APM!N:N,Input_APM!M:M,Check!$F$1,Input_APM!L:L,Check!B19))</f>
        <v>3370</v>
      </c>
      <c r="G19" s="233">
        <f>IF(B19="","",SUMIFS(Input_APM!N:N,Input_APM!M:M,Check!$G$1,Input_APM!L:L,Check!B19))</f>
        <v>0</v>
      </c>
      <c r="H19" s="217">
        <f t="shared" si="0"/>
        <v>3370</v>
      </c>
      <c r="I19" s="217">
        <f>SUMIFS(Input_APM!N:N,Input_APM!L:L,Check!B19)</f>
        <v>3370</v>
      </c>
      <c r="J19" s="219">
        <f t="shared" si="3"/>
        <v>0</v>
      </c>
      <c r="K19" s="22">
        <f>IF(B19="","",SUMIFS('Input_APM (Zenith)'!N:N,'Input_APM (Zenith)'!L:L,Check!B19,'Input_APM (Zenith)'!M:M,Check!$F$1))</f>
        <v>60</v>
      </c>
      <c r="L19" s="22">
        <f>IF(B19="","",SUMIFS('Input_APM (Zenith)'!N:N,'Input_APM (Zenith)'!L:L,Check!B19,'Input_APM (Zenith)'!M:M,Check!$G$1))</f>
        <v>0</v>
      </c>
      <c r="M19" s="240">
        <f t="shared" si="4"/>
        <v>3430</v>
      </c>
      <c r="O19" t="s">
        <v>297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IF(O19="","",IF(LEN(O19)&gt;9,SUMIFS(Options!$H$3:$H$23,Options!$B$3:$B$23,Check!O19),SUMIFS('Master P&amp;L'!$H$11:$H$77,'Master P&amp;L'!$B$11:$B$77,Check!O19)))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96</v>
      </c>
      <c r="C20" s="233">
        <f>IF(B20="","",IF(LEN(B20)&gt;9,SUMIFS(Options!$H$3:$H$23,Options!$B$3:$B$23,Check!B20),SUMIFS('Master P&amp;L'!$H$11:$H$77,'Master P&amp;L'!$B$11:$B$77,Check!B20)))</f>
        <v>4100</v>
      </c>
      <c r="D20" s="233">
        <f>IF(B20="","",SUMIFS(Input_APM!N:N,Input_APM!L:L,Check!B20,Input_APM!M:M,Check!$F$1))</f>
        <v>3806</v>
      </c>
      <c r="E20" s="219">
        <f>IF(B20="","",C20-M20)</f>
        <v>0</v>
      </c>
      <c r="F20" s="233">
        <f>IF(B20="","",SUMIFS(Input_APM!N:N,Input_APM!M:M,Check!$F$1,Input_APM!L:L,Check!B20))</f>
        <v>3806</v>
      </c>
      <c r="G20" s="233">
        <f>IF(B20="","",SUMIFS(Input_APM!N:N,Input_APM!M:M,Check!$G$1,Input_APM!L:L,Check!B20))</f>
        <v>0</v>
      </c>
      <c r="H20" s="217">
        <f t="shared" si="0"/>
        <v>3806</v>
      </c>
      <c r="I20" s="217">
        <f>SUMIFS(Input_APM!N:N,Input_APM!L:L,Check!B20)</f>
        <v>3806</v>
      </c>
      <c r="J20" s="219">
        <f t="shared" si="3"/>
        <v>0</v>
      </c>
      <c r="K20" s="22">
        <f>IF(B20="","",SUMIFS('Input_APM (Zenith)'!N:N,'Input_APM (Zenith)'!L:L,Check!B20,'Input_APM (Zenith)'!M:M,Check!$F$1))</f>
        <v>294</v>
      </c>
      <c r="L20" s="22">
        <f>IF(B20="","",SUMIFS('Input_APM (Zenith)'!N:N,'Input_APM (Zenith)'!L:L,Check!B20,'Input_APM (Zenith)'!M:M,Check!$G$1))</f>
        <v>0</v>
      </c>
      <c r="M20" s="240">
        <f t="shared" si="4"/>
        <v>4100</v>
      </c>
      <c r="O20" t="s">
        <v>2127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IF(O20="","",IF(LEN(O20)&gt;9,SUMIFS(Options!$H$3:$H$23,Options!$B$3:$B$23,Check!O20),SUMIFS('Master P&amp;L'!$H$11:$H$77,'Master P&amp;L'!$B$11:$B$77,Check!O20)))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708</v>
      </c>
      <c r="C21" s="233">
        <f>IF(B21="","",IF(LEN(B21)&gt;9,SUMIFS(Options!$H$3:$H$23,Options!$B$3:$B$23,Check!B21),SUMIFS('Master P&amp;L'!$H$11:$H$77,'Master P&amp;L'!$B$11:$B$77,Check!B21)))</f>
        <v>7000</v>
      </c>
      <c r="D21" s="233">
        <f>IF(B21="","",SUMIFS(Input_APM!N:N,Input_APM!L:L,Check!B21,Input_APM!M:M,Check!$F$1))</f>
        <v>6565</v>
      </c>
      <c r="E21" s="217">
        <f t="shared" si="5"/>
        <v>0</v>
      </c>
      <c r="F21" s="233">
        <f>IF(B21="","",SUMIFS(Input_APM!N:N,Input_APM!M:M,Check!$F$1,Input_APM!L:L,Check!B21))</f>
        <v>6565</v>
      </c>
      <c r="G21" s="233">
        <f>IF(B21="","",SUMIFS(Input_APM!N:N,Input_APM!M:M,Check!$G$1,Input_APM!L:L,Check!B21))</f>
        <v>0</v>
      </c>
      <c r="H21" s="217">
        <f t="shared" si="0"/>
        <v>6565</v>
      </c>
      <c r="I21" s="217">
        <f>SUMIFS(Input_APM!N:N,Input_APM!L:L,Check!B21)</f>
        <v>6565</v>
      </c>
      <c r="J21" s="219">
        <f t="shared" si="3"/>
        <v>0</v>
      </c>
      <c r="K21" s="22">
        <f>IF(B21="","",SUMIFS('Input_APM (Zenith)'!N:N,'Input_APM (Zenith)'!L:L,Check!B21,'Input_APM (Zenith)'!M:M,Check!$F$1))</f>
        <v>435</v>
      </c>
      <c r="L21" s="22">
        <f>IF(B21="","",SUMIFS('Input_APM (Zenith)'!N:N,'Input_APM (Zenith)'!L:L,Check!B21,'Input_APM (Zenith)'!M:M,Check!$G$1))</f>
        <v>0</v>
      </c>
      <c r="M21" s="240">
        <f t="shared" si="4"/>
        <v>7000</v>
      </c>
      <c r="O21" t="s">
        <v>298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IF(O21="","",IF(LEN(O21)&gt;9,SUMIFS(Options!$H$3:$H$23,Options!$B$3:$B$23,Check!O21),SUMIFS('Master P&amp;L'!$H$11:$H$77,'Master P&amp;L'!$B$11:$B$77,Check!O21)))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94</v>
      </c>
      <c r="C22" s="233">
        <f>IF(B22="","",IF(LEN(B22)&gt;9,SUMIFS(Options!$H$3:$H$23,Options!$B$3:$B$23,Check!B22),SUMIFS('Master P&amp;L'!$H$11:$H$77,'Master P&amp;L'!$B$11:$B$77,Check!B22)))</f>
        <v>23008</v>
      </c>
      <c r="D22" s="233">
        <f>IF(B22="","",SUMIFS(Input_APM!N:N,Input_APM!L:L,Check!B22,Input_APM!M:M,Check!$F$1))</f>
        <v>21522</v>
      </c>
      <c r="E22" s="217">
        <f t="shared" si="5"/>
        <v>0</v>
      </c>
      <c r="F22" s="233">
        <f>IF(B22="","",SUMIFS(Input_APM!N:N,Input_APM!M:M,Check!$F$1,Input_APM!L:L,Check!B22))</f>
        <v>21522</v>
      </c>
      <c r="G22" s="233">
        <f>IF(B22="","",SUMIFS(Input_APM!N:N,Input_APM!M:M,Check!$G$1,Input_APM!L:L,Check!B22))</f>
        <v>0</v>
      </c>
      <c r="H22" s="217">
        <f t="shared" si="0"/>
        <v>21522</v>
      </c>
      <c r="I22" s="217">
        <f>SUMIFS(Input_APM!N:N,Input_APM!L:L,Check!B22)</f>
        <v>21522</v>
      </c>
      <c r="J22" s="219">
        <f t="shared" si="3"/>
        <v>0</v>
      </c>
      <c r="K22" s="22">
        <f>IF(B22="","",SUMIFS('Input_APM (Zenith)'!N:N,'Input_APM (Zenith)'!L:L,Check!B22,'Input_APM (Zenith)'!M:M,Check!$F$1))</f>
        <v>1486</v>
      </c>
      <c r="L22" s="22">
        <f>IF(B22="","",SUMIFS('Input_APM (Zenith)'!N:N,'Input_APM (Zenith)'!L:L,Check!B22,'Input_APM (Zenith)'!M:M,Check!$G$1))</f>
        <v>0</v>
      </c>
      <c r="M22" s="240">
        <f t="shared" si="4"/>
        <v>23008</v>
      </c>
      <c r="O22" t="s">
        <v>299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IF(O22="","",IF(LEN(O22)&gt;9,SUMIFS(Options!$H$3:$H$23,Options!$B$3:$B$23,Check!O22),SUMIFS('Master P&amp;L'!$H$11:$H$77,'Master P&amp;L'!$B$11:$B$77,Check!O22)))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138</v>
      </c>
      <c r="C23" s="233">
        <f>IF(B23="","",IF(LEN(B23)&gt;9,SUMIFS(Options!$H$3:$H$23,Options!$B$3:$B$23,Check!B23),SUMIFS('Master P&amp;L'!$H$11:$H$77,'Master P&amp;L'!$B$11:$B$77,Check!B23)))</f>
        <v>-49</v>
      </c>
      <c r="D23" s="233">
        <f>IF(B23="","",SUMIFS(Input_APM!N:N,Input_APM!L:L,Check!B23,Input_APM!M:M,Check!$F$1))</f>
        <v>-46</v>
      </c>
      <c r="E23" s="217">
        <f t="shared" si="5"/>
        <v>0</v>
      </c>
      <c r="F23" s="233">
        <f>IF(B23="","",SUMIFS(Input_APM!N:N,Input_APM!M:M,Check!$F$1,Input_APM!L:L,Check!B23))</f>
        <v>-46</v>
      </c>
      <c r="G23" s="233">
        <f>IF(B23="","",SUMIFS(Input_APM!N:N,Input_APM!M:M,Check!$G$1,Input_APM!L:L,Check!B23))</f>
        <v>0</v>
      </c>
      <c r="H23" s="217">
        <f t="shared" si="0"/>
        <v>-46</v>
      </c>
      <c r="I23" s="217">
        <f>SUMIFS(Input_APM!N:N,Input_APM!L:L,Check!B23)</f>
        <v>-46</v>
      </c>
      <c r="J23" s="219">
        <f t="shared" si="3"/>
        <v>0</v>
      </c>
      <c r="K23" s="22">
        <f>IF(B23="","",SUMIFS('Input_APM (Zenith)'!N:N,'Input_APM (Zenith)'!L:L,Check!B23,'Input_APM (Zenith)'!M:M,Check!$F$1))</f>
        <v>-3</v>
      </c>
      <c r="L23" s="22">
        <f>IF(B23="","",SUMIFS('Input_APM (Zenith)'!N:N,'Input_APM (Zenith)'!L:L,Check!B23,'Input_APM (Zenith)'!M:M,Check!$G$1))</f>
        <v>0</v>
      </c>
      <c r="M23" s="240">
        <f t="shared" si="4"/>
        <v>-49</v>
      </c>
      <c r="O23" t="s">
        <v>300</v>
      </c>
      <c r="P23" s="217">
        <f>IF(O23="","",IF(OR(LEFT(O23,4)="Cash",LEFT(O23,4)="Prov"),0,SUMIFS(Input_APM!N:N,Input_APM!L:L,Check!O23)))</f>
        <v>0</v>
      </c>
      <c r="Q23" s="22">
        <f>IF(O23="","",IF(LEN(O23)&gt;9,SUMIFS(Options!$H$3:$H$23,Options!$B$3:$B$23,Check!O23),SUMIFS('Master P&amp;L'!$H$11:$H$77,'Master P&amp;L'!$B$11:$B$77,Check!O23)))</f>
        <v>0</v>
      </c>
      <c r="R23" s="217">
        <f t="shared" si="1"/>
        <v>0</v>
      </c>
      <c r="S23" s="361" t="str">
        <f t="shared" si="2"/>
        <v>Ok</v>
      </c>
      <c r="V23" s="13"/>
    </row>
    <row r="24" spans="2:22">
      <c r="B24" t="s">
        <v>2132</v>
      </c>
      <c r="C24" s="233">
        <f>IF(B24="","",IF(LEN(B24)&gt;9,SUMIFS(Options!$H$3:$H$23,Options!$B$3:$B$23,Check!B24),SUMIFS('Master P&amp;L'!$H$11:$H$77,'Master P&amp;L'!$B$11:$B$77,Check!B24)))</f>
        <v>26100</v>
      </c>
      <c r="D24" s="233">
        <f>IF(B24="","",SUMIFS(Input_APM!N:N,Input_APM!L:L,Check!B24,Input_APM!M:M,Check!$F$1))</f>
        <v>24411</v>
      </c>
      <c r="E24" s="217">
        <f t="shared" si="5"/>
        <v>0</v>
      </c>
      <c r="F24" s="233">
        <f>IF(B24="","",SUMIFS(Input_APM!N:N,Input_APM!M:M,Check!$F$1,Input_APM!L:L,Check!B24))</f>
        <v>24411</v>
      </c>
      <c r="G24" s="233">
        <f>IF(B24="","",SUMIFS(Input_APM!N:N,Input_APM!M:M,Check!$G$1,Input_APM!L:L,Check!B24))</f>
        <v>0</v>
      </c>
      <c r="H24" s="217">
        <f t="shared" si="0"/>
        <v>24411</v>
      </c>
      <c r="I24" s="217">
        <f>SUMIFS(Input_APM!N:N,Input_APM!L:L,Check!B24)</f>
        <v>24411</v>
      </c>
      <c r="J24" s="219">
        <f t="shared" si="3"/>
        <v>0</v>
      </c>
      <c r="K24" s="22">
        <f>IF(B24="","",SUMIFS('Input_APM (Zenith)'!N:N,'Input_APM (Zenith)'!L:L,Check!B24,'Input_APM (Zenith)'!M:M,Check!$F$1))</f>
        <v>1689</v>
      </c>
      <c r="L24" s="22">
        <f>IF(B24="","",SUMIFS('Input_APM (Zenith)'!N:N,'Input_APM (Zenith)'!L:L,Check!B24,'Input_APM (Zenith)'!M:M,Check!$G$1))</f>
        <v>0</v>
      </c>
      <c r="M24" s="240">
        <f t="shared" si="4"/>
        <v>26100</v>
      </c>
      <c r="O24" t="s">
        <v>301</v>
      </c>
      <c r="P24" s="217">
        <f>IF(O24="","",IF(OR(LEFT(O24,4)="Cash",LEFT(O24,4)="Prov"),0,SUMIFS(Input_APM!N:N,Input_APM!L:L,Check!O24)))</f>
        <v>0</v>
      </c>
      <c r="Q24" s="22">
        <f>IF(O24="","",IF(LEN(O24)&gt;9,SUMIFS(Options!$H$3:$H$23,Options!$B$3:$B$23,Check!O24),SUMIFS('Master P&amp;L'!$H$11:$H$77,'Master P&amp;L'!$B$11:$B$77,Check!O24)))</f>
        <v>0</v>
      </c>
      <c r="R24" s="217">
        <f t="shared" si="1"/>
        <v>0</v>
      </c>
      <c r="S24" s="361" t="str">
        <f t="shared" si="2"/>
        <v>Ok</v>
      </c>
      <c r="V24" s="13"/>
    </row>
    <row r="25" spans="2:22">
      <c r="B25" t="s">
        <v>88</v>
      </c>
      <c r="C25" s="233">
        <f>IF(B25="","",IF(LEN(B25)&gt;9,SUMIFS(Options!$H$3:$H$23,Options!$B$3:$B$23,Check!B25),SUMIFS('Master P&amp;L'!$H$11:$H$77,'Master P&amp;L'!$B$11:$B$77,Check!B25)))</f>
        <v>45750</v>
      </c>
      <c r="D25" s="233">
        <f>IF(B25="","",SUMIFS(Input_APM!N:N,Input_APM!L:L,Check!B25,Input_APM!M:M,Check!$F$1))</f>
        <v>42865</v>
      </c>
      <c r="E25" s="217">
        <f t="shared" si="5"/>
        <v>0</v>
      </c>
      <c r="F25" s="233">
        <f>IF(B25="","",SUMIFS(Input_APM!N:N,Input_APM!M:M,Check!$F$1,Input_APM!L:L,Check!B25))</f>
        <v>42865</v>
      </c>
      <c r="G25" s="233">
        <f>IF(B25="","",SUMIFS(Input_APM!N:N,Input_APM!M:M,Check!$G$1,Input_APM!L:L,Check!B25))</f>
        <v>0</v>
      </c>
      <c r="H25" s="217">
        <f t="shared" si="0"/>
        <v>42865</v>
      </c>
      <c r="I25" s="217">
        <f>SUMIFS(Input_APM!N:N,Input_APM!L:L,Check!B25)</f>
        <v>42865</v>
      </c>
      <c r="J25" s="219">
        <f t="shared" si="3"/>
        <v>0</v>
      </c>
      <c r="K25" s="22">
        <f>IF(B25="","",SUMIFS('Input_APM (Zenith)'!N:N,'Input_APM (Zenith)'!L:L,Check!B25,'Input_APM (Zenith)'!M:M,Check!$F$1))</f>
        <v>2885</v>
      </c>
      <c r="L25" s="22">
        <f>IF(B25="","",SUMIFS('Input_APM (Zenith)'!N:N,'Input_APM (Zenith)'!L:L,Check!B25,'Input_APM (Zenith)'!M:M,Check!$G$1))</f>
        <v>0</v>
      </c>
      <c r="M25" s="240">
        <f t="shared" si="4"/>
        <v>45750</v>
      </c>
      <c r="O25" t="s">
        <v>302</v>
      </c>
      <c r="P25" s="217">
        <f>IF(O25="","",IF(OR(LEFT(O25,4)="Cash",LEFT(O25,4)="Prov"),0,SUMIFS(Input_APM!N:N,Input_APM!L:L,Check!O25)))</f>
        <v>0</v>
      </c>
      <c r="Q25" s="22">
        <f>IF(O25="","",IF(LEN(O25)&gt;9,SUMIFS(Options!$H$3:$H$23,Options!$B$3:$B$23,Check!O25),SUMIFS('Master P&amp;L'!$H$11:$H$77,'Master P&amp;L'!$B$11:$B$77,Check!O25)))</f>
        <v>0</v>
      </c>
      <c r="R25" s="217">
        <f t="shared" si="1"/>
        <v>0</v>
      </c>
      <c r="S25" s="361" t="str">
        <f t="shared" si="2"/>
        <v>Ok</v>
      </c>
      <c r="V25" s="13"/>
    </row>
    <row r="26" spans="2:22">
      <c r="B26" t="s">
        <v>2284</v>
      </c>
      <c r="C26" s="233">
        <f>IF(B26="","",IF(LEN(B26)&gt;9,SUMIFS(Options!$H$3:$H$23,Options!$B$3:$B$23,Check!B26),SUMIFS('Master P&amp;L'!$H$11:$H$77,'Master P&amp;L'!$B$11:$B$77,Check!B26)))</f>
        <v>-10000</v>
      </c>
      <c r="D26" s="233">
        <f>IF(B26="","",SUMIFS(Input_APM!N:N,Input_APM!L:L,Check!B26,Input_APM!M:M,Check!$F$1))</f>
        <v>-9374</v>
      </c>
      <c r="E26" s="219">
        <f>IF(B26="","",C26-M26)</f>
        <v>0</v>
      </c>
      <c r="F26" s="233">
        <f>IF(B26="","",SUMIFS(Input_APM!N:N,Input_APM!M:M,Check!$F$1,Input_APM!L:L,Check!B26))</f>
        <v>-9374</v>
      </c>
      <c r="G26" s="233">
        <f>IF(B26="","",SUMIFS(Input_APM!N:N,Input_APM!M:M,Check!$G$1,Input_APM!L:L,Check!B26))</f>
        <v>0</v>
      </c>
      <c r="H26" s="217">
        <f t="shared" si="0"/>
        <v>-9374</v>
      </c>
      <c r="I26" s="217">
        <f>SUMIFS(Input_APM!N:N,Input_APM!L:L,Check!B26)</f>
        <v>-9374</v>
      </c>
      <c r="J26" s="219">
        <f t="shared" si="3"/>
        <v>0</v>
      </c>
      <c r="K26" s="22">
        <f>IF(B26="","",SUMIFS('Input_APM (Zenith)'!N:N,'Input_APM (Zenith)'!L:L,Check!B26,'Input_APM (Zenith)'!M:M,Check!$F$1))</f>
        <v>-626</v>
      </c>
      <c r="L26" s="22">
        <f>IF(B26="","",SUMIFS('Input_APM (Zenith)'!N:N,'Input_APM (Zenith)'!L:L,Check!B26,'Input_APM (Zenith)'!M:M,Check!$G$1))</f>
        <v>0</v>
      </c>
      <c r="M26" s="240">
        <f t="shared" si="4"/>
        <v>-10000</v>
      </c>
      <c r="O26" t="s">
        <v>1906</v>
      </c>
      <c r="P26" s="217">
        <f>IF(O26="","",IF(OR(LEFT(O26,4)="Cash",LEFT(O26,4)="Prov"),0,SUMIFS(Input_APM!N:N,Input_APM!L:L,Check!O26)))</f>
        <v>4625000</v>
      </c>
      <c r="Q26" s="22">
        <f>IF(O26="","",IF(LEN(O26)&gt;9,SUMIFS(Options!$H$3:$H$23,Options!$B$3:$B$23,Check!O26),SUMIFS('Master P&amp;L'!$H$11:$H$77,'Master P&amp;L'!$B$11:$B$77,Check!O26)))</f>
        <v>0</v>
      </c>
      <c r="R26" s="217">
        <f t="shared" si="1"/>
        <v>4625000</v>
      </c>
      <c r="S26" s="361" t="str">
        <f t="shared" si="2"/>
        <v>Erro</v>
      </c>
      <c r="V26" s="13"/>
    </row>
    <row r="27" spans="2:22">
      <c r="B27" t="s">
        <v>4</v>
      </c>
      <c r="C27" s="233">
        <f>IF(B27="","",IF(LEN(B27)&gt;9,SUMIFS(Options!$H$3:$H$23,Options!$B$3:$B$23,Check!B27),SUMIFS('Master P&amp;L'!$H$11:$H$77,'Master P&amp;L'!$B$11:$B$77,Check!B27)))</f>
        <v>-27500</v>
      </c>
      <c r="D27" s="233">
        <f>IF(B27="","",SUMIFS(Input_APM!N:N,Input_APM!L:L,Check!B27,Input_APM!M:M,Check!$F$1))</f>
        <v>-25765</v>
      </c>
      <c r="E27" s="219">
        <f t="shared" si="5"/>
        <v>0</v>
      </c>
      <c r="F27" s="233">
        <f>IF(B27="","",SUMIFS(Input_APM!N:N,Input_APM!M:M,Check!$F$1,Input_APM!L:L,Check!B27))</f>
        <v>-25765</v>
      </c>
      <c r="G27" s="233">
        <f>IF(B27="","",SUMIFS(Input_APM!N:N,Input_APM!M:M,Check!$G$1,Input_APM!L:L,Check!B27))</f>
        <v>0</v>
      </c>
      <c r="H27" s="217">
        <f t="shared" si="0"/>
        <v>-25765</v>
      </c>
      <c r="I27" s="217">
        <f>SUMIFS(Input_APM!N:N,Input_APM!L:L,Check!B27)</f>
        <v>-25765</v>
      </c>
      <c r="J27" s="219">
        <f t="shared" si="3"/>
        <v>0</v>
      </c>
      <c r="K27" s="22">
        <f>IF(B27="","",SUMIFS('Input_APM (Zenith)'!N:N,'Input_APM (Zenith)'!L:L,Check!B27,'Input_APM (Zenith)'!M:M,Check!$F$1))</f>
        <v>-1735</v>
      </c>
      <c r="L27" s="22">
        <f>IF(B27="","",SUMIFS('Input_APM (Zenith)'!N:N,'Input_APM (Zenith)'!L:L,Check!B27,'Input_APM (Zenith)'!M:M,Check!$G$1))</f>
        <v>0</v>
      </c>
      <c r="M27" s="240">
        <f t="shared" si="4"/>
        <v>-27500</v>
      </c>
      <c r="O27" t="s">
        <v>484</v>
      </c>
      <c r="P27" s="217">
        <f>IF(O27="","",IF(OR(LEFT(O27,4)="Cash",LEFT(O27,4)="Prov"),0,SUMIFS(Input_APM!N:N,Input_APM!L:L,Check!O27)))</f>
        <v>0</v>
      </c>
      <c r="Q27" s="22">
        <f>IF(O27="","",IF(LEN(O27)&gt;9,SUMIFS(Options!$H$3:$H$23,Options!$B$3:$B$23,Check!O27),SUMIFS('Master P&amp;L'!$H$11:$H$77,'Master P&amp;L'!$B$11:$B$77,Check!O27)))</f>
        <v>0</v>
      </c>
      <c r="R27" s="217">
        <f t="shared" si="1"/>
        <v>0</v>
      </c>
      <c r="S27" s="361" t="str">
        <f t="shared" si="2"/>
        <v>Ok</v>
      </c>
      <c r="V27" s="13"/>
    </row>
    <row r="28" spans="2:22">
      <c r="B28" t="s">
        <v>2258</v>
      </c>
      <c r="C28" s="233">
        <f>IF(B28="","",IF(LEN(B28)&gt;9,SUMIFS(Options!$H$3:$H$23,Options!$B$3:$B$23,Check!B28),SUMIFS('Master P&amp;L'!$H$11:$H$77,'Master P&amp;L'!$B$11:$B$77,Check!B28)))</f>
        <v>125</v>
      </c>
      <c r="D28" s="233">
        <f>IF(B28="","",SUMIFS(Input_APM!N:N,Input_APM!L:L,Check!B28,Input_APM!M:M,Check!$F$1))</f>
        <v>117</v>
      </c>
      <c r="E28" s="219">
        <f>IF(B28="","",C28-M28)</f>
        <v>0</v>
      </c>
      <c r="F28" s="233">
        <f>IF(B28="","",SUMIFS(Input_APM!N:N,Input_APM!M:M,Check!$F$1,Input_APM!L:L,Check!B28))</f>
        <v>117</v>
      </c>
      <c r="G28" s="233">
        <f>IF(B28="","",SUMIFS(Input_APM!N:N,Input_APM!M:M,Check!$G$1,Input_APM!L:L,Check!B28))</f>
        <v>0</v>
      </c>
      <c r="H28" s="217">
        <f t="shared" si="0"/>
        <v>117</v>
      </c>
      <c r="I28" s="217">
        <f>SUMIFS(Input_APM!N:N,Input_APM!L:L,Check!B28)</f>
        <v>117</v>
      </c>
      <c r="J28" s="219">
        <f t="shared" si="3"/>
        <v>0</v>
      </c>
      <c r="K28" s="22">
        <f>IF(B28="","",SUMIFS('Input_APM (Zenith)'!N:N,'Input_APM (Zenith)'!L:L,Check!B28,'Input_APM (Zenith)'!M:M,Check!$F$1))</f>
        <v>8</v>
      </c>
      <c r="L28" s="22">
        <f>IF(B28="","",SUMIFS('Input_APM (Zenith)'!N:N,'Input_APM (Zenith)'!L:L,Check!B28,'Input_APM (Zenith)'!M:M,Check!$G$1))</f>
        <v>0</v>
      </c>
      <c r="M28" s="240">
        <f t="shared" si="4"/>
        <v>125</v>
      </c>
      <c r="O28" t="s">
        <v>2364</v>
      </c>
      <c r="P28" s="217">
        <f>IF(O28="","",IF(OR(LEFT(O28,4)="Cash",LEFT(O28,4)="Prov"),0,SUMIFS(Input_APM!N:N,Input_APM!L:L,Check!O28)))</f>
        <v>0</v>
      </c>
      <c r="Q28" s="22">
        <f>IF(O28="","",IF(LEN(O28)&gt;9,SUMIFS(Options!$H$3:$H$23,Options!$B$3:$B$23,Check!O28),SUMIFS('Master P&amp;L'!$H$11:$H$77,'Master P&amp;L'!$B$11:$B$77,Check!O28)))</f>
        <v>0</v>
      </c>
      <c r="R28" s="217">
        <f t="shared" si="1"/>
        <v>0</v>
      </c>
      <c r="S28" s="361" t="str">
        <f t="shared" si="2"/>
        <v>Ok</v>
      </c>
      <c r="V28" s="13"/>
    </row>
    <row r="29" spans="2:22">
      <c r="B29" t="s">
        <v>2257</v>
      </c>
      <c r="C29" s="233">
        <f>IF(B29="","",IF(LEN(B29)&gt;9,SUMIFS(Options!$H$3:$H$23,Options!$B$3:$B$23,Check!B29),SUMIFS('Master P&amp;L'!$H$11:$H$77,'Master P&amp;L'!$B$11:$B$77,Check!B29)))</f>
        <v>-25</v>
      </c>
      <c r="D29" s="233">
        <f>IF(B29="","",SUMIFS(Input_APM!N:N,Input_APM!L:L,Check!B29,Input_APM!M:M,Check!$F$1))</f>
        <v>-23</v>
      </c>
      <c r="E29" s="219">
        <f t="shared" si="5"/>
        <v>0</v>
      </c>
      <c r="F29" s="233">
        <f>IF(B29="","",SUMIFS(Input_APM!N:N,Input_APM!M:M,Check!$F$1,Input_APM!L:L,Check!B29))</f>
        <v>-23</v>
      </c>
      <c r="G29" s="233">
        <f>IF(B29="","",SUMIFS(Input_APM!N:N,Input_APM!M:M,Check!$G$1,Input_APM!L:L,Check!B29))</f>
        <v>0</v>
      </c>
      <c r="H29" s="217">
        <f t="shared" si="0"/>
        <v>-23</v>
      </c>
      <c r="I29" s="217">
        <f>SUMIFS(Input_APM!N:N,Input_APM!L:L,Check!B29)</f>
        <v>-23</v>
      </c>
      <c r="J29" s="219">
        <f t="shared" si="3"/>
        <v>0</v>
      </c>
      <c r="K29" s="22">
        <f>IF(B29="","",SUMIFS('Input_APM (Zenith)'!N:N,'Input_APM (Zenith)'!L:L,Check!B29,'Input_APM (Zenith)'!M:M,Check!$F$1))</f>
        <v>-2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-25</v>
      </c>
      <c r="O29" t="s">
        <v>1754</v>
      </c>
      <c r="P29" s="217">
        <f>IF(O29="","",IF(OR(LEFT(O29,4)="Cash",LEFT(O29,4)="Prov"),0,SUMIFS(Input_APM!N:N,Input_APM!L:L,Check!O29)))</f>
        <v>39308</v>
      </c>
      <c r="Q29" s="22">
        <f>IF(O29="","",IF(LEN(O29)&gt;9,SUMIFS(Options!$H$3:$H$23,Options!$B$3:$B$23,Check!O29),SUMIFS('Master P&amp;L'!$H$11:$H$77,'Master P&amp;L'!$B$11:$B$77,Check!O29)))</f>
        <v>42000</v>
      </c>
      <c r="R29" s="217">
        <f t="shared" si="1"/>
        <v>-2692</v>
      </c>
      <c r="S29" s="361">
        <f t="shared" si="2"/>
        <v>0.93590476190476191</v>
      </c>
      <c r="V29" s="13"/>
    </row>
    <row r="30" spans="2:22">
      <c r="B30" t="s">
        <v>2318</v>
      </c>
      <c r="C30" s="233">
        <f>IF(B30="","",IF(LEN(B30)&gt;9,SUMIFS(Options!$H$3:$H$23,Options!$B$3:$B$23,Check!B30),SUMIFS('Master P&amp;L'!$H$11:$H$77,'Master P&amp;L'!$B$11:$B$77,Check!B30)))</f>
        <v>50</v>
      </c>
      <c r="D30" s="233">
        <f>IF(B30="","",SUMIFS(Input_APM!N:N,Input_APM!L:L,Check!B30,Input_APM!M:M,Check!$F$1))</f>
        <v>46</v>
      </c>
      <c r="E30" s="219">
        <f t="shared" si="5"/>
        <v>0</v>
      </c>
      <c r="F30" s="233">
        <f>IF(B30="","",SUMIFS(Input_APM!N:N,Input_APM!M:M,Check!$F$1,Input_APM!L:L,Check!B30))</f>
        <v>46</v>
      </c>
      <c r="G30" s="233">
        <f>IF(B30="","",SUMIFS(Input_APM!N:N,Input_APM!M:M,Check!$G$1,Input_APM!L:L,Check!B30))</f>
        <v>0</v>
      </c>
      <c r="H30" s="217">
        <f t="shared" si="0"/>
        <v>46</v>
      </c>
      <c r="I30" s="217">
        <f>SUMIFS(Input_APM!N:N,Input_APM!L:L,Check!B30)</f>
        <v>46</v>
      </c>
      <c r="J30" s="219">
        <f t="shared" si="3"/>
        <v>0</v>
      </c>
      <c r="K30" s="22">
        <f>IF(B30="","",SUMIFS('Input_APM (Zenith)'!N:N,'Input_APM (Zenith)'!L:L,Check!B30,'Input_APM (Zenith)'!M:M,Check!$F$1))</f>
        <v>4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50</v>
      </c>
      <c r="O30" t="s">
        <v>2140</v>
      </c>
      <c r="P30" s="217">
        <f>IF(O30="","",IF(OR(LEFT(O30,4)="Cash",LEFT(O30,4)="Prov"),0,SUMIFS(Input_APM!N:N,Input_APM!L:L,Check!O30)))</f>
        <v>13842</v>
      </c>
      <c r="Q30" s="22">
        <f>IF(O30="","",IF(LEN(O30)&gt;9,SUMIFS(Options!$H$3:$H$23,Options!$B$3:$B$23,Check!O30),SUMIFS('Master P&amp;L'!$H$11:$H$77,'Master P&amp;L'!$B$11:$B$77,Check!O30)))</f>
        <v>0</v>
      </c>
      <c r="R30" s="217">
        <f t="shared" si="1"/>
        <v>13842</v>
      </c>
      <c r="S30" s="361" t="str">
        <f t="shared" si="2"/>
        <v>Erro</v>
      </c>
      <c r="V30" s="13"/>
    </row>
    <row r="31" spans="2:22">
      <c r="B31" t="s">
        <v>2234</v>
      </c>
      <c r="C31" s="233">
        <f>IF(B31="","",IF(LEN(B31)&gt;9,SUMIFS(Options!$H$3:$H$23,Options!$B$3:$B$23,Check!B31),SUMIFS('Master P&amp;L'!$H$11:$H$77,'Master P&amp;L'!$B$11:$B$77,Check!B31)))</f>
        <v>2000</v>
      </c>
      <c r="D31" s="233">
        <f>IF(B31="","",SUMIFS(Input_APM!N:N,Input_APM!L:L,Check!B31,Input_APM!M:M,Check!$F$1))</f>
        <v>1874</v>
      </c>
      <c r="E31" s="219">
        <f>IF(B31="","",C31-M31)</f>
        <v>0</v>
      </c>
      <c r="F31" s="233">
        <f>IF(B31="","",SUMIFS(Input_APM!N:N,Input_APM!M:M,Check!$F$1,Input_APM!L:L,Check!B31))</f>
        <v>1874</v>
      </c>
      <c r="G31" s="233">
        <f>IF(B31="","",SUMIFS(Input_APM!N:N,Input_APM!M:M,Check!$G$1,Input_APM!L:L,Check!B31))</f>
        <v>0</v>
      </c>
      <c r="H31" s="217">
        <f t="shared" si="0"/>
        <v>1874</v>
      </c>
      <c r="I31" s="217">
        <f>SUMIFS(Input_APM!N:N,Input_APM!L:L,Check!B31)</f>
        <v>1874</v>
      </c>
      <c r="J31" s="219">
        <f t="shared" si="3"/>
        <v>0</v>
      </c>
      <c r="K31" s="22">
        <f>IF(B31="","",SUMIFS('Input_APM (Zenith)'!N:N,'Input_APM (Zenith)'!L:L,Check!B31,'Input_APM (Zenith)'!M:M,Check!$F$1))</f>
        <v>126</v>
      </c>
      <c r="L31" s="22">
        <f>IF(B31="","",SUMIFS('Input_APM (Zenith)'!N:N,'Input_APM (Zenith)'!L:L,Check!B31,'Input_APM (Zenith)'!M:M,Check!$G$1))</f>
        <v>0</v>
      </c>
      <c r="M31" s="240">
        <f t="shared" si="4"/>
        <v>2000</v>
      </c>
      <c r="O31" t="s">
        <v>2281</v>
      </c>
      <c r="P31" s="217">
        <f>IF(O31="","",IF(OR(LEFT(O31,4)="Cash",LEFT(O31,4)="Prov"),0,SUMIFS(Input_APM!N:N,Input_APM!L:L,Check!O31)))</f>
        <v>1031</v>
      </c>
      <c r="Q31" s="22">
        <f>IF(O31="","",IF(LEN(O31)&gt;9,SUMIFS(Options!$H$3:$H$23,Options!$B$3:$B$23,Check!O31),SUMIFS('Master P&amp;L'!$H$11:$H$77,'Master P&amp;L'!$B$11:$B$77,Check!O31)))</f>
        <v>1100</v>
      </c>
      <c r="R31" s="217">
        <f t="shared" si="1"/>
        <v>-69</v>
      </c>
      <c r="S31" s="361">
        <f t="shared" si="2"/>
        <v>0.93727272727272726</v>
      </c>
      <c r="V31" s="13"/>
    </row>
    <row r="32" spans="2:22">
      <c r="B32" t="s">
        <v>2106</v>
      </c>
      <c r="C32" s="233">
        <f>IF(B32="","",IF(LEN(B32)&gt;9,SUMIFS(Options!$H$3:$H$23,Options!$B$3:$B$23,Check!B32),SUMIFS('Master P&amp;L'!$H$11:$H$77,'Master P&amp;L'!$B$11:$B$77,Check!B32)))</f>
        <v>120</v>
      </c>
      <c r="D32" s="233">
        <f>IF(B32="","",SUMIFS(Input_APM!N:N,Input_APM!L:L,Check!B32,Input_APM!M:M,Check!$F$1))</f>
        <v>114</v>
      </c>
      <c r="E32" s="219">
        <f t="shared" si="5"/>
        <v>0</v>
      </c>
      <c r="F32" s="233">
        <f>IF(B32="","",SUMIFS(Input_APM!N:N,Input_APM!M:M,Check!$F$1,Input_APM!L:L,Check!B32))</f>
        <v>114</v>
      </c>
      <c r="G32" s="233">
        <f>IF(B32="","",SUMIFS(Input_APM!N:N,Input_APM!M:M,Check!$G$1,Input_APM!L:L,Check!B32))</f>
        <v>0</v>
      </c>
      <c r="H32" s="217">
        <f t="shared" si="0"/>
        <v>114</v>
      </c>
      <c r="I32" s="217">
        <f>SUMIFS(Input_APM!N:N,Input_APM!L:L,Check!B32)</f>
        <v>114</v>
      </c>
      <c r="J32" s="219">
        <f t="shared" si="3"/>
        <v>0</v>
      </c>
      <c r="K32" s="22">
        <f>IF(B32="","",SUMIFS('Input_APM (Zenith)'!N:N,'Input_APM (Zenith)'!L:L,Check!B32,'Input_APM (Zenith)'!M:M,Check!$F$1))</f>
        <v>6</v>
      </c>
      <c r="L32" s="22">
        <f>IF(B32="","",SUMIFS('Input_APM (Zenith)'!N:N,'Input_APM (Zenith)'!L:L,Check!B32,'Input_APM (Zenith)'!M:M,Check!$G$1))</f>
        <v>0</v>
      </c>
      <c r="M32" s="240">
        <f t="shared" si="4"/>
        <v>120</v>
      </c>
      <c r="O32" t="s">
        <v>2282</v>
      </c>
      <c r="P32" s="217">
        <f>IF(O32="","",IF(OR(LEFT(O32,4)="Cash",LEFT(O32,4)="Prov"),0,SUMIFS(Input_APM!N:N,Input_APM!L:L,Check!O32)))</f>
        <v>-1031</v>
      </c>
      <c r="Q32" s="22">
        <f>IF(O32="","",IF(LEN(O32)&gt;9,SUMIFS(Options!$H$3:$H$23,Options!$B$3:$B$23,Check!O32),SUMIFS('Master P&amp;L'!$H$11:$H$77,'Master P&amp;L'!$B$11:$B$77,Check!O32)))</f>
        <v>-1100</v>
      </c>
      <c r="R32" s="217">
        <f t="shared" si="1"/>
        <v>69</v>
      </c>
      <c r="S32" s="361">
        <f t="shared" si="2"/>
        <v>0.93727272727272726</v>
      </c>
      <c r="V32" s="13"/>
    </row>
    <row r="33" spans="1:22">
      <c r="B33" t="s">
        <v>2281</v>
      </c>
      <c r="C33" s="233">
        <f>IF(B33="","",IF(LEN(B33)&gt;9,SUMIFS(Options!$H$3:$H$23,Options!$B$3:$B$23,Check!B33),SUMIFS('Master P&amp;L'!$H$11:$H$77,'Master P&amp;L'!$B$11:$B$77,Check!B33)))</f>
        <v>1100</v>
      </c>
      <c r="D33" s="233">
        <f>IF(B33="","",SUMIFS(Input_APM!N:N,Input_APM!L:L,Check!B33,Input_APM!M:M,Check!$F$1))</f>
        <v>1031</v>
      </c>
      <c r="E33" s="217">
        <f t="shared" si="5"/>
        <v>0</v>
      </c>
      <c r="F33" s="233">
        <f>IF(B33="","",SUMIFS(Input_APM!N:N,Input_APM!M:M,Check!$F$1,Input_APM!L:L,Check!B33))</f>
        <v>1031</v>
      </c>
      <c r="G33" s="233">
        <f>IF(B33="","",SUMIFS(Input_APM!N:N,Input_APM!M:M,Check!$G$1,Input_APM!L:L,Check!B33))</f>
        <v>0</v>
      </c>
      <c r="H33" s="217">
        <f t="shared" si="0"/>
        <v>1031</v>
      </c>
      <c r="I33" s="217">
        <f>SUMIFS(Input_APM!N:N,Input_APM!L:L,Check!B33)</f>
        <v>1031</v>
      </c>
      <c r="J33" s="219">
        <f t="shared" si="3"/>
        <v>0</v>
      </c>
      <c r="K33" s="22">
        <f>IF(B33="","",SUMIFS('Input_APM (Zenith)'!N:N,'Input_APM (Zenith)'!L:L,Check!B33,'Input_APM (Zenith)'!M:M,Check!$F$1))</f>
        <v>69</v>
      </c>
      <c r="L33" s="22">
        <f>IF(B33="","",SUMIFS('Input_APM (Zenith)'!N:N,'Input_APM (Zenith)'!L:L,Check!B33,'Input_APM (Zenith)'!M:M,Check!$G$1))</f>
        <v>0</v>
      </c>
      <c r="M33" s="240">
        <f t="shared" si="4"/>
        <v>1100</v>
      </c>
      <c r="O33" t="s">
        <v>2152</v>
      </c>
      <c r="P33" s="217">
        <f>IF(O33="","",IF(OR(LEFT(O33,4)="Cash",LEFT(O33,4)="Prov"),0,SUMIFS(Input_APM!N:N,Input_APM!L:L,Check!O33)))</f>
        <v>13873</v>
      </c>
      <c r="Q33" s="22">
        <f>IF(O33="","",IF(LEN(O33)&gt;9,SUMIFS(Options!$H$3:$H$23,Options!$B$3:$B$23,Check!O33),SUMIFS('Master P&amp;L'!$H$11:$H$77,'Master P&amp;L'!$B$11:$B$77,Check!O33)))</f>
        <v>14800</v>
      </c>
      <c r="R33" s="217">
        <f t="shared" si="1"/>
        <v>-927</v>
      </c>
      <c r="S33" s="361">
        <f t="shared" si="2"/>
        <v>0.93736486486486481</v>
      </c>
      <c r="V33" s="13"/>
    </row>
    <row r="34" spans="1:22">
      <c r="B34" t="s">
        <v>2282</v>
      </c>
      <c r="C34" s="233">
        <f>IF(B34="","",IF(LEN(B34)&gt;9,SUMIFS(Options!$H$3:$H$23,Options!$B$3:$B$23,Check!B34),SUMIFS('Master P&amp;L'!$H$11:$H$77,'Master P&amp;L'!$B$11:$B$77,Check!B34)))</f>
        <v>-1100</v>
      </c>
      <c r="D34" s="233">
        <f>IF(B34="","",SUMIFS(Input_APM!N:N,Input_APM!L:L,Check!B34,Input_APM!M:M,Check!$F$1))</f>
        <v>-1031</v>
      </c>
      <c r="E34" s="217">
        <f t="shared" si="5"/>
        <v>0</v>
      </c>
      <c r="F34" s="233">
        <f>IF(B34="","",SUMIFS(Input_APM!N:N,Input_APM!M:M,Check!$F$1,Input_APM!L:L,Check!B34))</f>
        <v>-1031</v>
      </c>
      <c r="G34" s="233">
        <f>IF(B34="","",SUMIFS(Input_APM!N:N,Input_APM!M:M,Check!$G$1,Input_APM!L:L,Check!B34))</f>
        <v>0</v>
      </c>
      <c r="H34" s="217">
        <f t="shared" si="0"/>
        <v>-1031</v>
      </c>
      <c r="I34" s="217">
        <f>SUMIFS(Input_APM!N:N,Input_APM!L:L,Check!B34)</f>
        <v>-1031</v>
      </c>
      <c r="J34" s="219">
        <f t="shared" si="3"/>
        <v>0</v>
      </c>
      <c r="K34" s="22">
        <f>IF(B34="","",SUMIFS('Input_APM (Zenith)'!N:N,'Input_APM (Zenith)'!L:L,Check!B34,'Input_APM (Zenith)'!M:M,Check!$F$1))</f>
        <v>-69</v>
      </c>
      <c r="L34" s="22">
        <f>IF(B34="","",SUMIFS('Input_APM (Zenith)'!N:N,'Input_APM (Zenith)'!L:L,Check!B34,'Input_APM (Zenith)'!M:M,Check!$G$1))</f>
        <v>0</v>
      </c>
      <c r="M34" s="240">
        <f t="shared" si="4"/>
        <v>-1100</v>
      </c>
      <c r="O34" t="s">
        <v>1896</v>
      </c>
      <c r="P34" s="217">
        <f>IF(O34="","",IF(OR(LEFT(O34,4)="Cash",LEFT(O34,4)="Prov"),0,SUMIFS(Input_APM!N:N,Input_APM!L:L,Check!O34)))</f>
        <v>276451</v>
      </c>
      <c r="Q34" s="22">
        <f>IF(O34="","",IF(LEN(O34)&gt;9,SUMIFS(Options!$H$3:$H$23,Options!$B$3:$B$23,Check!O34),SUMIFS('Master P&amp;L'!$H$11:$H$77,'Master P&amp;L'!$B$11:$B$77,Check!O34)))</f>
        <v>0</v>
      </c>
      <c r="R34" s="217">
        <f t="shared" si="1"/>
        <v>276451</v>
      </c>
      <c r="S34" s="361" t="str">
        <f t="shared" si="2"/>
        <v>Erro</v>
      </c>
      <c r="V34" s="13"/>
    </row>
    <row r="35" spans="1:22">
      <c r="B35" t="s">
        <v>2316</v>
      </c>
      <c r="C35" s="233">
        <f>IF(B35="","",IF(LEN(B35)&gt;9,SUMIFS(Options!$H$3:$H$23,Options!$B$3:$B$23,Check!B35),SUMIFS('Master P&amp;L'!$H$11:$H$77,'Master P&amp;L'!$B$11:$B$77,Check!B35)))</f>
        <v>60</v>
      </c>
      <c r="D35" s="233">
        <f>IF(B35="","",SUMIFS(Input_APM!N:N,Input_APM!L:L,Check!B35,Input_APM!M:M,Check!$F$1))</f>
        <v>56</v>
      </c>
      <c r="E35" s="219">
        <f t="shared" si="5"/>
        <v>0</v>
      </c>
      <c r="F35" s="233">
        <f>IF(B35="","",SUMIFS(Input_APM!N:N,Input_APM!M:M,Check!$F$1,Input_APM!L:L,Check!B35))</f>
        <v>56</v>
      </c>
      <c r="G35" s="233">
        <f>IF(B35="","",SUMIFS(Input_APM!N:N,Input_APM!M:M,Check!$G$1,Input_APM!L:L,Check!B35))</f>
        <v>0</v>
      </c>
      <c r="H35" s="217">
        <f t="shared" si="0"/>
        <v>56</v>
      </c>
      <c r="I35" s="217">
        <f>SUMIFS(Input_APM!N:N,Input_APM!L:L,Check!B35)</f>
        <v>56</v>
      </c>
      <c r="J35" s="219">
        <f t="shared" si="3"/>
        <v>0</v>
      </c>
      <c r="K35" s="22">
        <f>IF(B35="","",SUMIFS('Input_APM (Zenith)'!N:N,'Input_APM (Zenith)'!L:L,Check!B35,'Input_APM (Zenith)'!M:M,Check!$F$1))</f>
        <v>4</v>
      </c>
      <c r="L35" s="22">
        <f>IF(B35="","",SUMIFS('Input_APM (Zenith)'!N:N,'Input_APM (Zenith)'!L:L,Check!B35,'Input_APM (Zenith)'!M:M,Check!$G$1))</f>
        <v>0</v>
      </c>
      <c r="M35" s="240">
        <f t="shared" si="4"/>
        <v>60</v>
      </c>
      <c r="O35" t="s">
        <v>1897</v>
      </c>
      <c r="P35" s="217">
        <f>IF(O35="","",IF(OR(LEFT(O35,4)="Cash",LEFT(O35,4)="Prov"),0,SUMIFS(Input_APM!N:N,Input_APM!L:L,Check!O35)))</f>
        <v>-276451</v>
      </c>
      <c r="Q35" s="22">
        <f>IF(O35="","",IF(LEN(O35)&gt;9,SUMIFS(Options!$H$3:$H$23,Options!$B$3:$B$23,Check!O35),SUMIFS('Master P&amp;L'!$H$11:$H$77,'Master P&amp;L'!$B$11:$B$77,Check!O35)))</f>
        <v>0</v>
      </c>
      <c r="R35" s="217">
        <f t="shared" si="1"/>
        <v>-276451</v>
      </c>
      <c r="S35" s="361" t="str">
        <f t="shared" si="2"/>
        <v>Erro</v>
      </c>
      <c r="V35" s="13"/>
    </row>
    <row r="36" spans="1:22">
      <c r="B36" t="s">
        <v>2069</v>
      </c>
      <c r="C36" s="233">
        <f>IF(B36="","",IF(LEN(B36)&gt;9,SUMIFS(Options!$H$3:$H$23,Options!$B$3:$B$23,Check!B36),SUMIFS('Master P&amp;L'!$H$11:$H$77,'Master P&amp;L'!$B$11:$B$77,Check!B36)))</f>
        <v>60</v>
      </c>
      <c r="D36" s="233">
        <f>IF(B36="","",SUMIFS(Input_APM!N:N,Input_APM!L:L,Check!B36,Input_APM!M:M,Check!$F$1))</f>
        <v>57</v>
      </c>
      <c r="E36" s="219">
        <f>IF(B36="","",C36-M36)</f>
        <v>0</v>
      </c>
      <c r="F36" s="233">
        <f>IF(B36="","",SUMIFS(Input_APM!N:N,Input_APM!M:M,Check!$F$1,Input_APM!L:L,Check!B36))</f>
        <v>57</v>
      </c>
      <c r="G36" s="233">
        <f>IF(B36="","",SUMIFS(Input_APM!N:N,Input_APM!M:M,Check!$G$1,Input_APM!L:L,Check!B36))</f>
        <v>0</v>
      </c>
      <c r="H36" s="217">
        <f t="shared" si="0"/>
        <v>57</v>
      </c>
      <c r="I36" s="217">
        <f>SUMIFS(Input_APM!N:N,Input_APM!L:L,Check!B36)</f>
        <v>57</v>
      </c>
      <c r="J36" s="219">
        <f t="shared" si="3"/>
        <v>0</v>
      </c>
      <c r="K36" s="22">
        <f>IF(B36="","",SUMIFS('Input_APM (Zenith)'!N:N,'Input_APM (Zenith)'!L:L,Check!B36,'Input_APM (Zenith)'!M:M,Check!$F$1))</f>
        <v>3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60</v>
      </c>
      <c r="O36" t="s">
        <v>708</v>
      </c>
      <c r="P36" s="217">
        <f>IF(O36="","",IF(OR(LEFT(O36,4)="Cash",LEFT(O36,4)="Prov"),0,SUMIFS(Input_APM!N:N,Input_APM!L:L,Check!O36)))</f>
        <v>6565</v>
      </c>
      <c r="Q36" s="22">
        <f>IF(O36="","",IF(LEN(O36)&gt;9,SUMIFS(Options!$H$3:$H$23,Options!$B$3:$B$23,Check!O36),SUMIFS('Master P&amp;L'!$H$11:$H$77,'Master P&amp;L'!$B$11:$B$77,Check!O36)))</f>
        <v>7000</v>
      </c>
      <c r="R36" s="217">
        <f t="shared" si="1"/>
        <v>-435</v>
      </c>
      <c r="S36" s="361">
        <f t="shared" si="2"/>
        <v>0.93785714285714283</v>
      </c>
      <c r="V36" s="13"/>
    </row>
    <row r="37" spans="1:22">
      <c r="B37" t="s">
        <v>2319</v>
      </c>
      <c r="C37" s="233">
        <f>IF(B37="","",IF(LEN(B37)&gt;9,SUMIFS(Options!$H$3:$H$23,Options!$B$3:$B$23,Check!B37),SUMIFS('Master P&amp;L'!$H$11:$H$77,'Master P&amp;L'!$B$11:$B$77,Check!B37)))</f>
        <v>75</v>
      </c>
      <c r="D37" s="233">
        <f>IF(B37="","",SUMIFS(Input_APM!N:N,Input_APM!L:L,Check!B37,Input_APM!M:M,Check!$F$1))</f>
        <v>73</v>
      </c>
      <c r="E37" s="219">
        <f>IF(B37="","",C37-M37)</f>
        <v>0</v>
      </c>
      <c r="F37" s="233">
        <f>IF(B37="","",SUMIFS(Input_APM!N:N,Input_APM!M:M,Check!$F$1,Input_APM!L:L,Check!B37))</f>
        <v>73</v>
      </c>
      <c r="G37" s="233">
        <f>IF(B37="","",SUMIFS(Input_APM!N:N,Input_APM!M:M,Check!$G$1,Input_APM!L:L,Check!B37))</f>
        <v>0</v>
      </c>
      <c r="H37" s="217">
        <f t="shared" si="0"/>
        <v>73</v>
      </c>
      <c r="I37" s="217">
        <f>SUMIFS(Input_APM!N:N,Input_APM!L:L,Check!B37)</f>
        <v>73</v>
      </c>
      <c r="J37" s="219">
        <f t="shared" si="3"/>
        <v>0</v>
      </c>
      <c r="K37" s="22">
        <f>IF(B37="","",SUMIFS('Input_APM (Zenith)'!N:N,'Input_APM (Zenith)'!L:L,Check!B37,'Input_APM (Zenith)'!M:M,Check!$F$1))</f>
        <v>2</v>
      </c>
      <c r="L37" s="22">
        <f>IF(B37="","",SUMIFS('Input_APM (Zenith)'!N:N,'Input_APM (Zenith)'!L:L,Check!B37,'Input_APM (Zenith)'!M:M,Check!$G$1))</f>
        <v>0</v>
      </c>
      <c r="M37" s="240">
        <f t="shared" si="4"/>
        <v>75</v>
      </c>
      <c r="O37" t="s">
        <v>2284</v>
      </c>
      <c r="P37" s="217">
        <f>IF(O37="","",IF(OR(LEFT(O37,4)="Cash",LEFT(O37,4)="Prov"),0,SUMIFS(Input_APM!N:N,Input_APM!L:L,Check!O37)))</f>
        <v>-9374</v>
      </c>
      <c r="Q37" s="22">
        <f>IF(O37="","",IF(LEN(O37)&gt;9,SUMIFS(Options!$H$3:$H$23,Options!$B$3:$B$23,Check!O37),SUMIFS('Master P&amp;L'!$H$11:$H$77,'Master P&amp;L'!$B$11:$B$77,Check!O37)))</f>
        <v>-10000</v>
      </c>
      <c r="R37" s="217">
        <f t="shared" si="1"/>
        <v>626</v>
      </c>
      <c r="S37" s="361">
        <f t="shared" si="2"/>
        <v>0.93740000000000001</v>
      </c>
      <c r="V37" s="13"/>
    </row>
    <row r="38" spans="1:22">
      <c r="B38" t="s">
        <v>2098</v>
      </c>
      <c r="C38" s="233">
        <f>IF(B38="","",IF(LEN(B38)&gt;9,SUMIFS(Options!$H$3:$H$23,Options!$B$3:$B$23,Check!B38),SUMIFS('Master P&amp;L'!$H$11:$H$77,'Master P&amp;L'!$B$11:$B$77,Check!B38)))</f>
        <v>200</v>
      </c>
      <c r="D38" s="233">
        <f>IF(B38="","",SUMIFS(Input_APM!N:N,Input_APM!L:L,Check!B38,Input_APM!M:M,Check!$F$1))</f>
        <v>186</v>
      </c>
      <c r="E38" s="217">
        <f t="shared" si="5"/>
        <v>0</v>
      </c>
      <c r="F38" s="233">
        <f>IF(B38="","",SUMIFS(Input_APM!N:N,Input_APM!M:M,Check!$F$1,Input_APM!L:L,Check!B38))</f>
        <v>186</v>
      </c>
      <c r="G38" s="233">
        <f>IF(B38="","",SUMIFS(Input_APM!N:N,Input_APM!M:M,Check!$G$1,Input_APM!L:L,Check!B38))</f>
        <v>0</v>
      </c>
      <c r="H38" s="217">
        <f t="shared" si="0"/>
        <v>186</v>
      </c>
      <c r="I38" s="217">
        <f>SUMIFS(Input_APM!N:N,Input_APM!L:L,Check!B38)</f>
        <v>186</v>
      </c>
      <c r="J38" s="219">
        <f t="shared" si="3"/>
        <v>0</v>
      </c>
      <c r="K38" s="22">
        <f>IF(B38="","",SUMIFS('Input_APM (Zenith)'!N:N,'Input_APM (Zenith)'!L:L,Check!B38,'Input_APM (Zenith)'!M:M,Check!$F$1))</f>
        <v>14</v>
      </c>
      <c r="L38" s="22">
        <f>IF(B38="","",SUMIFS('Input_APM (Zenith)'!N:N,'Input_APM (Zenith)'!L:L,Check!B38,'Input_APM (Zenith)'!M:M,Check!$G$1))</f>
        <v>0</v>
      </c>
      <c r="M38" s="240">
        <f t="shared" si="4"/>
        <v>200</v>
      </c>
      <c r="O38" t="s">
        <v>2341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IF(O38="","",IF(LEN(O38)&gt;9,SUMIFS(Options!$H$3:$H$23,Options!$B$3:$B$23,Check!O38),SUMIFS('Master P&amp;L'!$H$11:$H$77,'Master P&amp;L'!$B$11:$B$77,Check!O38)))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2099</v>
      </c>
      <c r="C39" s="233">
        <f>IF(B39="","",IF(LEN(B39)&gt;9,SUMIFS(Options!$H$3:$H$23,Options!$B$3:$B$23,Check!B39),SUMIFS('Master P&amp;L'!$H$11:$H$77,'Master P&amp;L'!$B$11:$B$77,Check!B39)))</f>
        <v>-200</v>
      </c>
      <c r="D39" s="233">
        <f>IF(B39="","",SUMIFS(Input_APM!N:N,Input_APM!L:L,Check!B39,Input_APM!M:M,Check!$F$1))</f>
        <v>-188</v>
      </c>
      <c r="E39" s="217">
        <f t="shared" si="5"/>
        <v>0</v>
      </c>
      <c r="F39" s="233">
        <f>IF(B39="","",SUMIFS(Input_APM!N:N,Input_APM!M:M,Check!$F$1,Input_APM!L:L,Check!B39))</f>
        <v>-188</v>
      </c>
      <c r="G39" s="233">
        <f>IF(B39="","",SUMIFS(Input_APM!N:N,Input_APM!M:M,Check!$G$1,Input_APM!L:L,Check!B39))</f>
        <v>0</v>
      </c>
      <c r="H39" s="217">
        <f t="shared" si="0"/>
        <v>-188</v>
      </c>
      <c r="I39" s="217">
        <f>SUMIFS(Input_APM!N:N,Input_APM!L:L,Check!B39)</f>
        <v>-188</v>
      </c>
      <c r="J39" s="219">
        <f t="shared" si="3"/>
        <v>0</v>
      </c>
      <c r="K39" s="22">
        <f>IF(B39="","",SUMIFS('Input_APM (Zenith)'!N:N,'Input_APM (Zenith)'!L:L,Check!B39,'Input_APM (Zenith)'!M:M,Check!$F$1))</f>
        <v>-12</v>
      </c>
      <c r="L39" s="22">
        <f>IF(B39="","",SUMIFS('Input_APM (Zenith)'!N:N,'Input_APM (Zenith)'!L:L,Check!B39,'Input_APM (Zenith)'!M:M,Check!$G$1))</f>
        <v>0</v>
      </c>
      <c r="M39" s="240">
        <f t="shared" si="4"/>
        <v>-200</v>
      </c>
      <c r="O39" t="s">
        <v>2064</v>
      </c>
      <c r="P39" s="217">
        <f>IF(O39="","",IF(OR(LEFT(O39,4)="Cash",LEFT(O39,4)="Prov"),0,SUMIFS(Input_APM!N:N,Input_APM!L:L,Check!O39)))</f>
        <v>1123</v>
      </c>
      <c r="Q39" s="22">
        <f>IF(O39="","",IF(LEN(O39)&gt;9,SUMIFS(Options!$H$3:$H$23,Options!$B$3:$B$23,Check!O39),SUMIFS('Master P&amp;L'!$H$11:$H$77,'Master P&amp;L'!$B$11:$B$77,Check!O39)))</f>
        <v>1200</v>
      </c>
      <c r="R39" s="217">
        <f t="shared" si="1"/>
        <v>-77</v>
      </c>
      <c r="S39" s="361">
        <f t="shared" si="2"/>
        <v>0.93583333333333329</v>
      </c>
      <c r="V39" s="13"/>
    </row>
    <row r="40" spans="1:22">
      <c r="B40" t="s">
        <v>2059</v>
      </c>
      <c r="C40" s="233">
        <f>IF(B40="","",IF(LEN(B40)&gt;9,SUMIFS(Options!$H$3:$H$23,Options!$B$3:$B$23,Check!B40),SUMIFS('Master P&amp;L'!$H$11:$H$77,'Master P&amp;L'!$B$11:$B$77,Check!B40)))</f>
        <v>150</v>
      </c>
      <c r="D40" s="233">
        <f>IF(B40="","",SUMIFS(Input_APM!N:N,Input_APM!L:L,Check!B40,Input_APM!M:M,Check!$F$1))</f>
        <v>141</v>
      </c>
      <c r="E40" s="219">
        <f t="shared" si="5"/>
        <v>0</v>
      </c>
      <c r="F40" s="233">
        <f>IF(B40="","",SUMIFS(Input_APM!N:N,Input_APM!M:M,Check!$F$1,Input_APM!L:L,Check!B40))</f>
        <v>141</v>
      </c>
      <c r="G40" s="233">
        <f>IF(B40="","",SUMIFS(Input_APM!N:N,Input_APM!M:M,Check!$G$1,Input_APM!L:L,Check!B40))</f>
        <v>0</v>
      </c>
      <c r="H40" s="217">
        <f t="shared" si="0"/>
        <v>141</v>
      </c>
      <c r="I40" s="217">
        <f>SUMIFS(Input_APM!N:N,Input_APM!L:L,Check!B40)</f>
        <v>141</v>
      </c>
      <c r="J40" s="219">
        <f t="shared" si="3"/>
        <v>0</v>
      </c>
      <c r="K40" s="22">
        <f>IF(B40="","",SUMIFS('Input_APM (Zenith)'!N:N,'Input_APM (Zenith)'!L:L,Check!B40,'Input_APM (Zenith)'!M:M,Check!$F$1))</f>
        <v>9</v>
      </c>
      <c r="L40" s="22">
        <f>IF(B40="","",SUMIFS('Input_APM (Zenith)'!N:N,'Input_APM (Zenith)'!L:L,Check!B40,'Input_APM (Zenith)'!M:M,Check!$G$1))</f>
        <v>0</v>
      </c>
      <c r="M40" s="240">
        <f t="shared" si="4"/>
        <v>150</v>
      </c>
      <c r="O40" t="s">
        <v>2075</v>
      </c>
      <c r="P40" s="217">
        <f>IF(O40="","",IF(OR(LEFT(O40,4)="Cash",LEFT(O40,4)="Prov"),0,SUMIFS(Input_APM!N:N,Input_APM!L:L,Check!O40)))</f>
        <v>0</v>
      </c>
      <c r="Q40" s="22">
        <f>IF(O40="","",IF(LEN(O40)&gt;9,SUMIFS(Options!$H$3:$H$23,Options!$B$3:$B$23,Check!O40),SUMIFS('Master P&amp;L'!$H$11:$H$77,'Master P&amp;L'!$B$11:$B$77,Check!O40)))</f>
        <v>0</v>
      </c>
      <c r="R40" s="217">
        <f t="shared" si="1"/>
        <v>0</v>
      </c>
      <c r="S40" s="361" t="str">
        <f t="shared" si="2"/>
        <v>Ok</v>
      </c>
      <c r="V40" s="13"/>
    </row>
    <row r="41" spans="1:22">
      <c r="B41" t="s">
        <v>2297</v>
      </c>
      <c r="C41" s="233">
        <f>IF(B41="","",IF(LEN(B41)&gt;9,SUMIFS(Options!$H$3:$H$23,Options!$B$3:$B$23,Check!B41),SUMIFS('Master P&amp;L'!$H$11:$H$77,'Master P&amp;L'!$B$11:$B$77,Check!B41)))</f>
        <v>-150</v>
      </c>
      <c r="D41" s="233">
        <f>IF(B41="","",SUMIFS(Input_APM!N:N,Input_APM!L:L,Check!B41,Input_APM!M:M,Check!$F$1))</f>
        <v>-141</v>
      </c>
      <c r="E41" s="217">
        <f t="shared" si="5"/>
        <v>0</v>
      </c>
      <c r="F41" s="233">
        <f>IF(B41="","",SUMIFS(Input_APM!N:N,Input_APM!M:M,Check!$F$1,Input_APM!L:L,Check!B41))</f>
        <v>-141</v>
      </c>
      <c r="G41" s="233">
        <f>IF(B41="","",SUMIFS(Input_APM!N:N,Input_APM!M:M,Check!$G$1,Input_APM!L:L,Check!B41))</f>
        <v>0</v>
      </c>
      <c r="H41" s="217">
        <f t="shared" si="0"/>
        <v>-141</v>
      </c>
      <c r="I41" s="217">
        <f>SUMIFS(Input_APM!N:N,Input_APM!L:L,Check!B41)</f>
        <v>-141</v>
      </c>
      <c r="J41" s="219">
        <f t="shared" si="3"/>
        <v>0</v>
      </c>
      <c r="K41" s="22">
        <f>IF(B41="","",SUMIFS('Input_APM (Zenith)'!N:N,'Input_APM (Zenith)'!L:L,Check!B41,'Input_APM (Zenith)'!M:M,Check!$F$1))</f>
        <v>-9</v>
      </c>
      <c r="L41" s="22">
        <f>IF(B41="","",SUMIFS('Input_APM (Zenith)'!N:N,'Input_APM (Zenith)'!L:L,Check!B41,'Input_APM (Zenith)'!M:M,Check!$G$1))</f>
        <v>0</v>
      </c>
      <c r="M41" s="240">
        <f t="shared" si="4"/>
        <v>-150</v>
      </c>
      <c r="O41" t="s">
        <v>2316</v>
      </c>
      <c r="P41" s="217">
        <f>IF(O41="","",IF(OR(LEFT(O41,4)="Cash",LEFT(O41,4)="Prov"),0,SUMIFS(Input_APM!N:N,Input_APM!L:L,Check!O41)))</f>
        <v>56</v>
      </c>
      <c r="Q41" s="22">
        <f>IF(O41="","",IF(LEN(O41)&gt;9,SUMIFS(Options!$H$3:$H$23,Options!$B$3:$B$23,Check!O41),SUMIFS('Master P&amp;L'!$H$11:$H$77,'Master P&amp;L'!$B$11:$B$77,Check!O41)))</f>
        <v>60</v>
      </c>
      <c r="R41" s="217">
        <f t="shared" si="1"/>
        <v>-4</v>
      </c>
      <c r="S41" s="361">
        <f t="shared" si="2"/>
        <v>0.93333333333333335</v>
      </c>
      <c r="V41" s="13"/>
    </row>
    <row r="42" spans="1:22">
      <c r="B42" t="s">
        <v>2321</v>
      </c>
      <c r="C42" s="233">
        <f>IF(B42="","",IF(LEN(B42)&gt;9,SUMIFS(Options!$H$3:$H$23,Options!$B$3:$B$23,Check!B42),SUMIFS('Master P&amp;L'!$H$11:$H$77,'Master P&amp;L'!$B$11:$B$77,Check!B42)))</f>
        <v>25</v>
      </c>
      <c r="D42" s="233">
        <f>IF(B42="","",SUMIFS(Input_APM!N:N,Input_APM!L:L,Check!B42,Input_APM!M:M,Check!$F$1))</f>
        <v>24</v>
      </c>
      <c r="E42" s="219">
        <f t="shared" si="5"/>
        <v>0</v>
      </c>
      <c r="F42" s="233">
        <f>IF(B42="","",SUMIFS(Input_APM!N:N,Input_APM!M:M,Check!$F$1,Input_APM!L:L,Check!B42))</f>
        <v>24</v>
      </c>
      <c r="G42" s="233">
        <f>IF(B42="","",SUMIFS(Input_APM!N:N,Input_APM!M:M,Check!$G$1,Input_APM!L:L,Check!B42))</f>
        <v>0</v>
      </c>
      <c r="H42" s="217">
        <f t="shared" si="0"/>
        <v>24</v>
      </c>
      <c r="I42" s="217">
        <f>SUMIFS(Input_APM!N:N,Input_APM!L:L,Check!B42)</f>
        <v>24</v>
      </c>
      <c r="J42" s="219">
        <f t="shared" si="3"/>
        <v>0</v>
      </c>
      <c r="K42" s="22">
        <f>IF(B42="","",SUMIFS('Input_APM (Zenith)'!N:N,'Input_APM (Zenith)'!L:L,Check!B42,'Input_APM (Zenith)'!M:M,Check!$F$1))</f>
        <v>1</v>
      </c>
      <c r="L42" s="22">
        <f>IF(B42="","",SUMIFS('Input_APM (Zenith)'!N:N,'Input_APM (Zenith)'!L:L,Check!B42,'Input_APM (Zenith)'!M:M,Check!$G$1))</f>
        <v>0</v>
      </c>
      <c r="M42" s="240">
        <f t="shared" si="4"/>
        <v>25</v>
      </c>
      <c r="O42" t="s">
        <v>81</v>
      </c>
      <c r="P42" s="217">
        <f>IF(O42="","",IF(OR(LEFT(O42,4)="Cash",LEFT(O42,4)="Prov"),0,SUMIFS(Input_APM!N:N,Input_APM!L:L,Check!O42)))</f>
        <v>1252</v>
      </c>
      <c r="Q42" s="22">
        <f>IF(O42="","",IF(LEN(O42)&gt;9,SUMIFS(Options!$H$3:$H$23,Options!$B$3:$B$23,Check!O42),SUMIFS('Master P&amp;L'!$H$11:$H$77,'Master P&amp;L'!$B$11:$B$77,Check!O42)))</f>
        <v>1345</v>
      </c>
      <c r="R42" s="217">
        <f t="shared" si="1"/>
        <v>-93</v>
      </c>
      <c r="S42" s="361">
        <f t="shared" si="2"/>
        <v>0.93085501858736064</v>
      </c>
      <c r="V42" s="13"/>
    </row>
    <row r="43" spans="1:22">
      <c r="A43" t="s">
        <v>1770</v>
      </c>
      <c r="B43" t="s">
        <v>2050</v>
      </c>
      <c r="C43" s="233">
        <f>IF(B43="","",IF(LEN(B43)&gt;9,SUMIFS(Options!$H$3:$H$23,Options!$B$3:$B$23,Check!B43),SUMIFS('Master P&amp;L'!$H$11:$H$77,'Master P&amp;L'!$B$11:$B$77,Check!B43)))</f>
        <v>-50</v>
      </c>
      <c r="D43" s="233">
        <f>IF(B43="","",SUMIFS(Input_APM!N:N,Input_APM!L:L,Check!B43,Input_APM!M:M,Check!$F$1))</f>
        <v>-46</v>
      </c>
      <c r="E43" s="217">
        <f t="shared" si="5"/>
        <v>0</v>
      </c>
      <c r="F43" s="233">
        <f>IF(B43="","",SUMIFS(Input_APM!N:N,Input_APM!M:M,Check!$F$1,Input_APM!L:L,Check!B43))</f>
        <v>-46</v>
      </c>
      <c r="G43" s="233">
        <f>IF(B43="","",SUMIFS(Input_APM!N:N,Input_APM!M:M,Check!$G$1,Input_APM!L:L,Check!B43))</f>
        <v>0</v>
      </c>
      <c r="H43" s="217">
        <f t="shared" si="0"/>
        <v>-46</v>
      </c>
      <c r="I43" s="217">
        <f>SUMIFS(Input_APM!N:N,Input_APM!L:L,Check!B43)</f>
        <v>-46</v>
      </c>
      <c r="J43" s="219">
        <f t="shared" si="3"/>
        <v>0</v>
      </c>
      <c r="K43" s="22">
        <f>IF(B43="","",SUMIFS('Input_APM (Zenith)'!N:N,'Input_APM (Zenith)'!L:L,Check!B43,'Input_APM (Zenith)'!M:M,Check!$F$1))</f>
        <v>-4</v>
      </c>
      <c r="L43" s="22">
        <f>IF(B43="","",SUMIFS('Input_APM (Zenith)'!N:N,'Input_APM (Zenith)'!L:L,Check!B43,'Input_APM (Zenith)'!M:M,Check!$G$1))</f>
        <v>0</v>
      </c>
      <c r="M43" s="217">
        <f t="shared" si="4"/>
        <v>-50</v>
      </c>
      <c r="O43" t="s">
        <v>2069</v>
      </c>
      <c r="P43" s="217">
        <f>IF(O43="","",IF(OR(LEFT(O43,4)="Cash",LEFT(O43,4)="Prov"),0,SUMIFS(Input_APM!N:N,Input_APM!L:L,Check!O43)))</f>
        <v>57</v>
      </c>
      <c r="Q43" s="22">
        <f>IF(O43="","",IF(LEN(O43)&gt;9,SUMIFS(Options!$H$3:$H$23,Options!$B$3:$B$23,Check!O43),SUMIFS('Master P&amp;L'!$H$11:$H$77,'Master P&amp;L'!$B$11:$B$77,Check!O43)))</f>
        <v>60</v>
      </c>
      <c r="R43" s="217">
        <f t="shared" si="1"/>
        <v>-3</v>
      </c>
      <c r="S43" s="361">
        <f t="shared" si="2"/>
        <v>0.95</v>
      </c>
      <c r="V43" s="13"/>
    </row>
    <row r="44" spans="1:22">
      <c r="B44" t="s">
        <v>2331</v>
      </c>
      <c r="C44" s="233">
        <f>IF(B44="","",IF(LEN(B44)&gt;9,SUMIFS(Options!$H$3:$H$23,Options!$B$3:$B$23,Check!B44),SUMIFS('Master P&amp;L'!$H$11:$H$77,'Master P&amp;L'!$B$11:$B$77,Check!B44)))</f>
        <v>250</v>
      </c>
      <c r="D44" s="233">
        <f>IF(B44="","",SUMIFS(Input_APM!N:N,Input_APM!L:L,Check!B44,Input_APM!M:M,Check!$F$1))</f>
        <v>235</v>
      </c>
      <c r="E44" s="217">
        <f>IF(B44="","",C44-M44)</f>
        <v>0</v>
      </c>
      <c r="F44" s="233">
        <f>IF(B44="","",SUMIFS(Input_APM!N:N,Input_APM!M:M,Check!$F$1,Input_APM!L:L,Check!B44))</f>
        <v>235</v>
      </c>
      <c r="G44" s="233">
        <f>IF(B44="","",SUMIFS(Input_APM!N:N,Input_APM!M:M,Check!$G$1,Input_APM!L:L,Check!B44))</f>
        <v>0</v>
      </c>
      <c r="H44" s="217">
        <f t="shared" si="0"/>
        <v>235</v>
      </c>
      <c r="I44" s="217">
        <f>SUMIFS(Input_APM!N:N,Input_APM!L:L,Check!B44)</f>
        <v>235</v>
      </c>
      <c r="J44" s="219">
        <f t="shared" si="3"/>
        <v>0</v>
      </c>
      <c r="K44" s="22">
        <f>IF(B44="","",SUMIFS('Input_APM (Zenith)'!N:N,'Input_APM (Zenith)'!L:L,Check!B44,'Input_APM (Zenith)'!M:M,Check!$F$1))</f>
        <v>15</v>
      </c>
      <c r="L44" s="22">
        <f>IF(B44="","",SUMIFS('Input_APM (Zenith)'!N:N,'Input_APM (Zenith)'!L:L,Check!B44,'Input_APM (Zenith)'!M:M,Check!$G$1))</f>
        <v>0</v>
      </c>
      <c r="M44" s="217">
        <f t="shared" si="4"/>
        <v>250</v>
      </c>
      <c r="O44" t="s">
        <v>2110</v>
      </c>
      <c r="P44" s="217">
        <f>IF(O44="","",IF(OR(LEFT(O44,4)="Cash",LEFT(O44,4)="Prov"),0,SUMIFS(Input_APM!N:N,Input_APM!L:L,Check!O44)))</f>
        <v>0</v>
      </c>
      <c r="Q44" s="22">
        <f>IF(O44="","",IF(LEN(O44)&gt;9,SUMIFS(Options!$H$3:$H$23,Options!$B$3:$B$23,Check!O44),SUMIFS('Master P&amp;L'!$H$11:$H$77,'Master P&amp;L'!$B$11:$B$77,Check!O44)))</f>
        <v>0</v>
      </c>
      <c r="R44" s="217">
        <f t="shared" si="1"/>
        <v>0</v>
      </c>
      <c r="S44" s="361" t="str">
        <f t="shared" si="2"/>
        <v>Ok</v>
      </c>
      <c r="V44" s="13"/>
    </row>
    <row r="45" spans="1:22">
      <c r="B45" t="s">
        <v>2312</v>
      </c>
      <c r="C45" s="233">
        <f>IF(B45="","",IF(LEN(B45)&gt;9,SUMIFS(Options!$H$3:$H$23,Options!$B$3:$B$23,Check!B45),SUMIFS('Master P&amp;L'!$H$11:$H$77,'Master P&amp;L'!$B$11:$B$77,Check!B45)))</f>
        <v>15</v>
      </c>
      <c r="D45" s="233">
        <f>IF(B45="","",SUMIFS(Input_APM!N:N,Input_APM!L:L,Check!B45,Input_APM!M:M,Check!$F$1))</f>
        <v>14</v>
      </c>
      <c r="E45" s="217">
        <f t="shared" si="5"/>
        <v>0</v>
      </c>
      <c r="F45" s="233">
        <f>IF(B45="","",SUMIFS(Input_APM!N:N,Input_APM!M:M,Check!$F$1,Input_APM!L:L,Check!B45))</f>
        <v>14</v>
      </c>
      <c r="G45" s="233">
        <f>IF(B45="","",SUMIFS(Input_APM!N:N,Input_APM!M:M,Check!$G$1,Input_APM!L:L,Check!B45))</f>
        <v>0</v>
      </c>
      <c r="H45" s="217">
        <f t="shared" si="0"/>
        <v>14</v>
      </c>
      <c r="I45" s="217">
        <f>SUMIFS(Input_APM!N:N,Input_APM!L:L,Check!B45)</f>
        <v>14</v>
      </c>
      <c r="J45" s="219">
        <f t="shared" si="3"/>
        <v>0</v>
      </c>
      <c r="K45" s="22">
        <f>IF(B45="","",SUMIFS('Input_APM (Zenith)'!N:N,'Input_APM (Zenith)'!L:L,Check!B45,'Input_APM (Zenith)'!M:M,Check!$F$1))</f>
        <v>1</v>
      </c>
      <c r="L45" s="22">
        <f>IF(B45="","",SUMIFS('Input_APM (Zenith)'!N:N,'Input_APM (Zenith)'!L:L,Check!B45,'Input_APM (Zenith)'!M:M,Check!$G$1))</f>
        <v>0</v>
      </c>
      <c r="M45" s="217">
        <f t="shared" si="4"/>
        <v>15</v>
      </c>
      <c r="O45" t="s">
        <v>2109</v>
      </c>
      <c r="P45" s="217">
        <f>IF(O45="","",IF(OR(LEFT(O45,4)="Cash",LEFT(O45,4)="Prov"),0,SUMIFS(Input_APM!N:N,Input_APM!L:L,Check!O45)))</f>
        <v>0</v>
      </c>
      <c r="Q45" s="22">
        <f>IF(O45="","",IF(LEN(O45)&gt;9,SUMIFS(Options!$H$3:$H$23,Options!$B$3:$B$23,Check!O45),SUMIFS('Master P&amp;L'!$H$11:$H$77,'Master P&amp;L'!$B$11:$B$77,Check!O45)))</f>
        <v>0</v>
      </c>
      <c r="R45" s="217">
        <f t="shared" si="1"/>
        <v>0</v>
      </c>
      <c r="S45" s="361" t="str">
        <f t="shared" si="2"/>
        <v>Ok</v>
      </c>
      <c r="V45" s="13"/>
    </row>
    <row r="46" spans="1:22">
      <c r="B46" t="s">
        <v>2235</v>
      </c>
      <c r="C46" s="233">
        <f>IF(B46="","",IF(LEN(B46)&gt;9,SUMIFS(Options!$H$3:$H$23,Options!$B$3:$B$23,Check!B46),SUMIFS('Master P&amp;L'!$H$11:$H$77,'Master P&amp;L'!$B$11:$B$77,Check!B46)))</f>
        <v>1550</v>
      </c>
      <c r="D46" s="233">
        <f>IF(B46="","",SUMIFS(Input_APM!N:N,Input_APM!L:L,Check!B46,Input_APM!M:M,Check!$F$1))</f>
        <v>1453</v>
      </c>
      <c r="E46" s="219">
        <f t="shared" si="5"/>
        <v>0</v>
      </c>
      <c r="F46" s="233">
        <f>IF(B46="","",SUMIFS(Input_APM!N:N,Input_APM!M:M,Check!$F$1,Input_APM!L:L,Check!B46))</f>
        <v>1453</v>
      </c>
      <c r="G46" s="233">
        <f>IF(B46="","",SUMIFS(Input_APM!N:N,Input_APM!M:M,Check!$G$1,Input_APM!L:L,Check!B46))</f>
        <v>0</v>
      </c>
      <c r="H46" s="217">
        <f t="shared" si="0"/>
        <v>1453</v>
      </c>
      <c r="I46" s="217">
        <f>SUMIFS(Input_APM!N:N,Input_APM!L:L,Check!B46)</f>
        <v>1453</v>
      </c>
      <c r="J46" s="219">
        <f t="shared" si="3"/>
        <v>0</v>
      </c>
      <c r="K46" s="22">
        <f>IF(B46="","",SUMIFS('Input_APM (Zenith)'!N:N,'Input_APM (Zenith)'!L:L,Check!B46,'Input_APM (Zenith)'!M:M,Check!$F$1))</f>
        <v>97</v>
      </c>
      <c r="L46" s="22">
        <f>IF(B46="","",SUMIFS('Input_APM (Zenith)'!N:N,'Input_APM (Zenith)'!L:L,Check!B46,'Input_APM (Zenith)'!M:M,Check!$G$1))</f>
        <v>0</v>
      </c>
      <c r="M46" s="217">
        <f t="shared" si="4"/>
        <v>1550</v>
      </c>
      <c r="O46" t="s">
        <v>2319</v>
      </c>
      <c r="P46" s="217">
        <f>IF(O46="","",IF(OR(LEFT(O46,4)="Cash",LEFT(O46,4)="Prov"),0,SUMIFS(Input_APM!N:N,Input_APM!L:L,Check!O46)))</f>
        <v>73</v>
      </c>
      <c r="Q46" s="22">
        <f>IF(O46="","",IF(LEN(O46)&gt;9,SUMIFS(Options!$H$3:$H$23,Options!$B$3:$B$23,Check!O46),SUMIFS('Master P&amp;L'!$H$11:$H$77,'Master P&amp;L'!$B$11:$B$77,Check!O46)))</f>
        <v>75</v>
      </c>
      <c r="R46" s="217">
        <f t="shared" si="1"/>
        <v>-2</v>
      </c>
      <c r="S46" s="361">
        <f t="shared" si="2"/>
        <v>0.97333333333333338</v>
      </c>
      <c r="V46" s="13"/>
    </row>
    <row r="47" spans="1:22">
      <c r="B47" t="s">
        <v>2236</v>
      </c>
      <c r="C47" s="233">
        <f>IF(B47="","",IF(LEN(B47)&gt;9,SUMIFS(Options!$H$3:$H$23,Options!$B$3:$B$23,Check!B47),SUMIFS('Master P&amp;L'!$H$11:$H$77,'Master P&amp;L'!$B$11:$B$77,Check!B47)))</f>
        <v>-1400</v>
      </c>
      <c r="D47" s="233">
        <f>IF(B47="","",SUMIFS(Input_APM!N:N,Input_APM!L:L,Check!B47,Input_APM!M:M,Check!$F$1))</f>
        <v>-1312</v>
      </c>
      <c r="E47" s="219">
        <f t="shared" si="5"/>
        <v>0</v>
      </c>
      <c r="F47" s="233">
        <f>IF(B47="","",SUMIFS(Input_APM!N:N,Input_APM!M:M,Check!$F$1,Input_APM!L:L,Check!B47))</f>
        <v>-1312</v>
      </c>
      <c r="G47" s="233">
        <f>IF(B47="","",SUMIFS(Input_APM!N:N,Input_APM!M:M,Check!$G$1,Input_APM!L:L,Check!B47))</f>
        <v>0</v>
      </c>
      <c r="H47" s="217">
        <f t="shared" si="0"/>
        <v>-1312</v>
      </c>
      <c r="I47" s="217">
        <f>SUMIFS(Input_APM!N:N,Input_APM!L:L,Check!B47)</f>
        <v>-1312</v>
      </c>
      <c r="J47" s="219">
        <f t="shared" si="3"/>
        <v>0</v>
      </c>
      <c r="K47" s="22">
        <f>IF(B47="","",SUMIFS('Input_APM (Zenith)'!N:N,'Input_APM (Zenith)'!L:L,Check!B47,'Input_APM (Zenith)'!M:M,Check!$F$1))</f>
        <v>-88</v>
      </c>
      <c r="L47" s="22">
        <f>IF(B47="","",SUMIFS('Input_APM (Zenith)'!N:N,'Input_APM (Zenith)'!L:L,Check!B47,'Input_APM (Zenith)'!M:M,Check!$G$1))</f>
        <v>0</v>
      </c>
      <c r="M47" s="217">
        <f t="shared" si="4"/>
        <v>-1400</v>
      </c>
      <c r="O47" t="s">
        <v>138</v>
      </c>
      <c r="P47" s="217">
        <f>IF(O47="","",IF(OR(LEFT(O47,4)="Cash",LEFT(O47,4)="Prov"),0,SUMIFS(Input_APM!N:N,Input_APM!L:L,Check!O47)))</f>
        <v>-46</v>
      </c>
      <c r="Q47" s="22">
        <f>IF(O47="","",IF(LEN(O47)&gt;9,SUMIFS(Options!$H$3:$H$23,Options!$B$3:$B$23,Check!O47),SUMIFS('Master P&amp;L'!$H$11:$H$77,'Master P&amp;L'!$B$11:$B$77,Check!O47)))</f>
        <v>-49</v>
      </c>
      <c r="R47" s="217">
        <f t="shared" si="1"/>
        <v>3</v>
      </c>
      <c r="S47" s="361">
        <f t="shared" si="2"/>
        <v>0.93877551020408168</v>
      </c>
    </row>
    <row r="48" spans="1:22">
      <c r="B48"/>
      <c r="C48" s="233" t="str">
        <f>IF(B48="","",IF(LEN(B48)&gt;9,SUMIFS(Options!$H$3:$H$23,Options!$B$3:$B$23,Check!B48),SUMIFS('Master P&amp;L'!$H$11:$H$77,'Master P&amp;L'!$B$11:$B$77,Check!B48)))</f>
        <v/>
      </c>
      <c r="D48" s="233" t="str">
        <f>IF(B48="","",SUMIFS(Input_APM!N:N,Input_APM!L:L,Check!B48,Input_APM!M:M,Check!$F$1))</f>
        <v/>
      </c>
      <c r="E48" s="219" t="str">
        <f t="shared" si="5"/>
        <v/>
      </c>
      <c r="F48" s="233" t="str">
        <f>IF(B48="","",SUMIFS(Input_APM!N:N,Input_APM!M:M,Check!$F$1,Input_APM!L:L,Check!B48))</f>
        <v/>
      </c>
      <c r="G48" s="233" t="str">
        <f>IF(B48="","",SUMIFS(Input_APM!N:N,Input_APM!M:M,Check!$G$1,Input_APM!L:L,Check!B48))</f>
        <v/>
      </c>
      <c r="H48" s="217" t="str">
        <f t="shared" si="0"/>
        <v/>
      </c>
      <c r="I48" s="217">
        <f>SUMIFS(Input_APM!N:N,Input_APM!L:L,Check!B48)</f>
        <v>0</v>
      </c>
      <c r="J48" s="219" t="str">
        <f t="shared" si="3"/>
        <v/>
      </c>
      <c r="K48" s="22" t="str">
        <f>IF(B48="","",SUMIFS('Input_APM (Zenith)'!N:N,'Input_APM (Zenith)'!L:L,Check!B48,'Input_APM (Zenith)'!M:M,Check!$F$1))</f>
        <v/>
      </c>
      <c r="L48" s="22" t="str">
        <f>IF(B48="","",SUMIFS('Input_APM (Zenith)'!N:N,'Input_APM (Zenith)'!L:L,Check!B48,'Input_APM (Zenith)'!M:M,Check!$G$1))</f>
        <v/>
      </c>
      <c r="M48" s="217" t="str">
        <f t="shared" si="4"/>
        <v/>
      </c>
      <c r="O48" t="s">
        <v>2297</v>
      </c>
      <c r="P48" s="217">
        <f>IF(O48="","",IF(OR(LEFT(O48,4)="Cash",LEFT(O48,4)="Prov"),0,SUMIFS(Input_APM!N:N,Input_APM!L:L,Check!O48)))</f>
        <v>-141</v>
      </c>
      <c r="Q48" s="22">
        <f>IF(O48="","",IF(LEN(O48)&gt;9,SUMIFS(Options!$H$3:$H$23,Options!$B$3:$B$23,Check!O48),SUMIFS('Master P&amp;L'!$H$11:$H$77,'Master P&amp;L'!$B$11:$B$77,Check!O48)))</f>
        <v>-150</v>
      </c>
      <c r="R48" s="217">
        <f t="shared" si="1"/>
        <v>9</v>
      </c>
      <c r="S48" s="361">
        <f t="shared" si="2"/>
        <v>0.94</v>
      </c>
    </row>
    <row r="49" spans="1:19">
      <c r="B49"/>
      <c r="C49" s="233" t="str">
        <f>IF(B49="","",IF(LEN(B49)&gt;9,SUMIFS(Options!$H$3:$H$23,Options!$B$3:$B$23,Check!B49),SUMIFS('Master P&amp;L'!$H$11:$H$77,'Master P&amp;L'!$B$11:$B$77,Check!B49)))</f>
        <v/>
      </c>
      <c r="D49" s="233" t="str">
        <f>IF(B49="","",SUMIFS(Input_APM!N:N,Input_APM!L:L,Check!B49,Input_APM!M:M,Check!$F$1))</f>
        <v/>
      </c>
      <c r="E49" s="219" t="str">
        <f t="shared" si="5"/>
        <v/>
      </c>
      <c r="F49" s="233" t="str">
        <f>IF(B49="","",SUMIFS(Input_APM!N:N,Input_APM!M:M,Check!$F$1,Input_APM!L:L,Check!B49))</f>
        <v/>
      </c>
      <c r="G49" s="233" t="str">
        <f>IF(B49="","",SUMIFS(Input_APM!N:N,Input_APM!M:M,Check!$G$1,Input_APM!L:L,Check!B49))</f>
        <v/>
      </c>
      <c r="H49" s="217" t="str">
        <f t="shared" si="0"/>
        <v/>
      </c>
      <c r="I49" s="217">
        <f>SUMIFS(Input_APM!N:N,Input_APM!L:L,Check!B49)</f>
        <v>0</v>
      </c>
      <c r="J49" s="219" t="str">
        <f t="shared" si="3"/>
        <v/>
      </c>
      <c r="K49" s="22" t="str">
        <f>IF(B49="","",SUMIFS('Input_APM (Zenith)'!N:N,'Input_APM (Zenith)'!L:L,Check!B49,'Input_APM (Zenith)'!M:M,Check!$F$1))</f>
        <v/>
      </c>
      <c r="L49" s="22" t="str">
        <f>IF(B49="","",SUMIFS('Input_APM (Zenith)'!N:N,'Input_APM (Zenith)'!L:L,Check!B49,'Input_APM (Zenith)'!M:M,Check!$G$1))</f>
        <v/>
      </c>
      <c r="M49" s="217" t="str">
        <f t="shared" si="4"/>
        <v/>
      </c>
      <c r="O49" t="s">
        <v>2099</v>
      </c>
      <c r="P49" s="217">
        <f>IF(O49="","",IF(OR(LEFT(O49,4)="Cash",LEFT(O49,4)="Prov"),0,SUMIFS(Input_APM!N:N,Input_APM!L:L,Check!O49)))</f>
        <v>-188</v>
      </c>
      <c r="Q49" s="22">
        <f>IF(O49="","",IF(LEN(O49)&gt;9,SUMIFS(Options!$H$3:$H$23,Options!$B$3:$B$23,Check!O49),SUMIFS('Master P&amp;L'!$H$11:$H$77,'Master P&amp;L'!$B$11:$B$77,Check!O49)))</f>
        <v>-200</v>
      </c>
      <c r="R49" s="217">
        <f t="shared" si="1"/>
        <v>12</v>
      </c>
      <c r="S49" s="361">
        <f t="shared" si="2"/>
        <v>0.94</v>
      </c>
    </row>
    <row r="50" spans="1:19">
      <c r="A50" t="s">
        <v>1770</v>
      </c>
      <c r="B50"/>
      <c r="C50" s="233" t="str">
        <f>IF(B50="","",IF(LEN(B50)&gt;9,SUMIFS(Options!$H$3:$H$23,Options!$B$3:$B$23,Check!B50),SUMIFS('Master P&amp;L'!$H$11:$H$77,'Master P&amp;L'!$B$11:$B$77,Check!B50)))</f>
        <v/>
      </c>
      <c r="D50" s="233" t="str">
        <f>IF(B50="","",SUMIFS(Input_APM!N:N,Input_APM!L:L,Check!B50,Input_APM!M:M,Check!$F$1))</f>
        <v/>
      </c>
      <c r="E50" s="219" t="str">
        <f t="shared" si="5"/>
        <v/>
      </c>
      <c r="F50" s="233" t="str">
        <f>IF(B50="","",SUMIFS(Input_APM!N:N,Input_APM!M:M,Check!$F$1,Input_APM!L:L,Check!B50))</f>
        <v/>
      </c>
      <c r="G50" s="233" t="str">
        <f>IF(B50="","",SUMIFS(Input_APM!N:N,Input_APM!M:M,Check!$G$1,Input_APM!L:L,Check!B50))</f>
        <v/>
      </c>
      <c r="H50" s="217" t="str">
        <f t="shared" si="0"/>
        <v/>
      </c>
      <c r="I50" s="217">
        <f>SUMIFS(Input_APM!N:N,Input_APM!L:L,Check!B50)</f>
        <v>0</v>
      </c>
      <c r="J50" s="219" t="str">
        <f t="shared" si="3"/>
        <v/>
      </c>
      <c r="K50" s="22" t="str">
        <f>IF(B50="","",SUMIFS('Input_APM (Zenith)'!N:N,'Input_APM (Zenith)'!L:L,Check!B50,'Input_APM (Zenith)'!M:M,Check!$F$1))</f>
        <v/>
      </c>
      <c r="L50" s="22" t="str">
        <f>IF(B50="","",SUMIFS('Input_APM (Zenith)'!N:N,'Input_APM (Zenith)'!L:L,Check!B50,'Input_APM (Zenith)'!M:M,Check!$G$1))</f>
        <v/>
      </c>
      <c r="M50" s="217" t="str">
        <f t="shared" si="4"/>
        <v/>
      </c>
      <c r="O50" t="s">
        <v>2059</v>
      </c>
      <c r="P50" s="217">
        <f>IF(O50="","",IF(OR(LEFT(O50,4)="Cash",LEFT(O50,4)="Prov"),0,SUMIFS(Input_APM!N:N,Input_APM!L:L,Check!O50)))</f>
        <v>141</v>
      </c>
      <c r="Q50" s="22">
        <f>IF(O50="","",IF(LEN(O50)&gt;9,SUMIFS(Options!$H$3:$H$23,Options!$B$3:$B$23,Check!O50),SUMIFS('Master P&amp;L'!$H$11:$H$77,'Master P&amp;L'!$B$11:$B$77,Check!O50)))</f>
        <v>150</v>
      </c>
      <c r="R50" s="217">
        <f t="shared" si="1"/>
        <v>-9</v>
      </c>
      <c r="S50" s="361">
        <f t="shared" si="2"/>
        <v>0.94</v>
      </c>
    </row>
    <row r="51" spans="1:19">
      <c r="B51"/>
      <c r="C51" s="233" t="str">
        <f>IF(B51="","",IF(LEN(B51)&gt;9,SUMIFS(Options!$H$3:$H$23,Options!$B$3:$B$23,Check!B51),SUMIFS('Master P&amp;L'!$H$11:$H$77,'Master P&amp;L'!$B$11:$B$77,Check!B51)))</f>
        <v/>
      </c>
      <c r="D51" s="233" t="str">
        <f>IF(B51="","",SUMIFS(Input_APM!N:N,Input_APM!L:L,Check!B51,Input_APM!M:M,Check!$F$1))</f>
        <v/>
      </c>
      <c r="E51" s="219" t="str">
        <f t="shared" si="5"/>
        <v/>
      </c>
      <c r="F51" s="233" t="str">
        <f>IF(B51="","",SUMIFS(Input_APM!N:N,Input_APM!M:M,Check!$F$1,Input_APM!L:L,Check!B51))</f>
        <v/>
      </c>
      <c r="G51" s="233" t="str">
        <f>IF(B51="","",SUMIFS(Input_APM!N:N,Input_APM!M:M,Check!$G$1,Input_APM!L:L,Check!B51))</f>
        <v/>
      </c>
      <c r="H51" s="217" t="str">
        <f t="shared" si="0"/>
        <v/>
      </c>
      <c r="I51" s="217">
        <f>SUMIFS(Input_APM!N:N,Input_APM!L:L,Check!B51)</f>
        <v>0</v>
      </c>
      <c r="J51" s="219" t="str">
        <f t="shared" si="3"/>
        <v/>
      </c>
      <c r="K51" s="22" t="str">
        <f>IF(B51="","",SUMIFS('Input_APM (Zenith)'!N:N,'Input_APM (Zenith)'!L:L,Check!B51,'Input_APM (Zenith)'!M:M,Check!$F$1))</f>
        <v/>
      </c>
      <c r="L51" s="22" t="str">
        <f>IF(B51="","",SUMIFS('Input_APM (Zenith)'!N:N,'Input_APM (Zenith)'!L:L,Check!B51,'Input_APM (Zenith)'!M:M,Check!$G$1))</f>
        <v/>
      </c>
      <c r="M51" s="217" t="str">
        <f t="shared" si="4"/>
        <v/>
      </c>
      <c r="O51" t="s">
        <v>2098</v>
      </c>
      <c r="P51" s="217">
        <f>IF(O51="","",IF(OR(LEFT(O51,4)="Cash",LEFT(O51,4)="Prov"),0,SUMIFS(Input_APM!N:N,Input_APM!L:L,Check!O51)))</f>
        <v>186</v>
      </c>
      <c r="Q51" s="22">
        <f>IF(O51="","",IF(LEN(O51)&gt;9,SUMIFS(Options!$H$3:$H$23,Options!$B$3:$B$23,Check!O51),SUMIFS('Master P&amp;L'!$H$11:$H$77,'Master P&amp;L'!$B$11:$B$77,Check!O51)))</f>
        <v>200</v>
      </c>
      <c r="R51" s="217">
        <f t="shared" si="1"/>
        <v>-14</v>
      </c>
      <c r="S51" s="361">
        <f t="shared" si="2"/>
        <v>0.93</v>
      </c>
    </row>
    <row r="52" spans="1:19">
      <c r="B52"/>
      <c r="C52" s="233" t="str">
        <f>IF(B52="","",IF(LEN(B52)&gt;9,SUMIFS(Options!$H$3:$H$23,Options!$B$3:$B$23,Check!B52),SUMIFS('Master P&amp;L'!$H$11:$H$77,'Master P&amp;L'!$B$11:$B$77,Check!B52)))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90</v>
      </c>
      <c r="P52" s="217">
        <f>IF(O52="","",IF(OR(LEFT(O52,4)="Cash",LEFT(O52,4)="Prov"),0,SUMIFS(Input_APM!N:N,Input_APM!L:L,Check!O52)))</f>
        <v>3270</v>
      </c>
      <c r="Q52" s="22">
        <f>IF(O52="","",IF(LEN(O52)&gt;9,SUMIFS(Options!$H$3:$H$23,Options!$B$3:$B$23,Check!O52),SUMIFS('Master P&amp;L'!$H$11:$H$77,'Master P&amp;L'!$B$11:$B$77,Check!O52)))</f>
        <v>3500</v>
      </c>
      <c r="R52" s="217">
        <f t="shared" si="1"/>
        <v>-230</v>
      </c>
      <c r="S52" s="361">
        <f t="shared" si="2"/>
        <v>0.93428571428571427</v>
      </c>
    </row>
    <row r="53" spans="1:19">
      <c r="B53"/>
      <c r="C53" s="233" t="str">
        <f>IF(B53="","",IF(LEN(B53)&gt;9,SUMIFS(Options!$H$3:$H$23,Options!$B$3:$B$23,Check!B53),SUMIFS('Master P&amp;L'!$H$11:$H$77,'Master P&amp;L'!$B$11:$B$77,Check!B53)))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2050</v>
      </c>
      <c r="P53" s="217">
        <f>IF(O53="","",IF(OR(LEFT(O53,4)="Cash",LEFT(O53,4)="Prov"),0,SUMIFS(Input_APM!N:N,Input_APM!L:L,Check!O53)))</f>
        <v>-46</v>
      </c>
      <c r="Q53" s="22">
        <f>IF(O53="","",IF(LEN(O53)&gt;9,SUMIFS(Options!$H$3:$H$23,Options!$B$3:$B$23,Check!O53),SUMIFS('Master P&amp;L'!$H$11:$H$77,'Master P&amp;L'!$B$11:$B$77,Check!O53)))</f>
        <v>-50</v>
      </c>
      <c r="R53" s="217">
        <f t="shared" si="1"/>
        <v>4</v>
      </c>
      <c r="S53" s="361">
        <f t="shared" si="2"/>
        <v>0.92</v>
      </c>
    </row>
    <row r="54" spans="1:19">
      <c r="B54"/>
      <c r="C54" s="233" t="str">
        <f>IF(B54="","",IF(LEN(B54)&gt;9,SUMIFS(Options!$H$3:$H$23,Options!$B$3:$B$23,Check!B54),SUMIFS('Master P&amp;L'!$H$11:$H$77,'Master P&amp;L'!$B$11:$B$77,Check!B54)))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2321</v>
      </c>
      <c r="P54" s="217">
        <f>IF(O54="","",IF(OR(LEFT(O54,4)="Cash",LEFT(O54,4)="Prov"),0,SUMIFS(Input_APM!N:N,Input_APM!L:L,Check!O54)))</f>
        <v>24</v>
      </c>
      <c r="Q54" s="22">
        <f>IF(O54="","",IF(LEN(O54)&gt;9,SUMIFS(Options!$H$3:$H$23,Options!$B$3:$B$23,Check!O54),SUMIFS('Master P&amp;L'!$H$11:$H$77,'Master P&amp;L'!$B$11:$B$77,Check!O54)))</f>
        <v>25</v>
      </c>
      <c r="R54" s="217">
        <f t="shared" si="1"/>
        <v>-1</v>
      </c>
      <c r="S54" s="361">
        <f t="shared" si="2"/>
        <v>0.96</v>
      </c>
    </row>
    <row r="55" spans="1:19">
      <c r="B55"/>
      <c r="C55" s="233" t="str">
        <f>IF(B55="","",IF(LEN(B55)&gt;9,SUMIFS(Options!$H$3:$H$23,Options!$B$3:$B$23,Check!B55),SUMIFS('Master P&amp;L'!$H$11:$H$77,'Master P&amp;L'!$B$11:$B$77,Check!B55)))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94</v>
      </c>
      <c r="P55" s="217">
        <f>IF(O55="","",IF(OR(LEFT(O55,4)="Cash",LEFT(O55,4)="Prov"),0,SUMIFS(Input_APM!N:N,Input_APM!L:L,Check!O55)))</f>
        <v>21522</v>
      </c>
      <c r="Q55" s="22">
        <f>IF(O55="","",IF(LEN(O55)&gt;9,SUMIFS(Options!$H$3:$H$23,Options!$B$3:$B$23,Check!O55),SUMIFS('Master P&amp;L'!$H$11:$H$77,'Master P&amp;L'!$B$11:$B$77,Check!O55)))</f>
        <v>23008</v>
      </c>
      <c r="R55" s="217">
        <f t="shared" si="1"/>
        <v>-1486</v>
      </c>
      <c r="S55" s="361">
        <f t="shared" si="2"/>
        <v>0.93541376912378305</v>
      </c>
    </row>
    <row r="56" spans="1:19">
      <c r="B56"/>
      <c r="C56" s="233" t="str">
        <f>IF(B56="","",IF(LEN(B56)&gt;9,SUMIFS(Options!$H$3:$H$23,Options!$B$3:$B$23,Check!B56),SUMIFS('Master P&amp;L'!$H$11:$H$77,'Master P&amp;L'!$B$11:$B$77,Check!B56)))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2323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IF(O56="","",IF(LEN(O56)&gt;9,SUMIFS(Options!$H$3:$H$23,Options!$B$3:$B$23,Check!O56),SUMIFS('Master P&amp;L'!$H$11:$H$77,'Master P&amp;L'!$B$11:$B$77,Check!O56)))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IF(B57="","",IF(LEN(B57)&gt;9,SUMIFS(Options!$H$3:$H$23,Options!$B$3:$B$23,Check!B57),SUMIFS('Master P&amp;L'!$H$11:$H$77,'Master P&amp;L'!$B$11:$B$77,Check!B57)))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336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IF(O57="","",IF(LEN(O57)&gt;9,SUMIFS(Options!$H$3:$H$23,Options!$B$3:$B$23,Check!O57),SUMIFS('Master P&amp;L'!$H$11:$H$77,'Master P&amp;L'!$B$11:$B$77,Check!O57)))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IF(B58="","",IF(LEN(B58)&gt;9,SUMIFS(Options!$H$3:$H$23,Options!$B$3:$B$23,Check!B58),SUMIFS('Master P&amp;L'!$H$11:$H$77,'Master P&amp;L'!$B$11:$B$77,Check!B58)))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306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IF(O58="","",IF(LEN(O58)&gt;9,SUMIFS(Options!$H$3:$H$23,Options!$B$3:$B$23,Check!O58),SUMIFS('Master P&amp;L'!$H$11:$H$77,'Master P&amp;L'!$B$11:$B$77,Check!O58)))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IF(B59="","",IF(LEN(B59)&gt;9,SUMIFS(Options!$H$3:$H$23,Options!$B$3:$B$23,Check!B59),SUMIFS('Master P&amp;L'!$H$11:$H$77,'Master P&amp;L'!$B$11:$B$77,Check!B59)))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2293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IF(O59="","",IF(LEN(O59)&gt;9,SUMIFS(Options!$H$3:$H$23,Options!$B$3:$B$23,Check!O59),SUMIFS('Master P&amp;L'!$H$11:$H$77,'Master P&amp;L'!$B$11:$B$77,Check!O59)))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IF(B60="","",IF(LEN(B60)&gt;9,SUMIFS(Options!$H$3:$H$23,Options!$B$3:$B$23,Check!B60),SUMIFS('Master P&amp;L'!$H$11:$H$77,'Master P&amp;L'!$B$11:$B$77,Check!B60)))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2366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IF(O60="","",IF(LEN(O60)&gt;9,SUMIFS(Options!$H$3:$H$23,Options!$B$3:$B$23,Check!O60),SUMIFS('Master P&amp;L'!$H$11:$H$77,'Master P&amp;L'!$B$11:$B$77,Check!O60)))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IF(B61="","",IF(LEN(B61)&gt;9,SUMIFS(Options!$H$3:$H$23,Options!$B$3:$B$23,Check!B61),SUMIFS('Master P&amp;L'!$H$11:$H$77,'Master P&amp;L'!$B$11:$B$77,Check!B61)))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1666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IF(O61="","",IF(LEN(O61)&gt;9,SUMIFS(Options!$H$3:$H$23,Options!$B$3:$B$23,Check!O61),SUMIFS('Master P&amp;L'!$H$11:$H$77,'Master P&amp;L'!$B$11:$B$77,Check!O61)))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IF(B62="","",IF(LEN(B62)&gt;9,SUMIFS(Options!$H$3:$H$23,Options!$B$3:$B$23,Check!B62),SUMIFS('Master P&amp;L'!$H$11:$H$77,'Master P&amp;L'!$B$11:$B$77,Check!B62)))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2294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IF(O62="","",IF(LEN(O62)&gt;9,SUMIFS(Options!$H$3:$H$23,Options!$B$3:$B$23,Check!O62),SUMIFS('Master P&amp;L'!$H$11:$H$77,'Master P&amp;L'!$B$11:$B$77,Check!O62)))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IF(B63="","",IF(LEN(B63)&gt;9,SUMIFS(Options!$H$3:$H$23,Options!$B$3:$B$23,Check!B63),SUMIFS('Master P&amp;L'!$H$11:$H$77,'Master P&amp;L'!$B$11:$B$77,Check!B63)))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337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IF(O63="","",IF(LEN(O63)&gt;9,SUMIFS(Options!$H$3:$H$23,Options!$B$3:$B$23,Check!O63),SUMIFS('Master P&amp;L'!$H$11:$H$77,'Master P&amp;L'!$B$11:$B$77,Check!O63)))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IF(B64="","",IF(LEN(B64)&gt;9,SUMIFS(Options!$H$3:$H$23,Options!$B$3:$B$23,Check!B64),SUMIFS('Master P&amp;L'!$H$11:$H$77,'Master P&amp;L'!$B$11:$B$77,Check!B64)))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307</v>
      </c>
      <c r="P64" s="217">
        <f>IF(O64="","",IF(OR(LEFT(O64,4)="Cash",LEFT(O64,4)="Prov"),0,SUMIFS(Input_APM!N:N,Input_APM!L:L,Check!O64)))</f>
        <v>0</v>
      </c>
      <c r="Q64" s="22">
        <f>IF(O64="","",IF(LEN(O64)&gt;9,SUMIFS(Options!$H$3:$H$23,Options!$B$3:$B$23,Check!O64),SUMIFS('Master P&amp;L'!$H$11:$H$77,'Master P&amp;L'!$B$11:$B$77,Check!O64)))</f>
        <v>0</v>
      </c>
      <c r="R64" s="217">
        <f t="shared" si="1"/>
        <v>0</v>
      </c>
      <c r="S64" s="361" t="str">
        <f t="shared" si="2"/>
        <v>Ok</v>
      </c>
    </row>
    <row r="65" spans="2:19">
      <c r="B65"/>
      <c r="C65" s="233" t="str">
        <f>IF(B65="","",IF(LEN(B65)&gt;9,SUMIFS(Options!$H$3:$H$23,Options!$B$3:$B$23,Check!B65),SUMIFS('Master P&amp;L'!$H$11:$H$77,'Master P&amp;L'!$B$11:$B$77,Check!B65)))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2315</v>
      </c>
      <c r="P65" s="217">
        <f>IF(O65="","",IF(OR(LEFT(O65,4)="Cash",LEFT(O65,4)="Prov"),0,SUMIFS(Input_APM!N:N,Input_APM!L:L,Check!O65)))</f>
        <v>0</v>
      </c>
      <c r="Q65" s="22">
        <f>IF(O65="","",IF(LEN(O65)&gt;9,SUMIFS(Options!$H$3:$H$23,Options!$B$3:$B$23,Check!O65),SUMIFS('Master P&amp;L'!$H$11:$H$77,'Master P&amp;L'!$B$11:$B$77,Check!O65)))</f>
        <v>0</v>
      </c>
      <c r="R65" s="217">
        <f t="shared" si="1"/>
        <v>0</v>
      </c>
      <c r="S65" s="361" t="str">
        <f t="shared" si="2"/>
        <v>Ok</v>
      </c>
    </row>
    <row r="66" spans="2:19">
      <c r="B66"/>
      <c r="C66" s="233" t="str">
        <f>IF(B66="","",IF(LEN(B66)&gt;9,SUMIFS(Options!$H$3:$H$23,Options!$B$3:$B$23,Check!B66),SUMIFS('Master P&amp;L'!$H$11:$H$77,'Master P&amp;L'!$B$11:$B$77,Check!B66)))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2331</v>
      </c>
      <c r="P66" s="217">
        <f>IF(O66="","",IF(OR(LEFT(O66,4)="Cash",LEFT(O66,4)="Prov"),0,SUMIFS(Input_APM!N:N,Input_APM!L:L,Check!O66)))</f>
        <v>235</v>
      </c>
      <c r="Q66" s="22">
        <f>IF(O66="","",IF(LEN(O66)&gt;9,SUMIFS(Options!$H$3:$H$23,Options!$B$3:$B$23,Check!O66),SUMIFS('Master P&amp;L'!$H$11:$H$77,'Master P&amp;L'!$B$11:$B$77,Check!O66)))</f>
        <v>250</v>
      </c>
      <c r="R66" s="217">
        <f t="shared" si="1"/>
        <v>-15</v>
      </c>
      <c r="S66" s="361">
        <f t="shared" si="2"/>
        <v>0.94</v>
      </c>
    </row>
    <row r="67" spans="2:19">
      <c r="B67"/>
      <c r="C67" s="233" t="str">
        <f>IF(B67="","",IF(LEN(B67)&gt;9,SUMIFS(Options!$H$3:$H$23,Options!$B$3:$B$23,Check!B67),SUMIFS('Master P&amp;L'!$H$11:$H$77,'Master P&amp;L'!$B$11:$B$77,Check!B67)))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2132</v>
      </c>
      <c r="P67" s="217">
        <f>IF(O67="","",IF(OR(LEFT(O67,4)="Cash",LEFT(O67,4)="Prov"),0,SUMIFS(Input_APM!N:N,Input_APM!L:L,Check!O67)))</f>
        <v>24411</v>
      </c>
      <c r="Q67" s="22">
        <f>IF(O67="","",IF(LEN(O67)&gt;9,SUMIFS(Options!$H$3:$H$23,Options!$B$3:$B$23,Check!O67),SUMIFS('Master P&amp;L'!$H$11:$H$77,'Master P&amp;L'!$B$11:$B$77,Check!O67)))</f>
        <v>26100</v>
      </c>
      <c r="R67" s="217">
        <f t="shared" si="1"/>
        <v>-1689</v>
      </c>
      <c r="S67" s="361">
        <f t="shared" si="2"/>
        <v>0.93528735632183913</v>
      </c>
    </row>
    <row r="68" spans="2:19">
      <c r="B68"/>
      <c r="C68" s="233" t="str">
        <f>IF(B68="","",IF(LEN(B68)&gt;9,SUMIFS(Options!$H$3:$H$23,Options!$B$3:$B$23,Check!B68),SUMIFS('Master P&amp;L'!$H$11:$H$77,'Master P&amp;L'!$B$11:$B$77,Check!B68)))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2296</v>
      </c>
      <c r="P68" s="217">
        <f>IF(O68="","",IF(OR(LEFT(O68,4)="Cash",LEFT(O68,4)="Prov"),0,SUMIFS(Input_APM!N:N,Input_APM!L:L,Check!O68)))</f>
        <v>0</v>
      </c>
      <c r="Q68" s="22">
        <f>IF(O68="","",IF(LEN(O68)&gt;9,SUMIFS(Options!$H$3:$H$23,Options!$B$3:$B$23,Check!O68),SUMIFS('Master P&amp;L'!$H$11:$H$77,'Master P&amp;L'!$B$11:$B$77,Check!O68)))</f>
        <v>0</v>
      </c>
      <c r="R68" s="217">
        <f t="shared" si="1"/>
        <v>0</v>
      </c>
      <c r="S68" s="361" t="str">
        <f t="shared" si="2"/>
        <v>Ok</v>
      </c>
    </row>
    <row r="69" spans="2:19">
      <c r="B69"/>
      <c r="C69" s="233" t="str">
        <f>IF(B69="","",IF(LEN(B69)&gt;9,SUMIFS(Options!$H$3:$H$23,Options!$B$3:$B$23,Check!B69),SUMIFS('Master P&amp;L'!$H$11:$H$77,'Master P&amp;L'!$B$11:$B$77,Check!B69)))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2312</v>
      </c>
      <c r="P69" s="217">
        <f>IF(O69="","",IF(OR(LEFT(O69,4)="Cash",LEFT(O69,4)="Prov"),0,SUMIFS(Input_APM!N:N,Input_APM!L:L,Check!O69)))</f>
        <v>14</v>
      </c>
      <c r="Q69" s="22">
        <f>IF(O69="","",IF(LEN(O69)&gt;9,SUMIFS(Options!$H$3:$H$23,Options!$B$3:$B$23,Check!O69),SUMIFS('Master P&amp;L'!$H$11:$H$77,'Master P&amp;L'!$B$11:$B$77,Check!O69)))</f>
        <v>15</v>
      </c>
      <c r="R69" s="217">
        <f t="shared" si="1"/>
        <v>-1</v>
      </c>
      <c r="S69" s="361">
        <f t="shared" si="2"/>
        <v>0.93333333333333335</v>
      </c>
    </row>
    <row r="70" spans="2:19">
      <c r="B70"/>
      <c r="C70" s="233" t="str">
        <f>IF(B70="","",IF(LEN(B70)&gt;9,SUMIFS(Options!$H$3:$H$23,Options!$B$3:$B$23,Check!B70),SUMIFS('Master P&amp;L'!$H$11:$H$77,'Master P&amp;L'!$B$11:$B$77,Check!B70)))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2128</v>
      </c>
      <c r="P70" s="217">
        <f>IF(O70="","",IF(OR(LEFT(O70,4)="Cash",LEFT(O70,4)="Prov"),0,SUMIFS(Input_APM!N:N,Input_APM!L:L,Check!O70)))</f>
        <v>0</v>
      </c>
      <c r="Q70" s="22">
        <f>IF(O70="","",IF(LEN(O70)&gt;9,SUMIFS(Options!$H$3:$H$23,Options!$B$3:$B$23,Check!O70),SUMIFS('Master P&amp;L'!$H$11:$H$77,'Master P&amp;L'!$B$11:$B$77,Check!O70)))</f>
        <v>0</v>
      </c>
      <c r="R70" s="217">
        <f t="shared" ref="R70:R99" si="10">IF(O70="","",P70-Q70)</f>
        <v>0</v>
      </c>
      <c r="S70" s="361" t="str">
        <f t="shared" ref="S70:S133" si="11">IF(O70="","",IF((P70+Q70)=0,"Ok",IF(OR(P70=0,Q70=0),"Erro",P70/Q70)))</f>
        <v>Ok</v>
      </c>
    </row>
    <row r="71" spans="2:19">
      <c r="B71"/>
      <c r="C71" s="233" t="str">
        <f>IF(B71="","",IF(LEN(B71)&gt;9,SUMIFS(Options!$H$3:$H$23,Options!$B$3:$B$23,Check!B71),SUMIFS('Master P&amp;L'!$H$11:$H$77,'Master P&amp;L'!$B$11:$B$77,Check!B71)))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2324</v>
      </c>
      <c r="P71" s="217">
        <f>IF(O71="","",IF(OR(LEFT(O71,4)="Cash",LEFT(O71,4)="Prov"),0,SUMIFS(Input_APM!N:N,Input_APM!L:L,Check!O71)))</f>
        <v>843</v>
      </c>
      <c r="Q71" s="22">
        <f>IF(O71="","",IF(LEN(O71)&gt;9,SUMIFS(Options!$H$3:$H$23,Options!$B$3:$B$23,Check!O71),SUMIFS('Master P&amp;L'!$H$11:$H$77,'Master P&amp;L'!$B$11:$B$77,Check!O71)))</f>
        <v>0</v>
      </c>
      <c r="R71" s="217">
        <f t="shared" si="10"/>
        <v>843</v>
      </c>
      <c r="S71" s="361" t="str">
        <f t="shared" si="11"/>
        <v>Erro</v>
      </c>
    </row>
    <row r="72" spans="2:19">
      <c r="B72"/>
      <c r="C72" s="233" t="str">
        <f>IF(B72="","",IF(LEN(B72)&gt;9,SUMIFS(Options!$H$3:$H$23,Options!$B$3:$B$23,Check!B72),SUMIFS('Master P&amp;L'!$H$11:$H$77,'Master P&amp;L'!$B$11:$B$77,Check!B72)))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1761</v>
      </c>
      <c r="P72" s="217">
        <f>IF(O72="","",IF(OR(LEFT(O72,4)="Cash",LEFT(O72,4)="Prov"),0,SUMIFS(Input_APM!N:N,Input_APM!L:L,Check!O72)))</f>
        <v>1400</v>
      </c>
      <c r="Q72" s="22">
        <f>IF(O72="","",IF(LEN(O72)&gt;9,SUMIFS(Options!$H$3:$H$23,Options!$B$3:$B$23,Check!O72),SUMIFS('Master P&amp;L'!$H$11:$H$77,'Master P&amp;L'!$B$11:$B$77,Check!O72)))</f>
        <v>0</v>
      </c>
      <c r="R72" s="217">
        <f t="shared" si="10"/>
        <v>1400</v>
      </c>
      <c r="S72" s="361" t="str">
        <f t="shared" si="11"/>
        <v>Erro</v>
      </c>
    </row>
    <row r="73" spans="2:19">
      <c r="B73"/>
      <c r="C73" s="233" t="str">
        <f>IF(B73="","",IF(LEN(B73)&gt;9,SUMIFS(Options!$H$3:$H$23,Options!$B$3:$B$23,Check!B73),SUMIFS('Master P&amp;L'!$H$11:$H$77,'Master P&amp;L'!$B$11:$B$77,Check!B73)))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2367</v>
      </c>
      <c r="P73" s="217">
        <f>IF(O73="","",IF(OR(LEFT(O73,4)="Cash",LEFT(O73,4)="Prov"),0,SUMIFS(Input_APM!N:N,Input_APM!L:L,Check!O73)))</f>
        <v>844</v>
      </c>
      <c r="Q73" s="22">
        <f>IF(O73="","",IF(LEN(O73)&gt;9,SUMIFS(Options!$H$3:$H$23,Options!$B$3:$B$23,Check!O73),SUMIFS('Master P&amp;L'!$H$11:$H$77,'Master P&amp;L'!$B$11:$B$77,Check!O73)))</f>
        <v>0</v>
      </c>
      <c r="R73" s="217">
        <f t="shared" si="10"/>
        <v>844</v>
      </c>
      <c r="S73" s="361" t="str">
        <f t="shared" si="11"/>
        <v>Erro</v>
      </c>
    </row>
    <row r="74" spans="2:19">
      <c r="B74"/>
      <c r="C74" s="233" t="str">
        <f>IF(B74="","",IF(LEN(B74)&gt;9,SUMIFS(Options!$H$3:$H$23,Options!$B$3:$B$23,Check!B74),SUMIFS('Master P&amp;L'!$H$11:$H$77,'Master P&amp;L'!$B$11:$B$77,Check!B74)))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96</v>
      </c>
      <c r="P74" s="217">
        <f>IF(O74="","",IF(OR(LEFT(O74,4)="Cash",LEFT(O74,4)="Prov"),0,SUMIFS(Input_APM!N:N,Input_APM!L:L,Check!O74)))</f>
        <v>3806</v>
      </c>
      <c r="Q74" s="22">
        <f>IF(O74="","",IF(LEN(O74)&gt;9,SUMIFS(Options!$H$3:$H$23,Options!$B$3:$B$23,Check!O74),SUMIFS('Master P&amp;L'!$H$11:$H$77,'Master P&amp;L'!$B$11:$B$77,Check!O74)))</f>
        <v>4100</v>
      </c>
      <c r="R74" s="217">
        <f t="shared" si="10"/>
        <v>-294</v>
      </c>
      <c r="S74" s="361">
        <f t="shared" si="11"/>
        <v>0.92829268292682932</v>
      </c>
    </row>
    <row r="75" spans="2:19">
      <c r="B75"/>
      <c r="C75" s="233" t="str">
        <f>IF(B75="","",IF(LEN(B75)&gt;9,SUMIFS(Options!$H$3:$H$23,Options!$B$3:$B$23,Check!B75),SUMIFS('Master P&amp;L'!$H$11:$H$77,'Master P&amp;L'!$B$11:$B$77,Check!B75)))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 t="s">
        <v>2100</v>
      </c>
      <c r="P75" s="217">
        <f>IF(O75="","",IF(OR(LEFT(O75,4)="Cash",LEFT(O75,4)="Prov"),0,SUMIFS(Input_APM!N:N,Input_APM!L:L,Check!O75)))</f>
        <v>0</v>
      </c>
      <c r="Q75" s="22">
        <f>IF(O75="","",IF(LEN(O75)&gt;9,SUMIFS(Options!$H$3:$H$23,Options!$B$3:$B$23,Check!O75),SUMIFS('Master P&amp;L'!$H$11:$H$77,'Master P&amp;L'!$B$11:$B$77,Check!O75)))</f>
        <v>0</v>
      </c>
      <c r="R75" s="217">
        <f t="shared" si="10"/>
        <v>0</v>
      </c>
      <c r="S75" s="361" t="str">
        <f t="shared" si="11"/>
        <v>Ok</v>
      </c>
    </row>
    <row r="76" spans="2:19">
      <c r="B76"/>
      <c r="C76" s="233" t="str">
        <f>IF(B76="","",IF(LEN(B76)&gt;9,SUMIFS(Options!$H$3:$H$23,Options!$B$3:$B$23,Check!B76),SUMIFS('Master P&amp;L'!$H$11:$H$77,'Master P&amp;L'!$B$11:$B$77,Check!B76)))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 t="s">
        <v>2235</v>
      </c>
      <c r="P76" s="217">
        <f>IF(O76="","",IF(OR(LEFT(O76,4)="Cash",LEFT(O76,4)="Prov"),0,SUMIFS(Input_APM!N:N,Input_APM!L:L,Check!O76)))</f>
        <v>1453</v>
      </c>
      <c r="Q76" s="22">
        <f>IF(O76="","",IF(LEN(O76)&gt;9,SUMIFS(Options!$H$3:$H$23,Options!$B$3:$B$23,Check!O76),SUMIFS('Master P&amp;L'!$H$11:$H$77,'Master P&amp;L'!$B$11:$B$77,Check!O76)))</f>
        <v>1550</v>
      </c>
      <c r="R76" s="217">
        <f t="shared" si="10"/>
        <v>-97</v>
      </c>
      <c r="S76" s="361">
        <f t="shared" si="11"/>
        <v>0.93741935483870964</v>
      </c>
    </row>
    <row r="77" spans="2:19">
      <c r="B77"/>
      <c r="C77" s="233" t="str">
        <f>IF(B77="","",IF(LEN(B77)&gt;9,SUMIFS(Options!$H$3:$H$23,Options!$B$3:$B$23,Check!B77),SUMIFS('Master P&amp;L'!$H$11:$H$77,'Master P&amp;L'!$B$11:$B$77,Check!B77)))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 t="s">
        <v>2236</v>
      </c>
      <c r="P77" s="217">
        <f>IF(O77="","",IF(OR(LEFT(O77,4)="Cash",LEFT(O77,4)="Prov"),0,SUMIFS(Input_APM!N:N,Input_APM!L:L,Check!O77)))</f>
        <v>-1312</v>
      </c>
      <c r="Q77" s="22">
        <f>IF(O77="","",IF(LEN(O77)&gt;9,SUMIFS(Options!$H$3:$H$23,Options!$B$3:$B$23,Check!O77),SUMIFS('Master P&amp;L'!$H$11:$H$77,'Master P&amp;L'!$B$11:$B$77,Check!O77)))</f>
        <v>-1400</v>
      </c>
      <c r="R77" s="217">
        <f t="shared" si="10"/>
        <v>88</v>
      </c>
      <c r="S77" s="361">
        <f t="shared" si="11"/>
        <v>0.93714285714285717</v>
      </c>
    </row>
    <row r="78" spans="2:19">
      <c r="B78"/>
      <c r="C78" s="233" t="str">
        <f>IF(B78="","",IF(LEN(B78)&gt;9,SUMIFS(Options!$H$3:$H$23,Options!$B$3:$B$23,Check!B78),SUMIFS('Master P&amp;L'!$H$11:$H$77,'Master P&amp;L'!$B$11:$B$77,Check!B78)))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 t="s">
        <v>88</v>
      </c>
      <c r="P78" s="217">
        <f>IF(O78="","",IF(OR(LEFT(O78,4)="Cash",LEFT(O78,4)="Prov"),0,SUMIFS(Input_APM!N:N,Input_APM!L:L,Check!O78)))</f>
        <v>42865</v>
      </c>
      <c r="Q78" s="22">
        <f>IF(O78="","",IF(LEN(O78)&gt;9,SUMIFS(Options!$H$3:$H$23,Options!$B$3:$B$23,Check!O78),SUMIFS('Master P&amp;L'!$H$11:$H$77,'Master P&amp;L'!$B$11:$B$77,Check!O78)))</f>
        <v>45750</v>
      </c>
      <c r="R78" s="217">
        <f t="shared" si="10"/>
        <v>-2885</v>
      </c>
      <c r="S78" s="361">
        <f t="shared" si="11"/>
        <v>0.93693989071038253</v>
      </c>
    </row>
    <row r="79" spans="2:19">
      <c r="B79"/>
      <c r="C79" s="233" t="str">
        <f>IF(B79="","",IF(LEN(B79)&gt;9,SUMIFS(Options!$H$3:$H$23,Options!$B$3:$B$23,Check!B79),SUMIFS('Master P&amp;L'!$H$11:$H$77,'Master P&amp;L'!$B$11:$B$77,Check!B79)))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 t="s">
        <v>4</v>
      </c>
      <c r="P79" s="217">
        <f>IF(O79="","",IF(OR(LEFT(O79,4)="Cash",LEFT(O79,4)="Prov"),0,SUMIFS(Input_APM!N:N,Input_APM!L:L,Check!O79)))</f>
        <v>-25765</v>
      </c>
      <c r="Q79" s="22">
        <f>IF(O79="","",IF(LEN(O79)&gt;9,SUMIFS(Options!$H$3:$H$23,Options!$B$3:$B$23,Check!O79),SUMIFS('Master P&amp;L'!$H$11:$H$77,'Master P&amp;L'!$B$11:$B$77,Check!O79)))</f>
        <v>-27500</v>
      </c>
      <c r="R79" s="217">
        <f t="shared" si="10"/>
        <v>1735</v>
      </c>
      <c r="S79" s="361">
        <f t="shared" si="11"/>
        <v>0.93690909090909091</v>
      </c>
    </row>
    <row r="80" spans="2:19">
      <c r="B80"/>
      <c r="C80" s="233" t="str">
        <f>IF(B80="","",IF(LEN(B80)&gt;9,SUMIFS(Options!$H$3:$H$23,Options!$B$3:$B$23,Check!B80),SUMIFS('Master P&amp;L'!$H$11:$H$77,'Master P&amp;L'!$B$11:$B$77,Check!B80)))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 t="s">
        <v>311</v>
      </c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IF(O80="","",IF(LEN(O80)&gt;9,SUMIFS(Options!$H$3:$H$23,Options!$B$3:$B$23,Check!O80),SUMIFS('Master P&amp;L'!$H$11:$H$77,'Master P&amp;L'!$B$11:$B$77,Check!O80)))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IF(B81="","",IF(LEN(B81)&gt;9,SUMIFS(Options!$H$3:$H$23,Options!$B$3:$B$23,Check!B81),SUMIFS('Master P&amp;L'!$H$11:$H$77,'Master P&amp;L'!$B$11:$B$77,Check!B81)))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IF(O81="","",IF(LEN(O81)&gt;9,SUMIFS(Options!$H$3:$H$23,Options!$B$3:$B$23,Check!O81),SUMIFS('Master P&amp;L'!$H$11:$H$77,'Master P&amp;L'!$B$11:$B$77,Check!O81)))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IF(B82="","",IF(LEN(B82)&gt;9,SUMIFS(Options!$H$3:$H$23,Options!$B$3:$B$23,Check!B82),SUMIFS('Master P&amp;L'!$H$11:$H$77,'Master P&amp;L'!$B$11:$B$77,Check!B82)))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IF(O82="","",IF(LEN(O82)&gt;9,SUMIFS(Options!$H$3:$H$23,Options!$B$3:$B$23,Check!O82),SUMIFS('Master P&amp;L'!$H$11:$H$77,'Master P&amp;L'!$B$11:$B$77,Check!O82)))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IF(B83="","",IF(LEN(B83)&gt;9,SUMIFS(Options!$H$3:$H$23,Options!$B$3:$B$23,Check!B83),SUMIFS('Master P&amp;L'!$H$11:$H$77,'Master P&amp;L'!$B$11:$B$77,Check!B83)))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IF(O83="","",IF(LEN(O83)&gt;9,SUMIFS(Options!$H$3:$H$23,Options!$B$3:$B$23,Check!O83),SUMIFS('Master P&amp;L'!$H$11:$H$77,'Master P&amp;L'!$B$11:$B$77,Check!O83)))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IF(B84="","",IF(LEN(B84)&gt;9,SUMIFS(Options!$H$3:$H$23,Options!$B$3:$B$23,Check!B84),SUMIFS('Master P&amp;L'!$H$11:$H$77,'Master P&amp;L'!$B$11:$B$77,Check!B84)))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IF(O84="","",IF(LEN(O84)&gt;9,SUMIFS(Options!$H$3:$H$23,Options!$B$3:$B$23,Check!O84),SUMIFS('Master P&amp;L'!$H$11:$H$77,'Master P&amp;L'!$B$11:$B$77,Check!O84)))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IF(B85="","",IF(LEN(B85)&gt;9,SUMIFS(Options!$H$3:$H$23,Options!$B$3:$B$23,Check!B85),SUMIFS('Master P&amp;L'!$H$11:$H$77,'Master P&amp;L'!$B$11:$B$77,Check!B85)))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IF(O85="","",IF(LEN(O85)&gt;9,SUMIFS(Options!$H$3:$H$23,Options!$B$3:$B$23,Check!O85),SUMIFS('Master P&amp;L'!$H$11:$H$77,'Master P&amp;L'!$B$11:$B$77,Check!O85)))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IF(B86="","",IF(LEN(B86)&gt;9,SUMIFS(Options!$H$3:$H$23,Options!$B$3:$B$23,Check!B86),SUMIFS('Master P&amp;L'!$H$11:$H$77,'Master P&amp;L'!$B$11:$B$77,Check!B86)))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IF(O86="","",IF(LEN(O86)&gt;9,SUMIFS(Options!$H$3:$H$23,Options!$B$3:$B$23,Check!O86),SUMIFS('Master P&amp;L'!$H$11:$H$77,'Master P&amp;L'!$B$11:$B$77,Check!O86)))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IF(B87="","",IF(LEN(B87)&gt;9,SUMIFS(Options!$H$3:$H$23,Options!$B$3:$B$23,Check!B87),SUMIFS('Master P&amp;L'!$H$11:$H$77,'Master P&amp;L'!$B$11:$B$77,Check!B87)))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IF(O87="","",IF(LEN(O87)&gt;9,SUMIFS(Options!$H$3:$H$23,Options!$B$3:$B$23,Check!O87),SUMIFS('Master P&amp;L'!$H$11:$H$77,'Master P&amp;L'!$B$11:$B$77,Check!O87)))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IF(B88="","",IF(LEN(B88)&gt;9,SUMIFS(Options!$H$3:$H$23,Options!$B$3:$B$23,Check!B88),SUMIFS('Master P&amp;L'!$H$11:$H$77,'Master P&amp;L'!$B$11:$B$77,Check!B88)))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IF(O88="","",IF(LEN(O88)&gt;9,SUMIFS(Options!$H$3:$H$23,Options!$B$3:$B$23,Check!O88),SUMIFS('Master P&amp;L'!$H$11:$H$77,'Master P&amp;L'!$B$11:$B$77,Check!O88)))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IF(B89="","",IF(LEN(B89)&gt;9,SUMIFS(Options!$H$3:$H$23,Options!$B$3:$B$23,Check!B89),SUMIFS('Master P&amp;L'!$H$11:$H$77,'Master P&amp;L'!$B$11:$B$77,Check!B89)))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IF(O89="","",IF(LEN(O89)&gt;9,SUMIFS(Options!$H$3:$H$23,Options!$B$3:$B$23,Check!O89),SUMIFS('Master P&amp;L'!$H$11:$H$77,'Master P&amp;L'!$B$11:$B$77,Check!O89)))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IF(B90="","",IF(LEN(B90)&gt;9,SUMIFS(Options!$H$3:$H$23,Options!$B$3:$B$23,Check!B90),SUMIFS('Master P&amp;L'!$H$11:$H$77,'Master P&amp;L'!$B$11:$B$77,Check!B90)))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IF(O90="","",IF(LEN(O90)&gt;9,SUMIFS(Options!$H$3:$H$23,Options!$B$3:$B$23,Check!O90),SUMIFS('Master P&amp;L'!$H$11:$H$77,'Master P&amp;L'!$B$11:$B$77,Check!O90)))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IF(B91="","",IF(LEN(B91)&gt;9,SUMIFS(Options!$H$3:$H$23,Options!$B$3:$B$23,Check!B91),SUMIFS('Master P&amp;L'!$H$11:$H$77,'Master P&amp;L'!$B$11:$B$77,Check!B91)))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IF(O91="","",IF(LEN(O91)&gt;9,SUMIFS(Options!$H$3:$H$23,Options!$B$3:$B$23,Check!O91),SUMIFS('Master P&amp;L'!$H$11:$H$77,'Master P&amp;L'!$B$11:$B$77,Check!O91)))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IF(B92="","",IF(LEN(B92)&gt;9,SUMIFS(Options!$H$3:$H$23,Options!$B$3:$B$23,Check!B92),SUMIFS('Master P&amp;L'!$H$11:$H$77,'Master P&amp;L'!$B$11:$B$77,Check!B92)))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IF(O92="","",IF(LEN(O92)&gt;9,SUMIFS(Options!$H$3:$H$23,Options!$B$3:$B$23,Check!O92),SUMIFS('Master P&amp;L'!$H$11:$H$77,'Master P&amp;L'!$B$11:$B$77,Check!O92)))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IF(B93="","",IF(LEN(B93)&gt;9,SUMIFS(Options!$H$3:$H$23,Options!$B$3:$B$23,Check!B93),SUMIFS('Master P&amp;L'!$H$11:$H$77,'Master P&amp;L'!$B$11:$B$77,Check!B93)))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IF(O93="","",IF(LEN(O93)&gt;9,SUMIFS(Options!$H$3:$H$23,Options!$B$3:$B$23,Check!O93),SUMIFS('Master P&amp;L'!$H$11:$H$77,'Master P&amp;L'!$B$11:$B$77,Check!O93)))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IF(B94="","",IF(LEN(B94)&gt;9,SUMIFS(Options!$H$3:$H$23,Options!$B$3:$B$23,Check!B94),SUMIFS('Master P&amp;L'!$H$11:$H$77,'Master P&amp;L'!$B$11:$B$77,Check!B94)))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IF(O94="","",IF(LEN(O94)&gt;9,SUMIFS(Options!$H$3:$H$23,Options!$B$3:$B$23,Check!O94),SUMIFS('Master P&amp;L'!$H$11:$H$77,'Master P&amp;L'!$B$11:$B$77,Check!O94)))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IF(B95="","",IF(LEN(B95)&gt;9,SUMIFS(Options!$H$3:$H$23,Options!$B$3:$B$23,Check!B95),SUMIFS('Master P&amp;L'!$H$11:$H$77,'Master P&amp;L'!$B$11:$B$77,Check!B95)))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IF(O95="","",IF(LEN(O95)&gt;9,SUMIFS(Options!$H$3:$H$23,Options!$B$3:$B$23,Check!O95),SUMIFS('Master P&amp;L'!$H$11:$H$77,'Master P&amp;L'!$B$11:$B$77,Check!O95)))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IF(B96="","",IF(LEN(B96)&gt;9,SUMIFS(Options!$H$3:$H$23,Options!$B$3:$B$23,Check!B96),SUMIFS('Master P&amp;L'!$H$11:$H$77,'Master P&amp;L'!$B$11:$B$77,Check!B96)))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IF(O96="","",IF(LEN(O96)&gt;9,SUMIFS(Options!$H$3:$H$23,Options!$B$3:$B$23,Check!O96),SUMIFS('Master P&amp;L'!$H$11:$H$77,'Master P&amp;L'!$B$11:$B$77,Check!O96)))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IF(B97="","",IF(LEN(B97)&gt;9,SUMIFS(Options!$H$3:$H$23,Options!$B$3:$B$23,Check!B97),SUMIFS('Master P&amp;L'!$H$11:$H$77,'Master P&amp;L'!$B$11:$B$77,Check!B97)))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IF(O97="","",IF(LEN(O97)&gt;9,SUMIFS(Options!$H$3:$H$23,Options!$B$3:$B$23,Check!O97),SUMIFS('Master P&amp;L'!$H$11:$H$77,'Master P&amp;L'!$B$11:$B$77,Check!O97)))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IF(B98="","",IF(LEN(B98)&gt;9,SUMIFS(Options!$H$3:$H$23,Options!$B$3:$B$23,Check!B98),SUMIFS('Master P&amp;L'!$H$11:$H$77,'Master P&amp;L'!$B$11:$B$77,Check!B98)))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IF(O98="","",IF(LEN(O98)&gt;9,SUMIFS(Options!$H$3:$H$23,Options!$B$3:$B$23,Check!O98),SUMIFS('Master P&amp;L'!$H$11:$H$77,'Master P&amp;L'!$B$11:$B$77,Check!O98)))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IF(B99="","",IF(LEN(B99)&gt;9,SUMIFS(Options!$H$3:$H$23,Options!$B$3:$B$23,Check!B99),SUMIFS('Master P&amp;L'!$H$11:$H$77,'Master P&amp;L'!$B$11:$B$77,Check!B99)))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IF(O99="","",IF(LEN(O99)&gt;9,SUMIFS(Options!$H$3:$H$23,Options!$B$3:$B$23,Check!O99),SUMIFS('Master P&amp;L'!$H$11:$H$77,'Master P&amp;L'!$B$11:$B$77,Check!O99)))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IF(B100="","",IF(LEN(B100)&gt;9,SUMIFS(Options!$H$3:$H$23,Options!$B$3:$B$23,Check!B100),SUMIFS('Master P&amp;L'!$H$11:$H$77,'Master P&amp;L'!$B$11:$B$77,Check!B100)))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IF(O100="","",IF(LEN(O100)&gt;9,SUMIFS(Options!$H$3:$H$23,Options!$B$3:$B$23,Check!O100),SUMIFS('Master P&amp;L'!$H$11:$H$77,'Master P&amp;L'!$B$11:$B$77,Check!O100)))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IF(B101="","",IF(LEN(B101)&gt;9,SUMIFS(Options!$H$3:$H$23,Options!$B$3:$B$23,Check!B101),SUMIFS('Master P&amp;L'!$H$11:$H$77,'Master P&amp;L'!$B$11:$B$77,Check!B101)))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IF(O101="","",IF(LEN(O101)&gt;9,SUMIFS(Options!$H$3:$H$23,Options!$B$3:$B$23,Check!O101),SUMIFS('Master P&amp;L'!$H$11:$H$77,'Master P&amp;L'!$B$11:$B$77,Check!O101)))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IF(B102="","",IF(LEN(B102)&gt;9,SUMIFS(Options!$H$3:$H$23,Options!$B$3:$B$23,Check!B102),SUMIFS('Master P&amp;L'!$H$11:$H$77,'Master P&amp;L'!$B$11:$B$77,Check!B102)))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IF(O102="","",IF(LEN(O102)&gt;9,SUMIFS(Options!$H$3:$H$23,Options!$B$3:$B$23,Check!O102),SUMIFS('Master P&amp;L'!$H$11:$H$77,'Master P&amp;L'!$B$11:$B$77,Check!O102)))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IF(B103="","",IF(LEN(B103)&gt;9,SUMIFS(Options!$H$3:$H$23,Options!$B$3:$B$23,Check!B103),SUMIFS('Master P&amp;L'!$H$11:$H$77,'Master P&amp;L'!$B$11:$B$77,Check!B103)))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IF(O103="","",IF(LEN(O103)&gt;9,SUMIFS(Options!$H$3:$H$23,Options!$B$3:$B$23,Check!O103),SUMIFS('Master P&amp;L'!$H$11:$H$77,'Master P&amp;L'!$B$11:$B$77,Check!O103)))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IF(B104="","",IF(LEN(B104)&gt;9,SUMIFS(Options!$H$3:$H$23,Options!$B$3:$B$23,Check!B104),SUMIFS('Master P&amp;L'!$H$11:$H$77,'Master P&amp;L'!$B$11:$B$77,Check!B104)))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IF(O104="","",IF(LEN(O104)&gt;9,SUMIFS(Options!$H$3:$H$23,Options!$B$3:$B$23,Check!O104),SUMIFS('Master P&amp;L'!$H$11:$H$77,'Master P&amp;L'!$B$11:$B$77,Check!O104)))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IF(B105="","",IF(LEN(B105)&gt;9,SUMIFS(Options!$H$3:$H$23,Options!$B$3:$B$23,Check!B105),SUMIFS('Master P&amp;L'!$H$11:$H$77,'Master P&amp;L'!$B$11:$B$77,Check!B105)))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IF(O105="","",IF(LEN(O105)&gt;9,SUMIFS(Options!$H$3:$H$23,Options!$B$3:$B$23,Check!O105),SUMIFS('Master P&amp;L'!$H$11:$H$77,'Master P&amp;L'!$B$11:$B$77,Check!O105)))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IF(B106="","",IF(LEN(B106)&gt;9,SUMIFS(Options!$H$3:$H$23,Options!$B$3:$B$23,Check!B106),SUMIFS('Master P&amp;L'!$H$11:$H$77,'Master P&amp;L'!$B$11:$B$77,Check!B106)))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IF(O106="","",IF(LEN(O106)&gt;9,SUMIFS(Options!$H$3:$H$23,Options!$B$3:$B$23,Check!O106),SUMIFS('Master P&amp;L'!$H$11:$H$77,'Master P&amp;L'!$B$11:$B$77,Check!O106)))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IF(B107="","",IF(LEN(B107)&gt;9,SUMIFS(Options!$H$3:$H$23,Options!$B$3:$B$23,Check!B107),SUMIFS('Master P&amp;L'!$H$11:$H$77,'Master P&amp;L'!$B$11:$B$77,Check!B107)))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IF(O107="","",IF(LEN(O107)&gt;9,SUMIFS(Options!$H$3:$H$23,Options!$B$3:$B$23,Check!O107),SUMIFS('Master P&amp;L'!$H$11:$H$77,'Master P&amp;L'!$B$11:$B$77,Check!O107)))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IF(B108="","",IF(LEN(B108)&gt;9,SUMIFS(Options!$H$3:$H$23,Options!$B$3:$B$23,Check!B108),SUMIFS('Master P&amp;L'!$H$11:$H$77,'Master P&amp;L'!$B$11:$B$77,Check!B108)))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IF(O108="","",IF(LEN(O108)&gt;9,SUMIFS(Options!$H$3:$H$23,Options!$B$3:$B$23,Check!O108),SUMIFS('Master P&amp;L'!$H$11:$H$77,'Master P&amp;L'!$B$11:$B$77,Check!O108)))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IF(B109="","",IF(LEN(B109)&gt;9,SUMIFS(Options!$H$3:$H$23,Options!$B$3:$B$23,Check!B109),SUMIFS('Master P&amp;L'!$H$11:$H$77,'Master P&amp;L'!$B$11:$B$77,Check!B109)))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IF(O109="","",IF(LEN(O109)&gt;9,SUMIFS(Options!$H$3:$H$23,Options!$B$3:$B$23,Check!O109),SUMIFS('Master P&amp;L'!$H$11:$H$77,'Master P&amp;L'!$B$11:$B$77,Check!O109)))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IF(B110="","",IF(LEN(B110)&gt;9,SUMIFS(Options!$H$3:$H$23,Options!$B$3:$B$23,Check!B110),SUMIFS('Master P&amp;L'!$H$11:$H$77,'Master P&amp;L'!$B$11:$B$77,Check!B110)))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IF(O110="","",IF(LEN(O110)&gt;9,SUMIFS(Options!$H$3:$H$23,Options!$B$3:$B$23,Check!O110),SUMIFS('Master P&amp;L'!$H$11:$H$77,'Master P&amp;L'!$B$11:$B$77,Check!O110)))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IF(B111="","",IF(LEN(B111)&gt;9,SUMIFS(Options!$H$3:$H$23,Options!$B$3:$B$23,Check!B111),SUMIFS('Master P&amp;L'!$H$11:$H$77,'Master P&amp;L'!$B$11:$B$77,Check!B111)))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IF(O111="","",IF(LEN(O111)&gt;9,SUMIFS(Options!$H$3:$H$23,Options!$B$3:$B$23,Check!O111),SUMIFS('Master P&amp;L'!$H$11:$H$77,'Master P&amp;L'!$B$11:$B$77,Check!O111)))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IF(B112="","",IF(LEN(B112)&gt;9,SUMIFS(Options!$H$3:$H$23,Options!$B$3:$B$23,Check!B112),SUMIFS('Master P&amp;L'!$H$11:$H$77,'Master P&amp;L'!$B$11:$B$77,Check!B112)))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IF(O112="","",IF(LEN(O112)&gt;9,SUMIFS(Options!$H$3:$H$23,Options!$B$3:$B$23,Check!O112),SUMIFS('Master P&amp;L'!$H$11:$H$77,'Master P&amp;L'!$B$11:$B$77,Check!O112)))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IF(B113="","",IF(LEN(B113)&gt;9,SUMIFS(Options!$H$3:$H$23,Options!$B$3:$B$23,Check!B113),SUMIFS('Master P&amp;L'!$H$11:$H$77,'Master P&amp;L'!$B$11:$B$77,Check!B113)))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IF(O113="","",IF(LEN(O113)&gt;9,SUMIFS(Options!$H$3:$H$23,Options!$B$3:$B$23,Check!O113),SUMIFS('Master P&amp;L'!$H$11:$H$77,'Master P&amp;L'!$B$11:$B$77,Check!O113)))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IF(B114="","",IF(LEN(B114)&gt;9,SUMIFS(Options!$H$3:$H$23,Options!$B$3:$B$23,Check!B114),SUMIFS('Master P&amp;L'!$H$11:$H$77,'Master P&amp;L'!$B$11:$B$77,Check!B114)))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IF(O114="","",IF(LEN(O114)&gt;9,SUMIFS(Options!$H$3:$H$23,Options!$B$3:$B$23,Check!O114),SUMIFS('Master P&amp;L'!$H$11:$H$77,'Master P&amp;L'!$B$11:$B$77,Check!O114)))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IF(B115="","",IF(LEN(B115)&gt;9,SUMIFS(Options!$H$3:$H$23,Options!$B$3:$B$23,Check!B115),SUMIFS('Master P&amp;L'!$H$11:$H$77,'Master P&amp;L'!$B$11:$B$77,Check!B115)))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IF(O115="","",IF(LEN(O115)&gt;9,SUMIFS(Options!$H$3:$H$23,Options!$B$3:$B$23,Check!O115),SUMIFS('Master P&amp;L'!$H$11:$H$77,'Master P&amp;L'!$B$11:$B$77,Check!O115)))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IF(B116="","",IF(LEN(B116)&gt;9,SUMIFS(Options!$H$3:$H$23,Options!$B$3:$B$23,Check!B116),SUMIFS('Master P&amp;L'!$H$11:$H$77,'Master P&amp;L'!$B$11:$B$77,Check!B116)))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IF(O116="","",IF(LEN(O116)&gt;9,SUMIFS(Options!$H$3:$H$23,Options!$B$3:$B$23,Check!O116),SUMIFS('Master P&amp;L'!$H$11:$H$77,'Master P&amp;L'!$B$11:$B$77,Check!O116)))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IF(B117="","",IF(LEN(B117)&gt;9,SUMIFS(Options!$H$3:$H$23,Options!$B$3:$B$23,Check!B117),SUMIFS('Master P&amp;L'!$H$11:$H$77,'Master P&amp;L'!$B$11:$B$77,Check!B117)))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IF(O117="","",IF(LEN(O117)&gt;9,SUMIFS(Options!$H$3:$H$23,Options!$B$3:$B$23,Check!O117),SUMIFS('Master P&amp;L'!$H$11:$H$77,'Master P&amp;L'!$B$11:$B$77,Check!O117)))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IF(B118="","",IF(LEN(B118)&gt;9,SUMIFS(Options!$H$3:$H$23,Options!$B$3:$B$23,Check!B118),SUMIFS('Master P&amp;L'!$H$11:$H$77,'Master P&amp;L'!$B$11:$B$77,Check!B118)))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IF(O118="","",IF(LEN(O118)&gt;9,SUMIFS(Options!$H$3:$H$23,Options!$B$3:$B$23,Check!O118),SUMIFS('Master P&amp;L'!$H$11:$H$77,'Master P&amp;L'!$B$11:$B$77,Check!O118)))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IF(B119="","",IF(LEN(B119)&gt;9,SUMIFS(Options!$H$3:$H$23,Options!$B$3:$B$23,Check!B119),SUMIFS('Master P&amp;L'!$H$11:$H$77,'Master P&amp;L'!$B$11:$B$77,Check!B119)))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IF(O119="","",IF(LEN(O119)&gt;9,SUMIFS(Options!$H$3:$H$23,Options!$B$3:$B$23,Check!O119),SUMIFS('Master P&amp;L'!$H$11:$H$77,'Master P&amp;L'!$B$11:$B$77,Check!O119)))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IF(B120="","",IF(LEN(B120)&gt;9,SUMIFS(Options!$H$3:$H$23,Options!$B$3:$B$23,Check!B120),SUMIFS('Master P&amp;L'!$H$11:$H$77,'Master P&amp;L'!$B$11:$B$77,Check!B120)))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IF(O120="","",IF(LEN(O120)&gt;9,SUMIFS(Options!$H$3:$H$23,Options!$B$3:$B$23,Check!O120),SUMIFS('Master P&amp;L'!$H$11:$H$77,'Master P&amp;L'!$B$11:$B$77,Check!O120)))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IF(B121="","",IF(LEN(B121)&gt;9,SUMIFS(Options!$H$3:$H$23,Options!$B$3:$B$23,Check!B121),SUMIFS('Master P&amp;L'!$H$11:$H$77,'Master P&amp;L'!$B$11:$B$77,Check!B121)))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IF(O121="","",IF(LEN(O121)&gt;9,SUMIFS(Options!$H$3:$H$23,Options!$B$3:$B$23,Check!O121),SUMIFS('Master P&amp;L'!$H$11:$H$77,'Master P&amp;L'!$B$11:$B$77,Check!O121)))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IF(B122="","",IF(LEN(B122)&gt;9,SUMIFS(Options!$H$3:$H$23,Options!$B$3:$B$23,Check!B122),SUMIFS('Master P&amp;L'!$H$11:$H$77,'Master P&amp;L'!$B$11:$B$77,Check!B122)))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IF(O122="","",IF(LEN(O122)&gt;9,SUMIFS(Options!$H$3:$H$23,Options!$B$3:$B$23,Check!O122),SUMIFS('Master P&amp;L'!$H$11:$H$77,'Master P&amp;L'!$B$11:$B$77,Check!O122)))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IF(B123="","",IF(LEN(B123)&gt;9,SUMIFS(Options!$H$3:$H$23,Options!$B$3:$B$23,Check!B123),SUMIFS('Master P&amp;L'!$H$11:$H$77,'Master P&amp;L'!$B$11:$B$77,Check!B123)))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IF(O123="","",IF(LEN(O123)&gt;9,SUMIFS(Options!$H$3:$H$23,Options!$B$3:$B$23,Check!O123),SUMIFS('Master P&amp;L'!$H$11:$H$77,'Master P&amp;L'!$B$11:$B$77,Check!O123)))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IF(B124="","",IF(LEN(B124)&gt;9,SUMIFS(Options!$H$3:$H$23,Options!$B$3:$B$23,Check!B124),SUMIFS('Master P&amp;L'!$H$11:$H$77,'Master P&amp;L'!$B$11:$B$77,Check!B124)))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IF(O124="","",IF(LEN(O124)&gt;9,SUMIFS(Options!$H$3:$H$23,Options!$B$3:$B$23,Check!O124),SUMIFS('Master P&amp;L'!$H$11:$H$77,'Master P&amp;L'!$B$11:$B$77,Check!O124)))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IF(B125="","",IF(LEN(B125)&gt;9,SUMIFS(Options!$H$3:$H$23,Options!$B$3:$B$23,Check!B125),SUMIFS('Master P&amp;L'!$H$11:$H$77,'Master P&amp;L'!$B$11:$B$77,Check!B125)))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IF(O125="","",IF(LEN(O125)&gt;9,SUMIFS(Options!$H$3:$H$23,Options!$B$3:$B$23,Check!O125),SUMIFS('Master P&amp;L'!$H$11:$H$77,'Master P&amp;L'!$B$11:$B$77,Check!O125)))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IF(B126="","",IF(LEN(B126)&gt;9,SUMIFS(Options!$H$3:$H$23,Options!$B$3:$B$23,Check!B126),SUMIFS('Master P&amp;L'!$H$11:$H$77,'Master P&amp;L'!$B$11:$B$77,Check!B126)))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IF(O126="","",IF(LEN(O126)&gt;9,SUMIFS(Options!$H$3:$H$23,Options!$B$3:$B$23,Check!O126),SUMIFS('Master P&amp;L'!$H$11:$H$77,'Master P&amp;L'!$B$11:$B$77,Check!O126)))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IF(B127="","",IF(LEN(B127)&gt;9,SUMIFS(Options!$H$3:$H$23,Options!$B$3:$B$23,Check!B127),SUMIFS('Master P&amp;L'!$H$11:$H$77,'Master P&amp;L'!$B$11:$B$77,Check!B127)))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IF(O127="","",IF(LEN(O127)&gt;9,SUMIFS(Options!$H$3:$H$23,Options!$B$3:$B$23,Check!O127),SUMIFS('Master P&amp;L'!$H$11:$H$77,'Master P&amp;L'!$B$11:$B$77,Check!O127)))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IF(B128="","",IF(LEN(B128)&gt;9,SUMIFS(Options!$H$3:$H$23,Options!$B$3:$B$23,Check!B128),SUMIFS('Master P&amp;L'!$H$11:$H$77,'Master P&amp;L'!$B$11:$B$77,Check!B128)))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IF(O128="","",IF(LEN(O128)&gt;9,SUMIFS(Options!$H$3:$H$23,Options!$B$3:$B$23,Check!O128),SUMIFS('Master P&amp;L'!$H$11:$H$77,'Master P&amp;L'!$B$11:$B$77,Check!O128)))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IF(B129="","",IF(LEN(B129)&gt;9,SUMIFS(Options!$H$3:$H$23,Options!$B$3:$B$23,Check!B129),SUMIFS('Master P&amp;L'!$H$11:$H$77,'Master P&amp;L'!$B$11:$B$77,Check!B129)))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IF(O129="","",IF(LEN(O129)&gt;9,SUMIFS(Options!$H$3:$H$23,Options!$B$3:$B$23,Check!O129),SUMIFS('Master P&amp;L'!$H$11:$H$77,'Master P&amp;L'!$B$11:$B$77,Check!O129)))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IF(B130="","",IF(LEN(B130)&gt;9,SUMIFS(Options!$H$3:$H$23,Options!$B$3:$B$23,Check!B130),SUMIFS('Master P&amp;L'!$H$11:$H$77,'Master P&amp;L'!$B$11:$B$77,Check!B130)))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IF(O130="","",IF(LEN(O130)&gt;9,SUMIFS(Options!$H$3:$H$23,Options!$B$3:$B$23,Check!O130),SUMIFS('Master P&amp;L'!$H$11:$H$77,'Master P&amp;L'!$B$11:$B$77,Check!O130)))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IF(B131="","",IF(LEN(B131)&gt;9,SUMIFS(Options!$H$3:$H$23,Options!$B$3:$B$23,Check!B131),SUMIFS('Master P&amp;L'!$H$11:$H$77,'Master P&amp;L'!$B$11:$B$77,Check!B131)))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IF(O131="","",IF(LEN(O131)&gt;9,SUMIFS(Options!$H$3:$H$23,Options!$B$3:$B$23,Check!O131),SUMIFS('Master P&amp;L'!$H$11:$H$77,'Master P&amp;L'!$B$11:$B$77,Check!O131)))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IF(B132="","",IF(LEN(B132)&gt;9,SUMIFS(Options!$H$3:$H$23,Options!$B$3:$B$23,Check!B132),SUMIFS('Master P&amp;L'!$H$11:$H$77,'Master P&amp;L'!$B$11:$B$77,Check!B132)))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IF(O132="","",IF(LEN(O132)&gt;9,SUMIFS(Options!$H$3:$H$23,Options!$B$3:$B$23,Check!O132),SUMIFS('Master P&amp;L'!$H$11:$H$77,'Master P&amp;L'!$B$11:$B$77,Check!O132)))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IF(B133="","",IF(LEN(B133)&gt;9,SUMIFS(Options!$H$3:$H$23,Options!$B$3:$B$23,Check!B133),SUMIFS('Master P&amp;L'!$H$11:$H$77,'Master P&amp;L'!$B$11:$B$77,Check!B133)))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IF(O133="","",IF(LEN(O133)&gt;9,SUMIFS(Options!$H$3:$H$23,Options!$B$3:$B$23,Check!O133),SUMIFS('Master P&amp;L'!$H$11:$H$77,'Master P&amp;L'!$B$11:$B$77,Check!O133)))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IF(B134="","",IF(LEN(B134)&gt;9,SUMIFS(Options!$H$3:$H$23,Options!$B$3:$B$23,Check!B134),SUMIFS('Master P&amp;L'!$H$11:$H$77,'Master P&amp;L'!$B$11:$B$77,Check!B134)))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IF(O134="","",IF(LEN(O134)&gt;9,SUMIFS(Options!$H$3:$H$23,Options!$B$3:$B$23,Check!O134),SUMIFS('Master P&amp;L'!$H$11:$H$77,'Master P&amp;L'!$B$11:$B$77,Check!O134)))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IF(B135="","",IF(LEN(B135)&gt;9,SUMIFS(Options!$H$3:$H$23,Options!$B$3:$B$23,Check!B135),SUMIFS('Master P&amp;L'!$H$11:$H$77,'Master P&amp;L'!$B$11:$B$77,Check!B135)))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IF(O135="","",IF(LEN(O135)&gt;9,SUMIFS(Options!$H$3:$H$23,Options!$B$3:$B$23,Check!O135),SUMIFS('Master P&amp;L'!$H$11:$H$77,'Master P&amp;L'!$B$11:$B$77,Check!O135)))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IF(B136="","",IF(LEN(B136)&gt;9,SUMIFS(Options!$H$3:$H$23,Options!$B$3:$B$23,Check!B136),SUMIFS('Master P&amp;L'!$H$11:$H$77,'Master P&amp;L'!$B$11:$B$77,Check!B136)))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IF(O136="","",IF(LEN(O136)&gt;9,SUMIFS(Options!$H$3:$H$23,Options!$B$3:$B$23,Check!O136),SUMIFS('Master P&amp;L'!$H$11:$H$77,'Master P&amp;L'!$B$11:$B$77,Check!O136)))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IF(B137="","",IF(LEN(B137)&gt;9,SUMIFS(Options!$H$3:$H$23,Options!$B$3:$B$23,Check!B137),SUMIFS('Master P&amp;L'!$H$11:$H$77,'Master P&amp;L'!$B$11:$B$77,Check!B137)))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IF(O137="","",IF(LEN(O137)&gt;9,SUMIFS(Options!$H$3:$H$23,Options!$B$3:$B$23,Check!O137),SUMIFS('Master P&amp;L'!$H$11:$H$77,'Master P&amp;L'!$B$11:$B$77,Check!O137)))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IF(B138="","",IF(LEN(B138)&gt;9,SUMIFS(Options!$H$3:$H$23,Options!$B$3:$B$23,Check!B138),SUMIFS('Master P&amp;L'!$H$11:$H$77,'Master P&amp;L'!$B$11:$B$77,Check!B138)))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IF(O138="","",IF(LEN(O138)&gt;9,SUMIFS(Options!$H$3:$H$23,Options!$B$3:$B$23,Check!O138),SUMIFS('Master P&amp;L'!$H$11:$H$77,'Master P&amp;L'!$B$11:$B$77,Check!O138)))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IF(B139="","",IF(LEN(B139)&gt;9,SUMIFS(Options!$H$3:$H$23,Options!$B$3:$B$23,Check!B139),SUMIFS('Master P&amp;L'!$H$11:$H$77,'Master P&amp;L'!$B$11:$B$77,Check!B139)))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IF(O139="","",IF(LEN(O139)&gt;9,SUMIFS(Options!$H$3:$H$23,Options!$B$3:$B$23,Check!O139),SUMIFS('Master P&amp;L'!$H$11:$H$77,'Master P&amp;L'!$B$11:$B$77,Check!O139)))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IF(B140="","",IF(LEN(B140)&gt;9,SUMIFS(Options!$H$3:$H$23,Options!$B$3:$B$23,Check!B140),SUMIFS('Master P&amp;L'!$H$11:$H$77,'Master P&amp;L'!$B$11:$B$77,Check!B140)))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IF(O140="","",IF(LEN(O140)&gt;9,SUMIFS(Options!$H$3:$H$23,Options!$B$3:$B$23,Check!O140),SUMIFS('Master P&amp;L'!$H$11:$H$77,'Master P&amp;L'!$B$11:$B$77,Check!O140)))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IF(B141="","",IF(LEN(B141)&gt;9,SUMIFS(Options!$H$3:$H$23,Options!$B$3:$B$23,Check!B141),SUMIFS('Master P&amp;L'!$H$11:$H$77,'Master P&amp;L'!$B$11:$B$77,Check!B141)))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IF(O141="","",IF(LEN(O141)&gt;9,SUMIFS(Options!$H$3:$H$23,Options!$B$3:$B$23,Check!O141),SUMIFS('Master P&amp;L'!$H$11:$H$77,'Master P&amp;L'!$B$11:$B$77,Check!O141)))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IF(B142="","",IF(LEN(B142)&gt;9,SUMIFS(Options!$H$3:$H$23,Options!$B$3:$B$23,Check!B142),SUMIFS('Master P&amp;L'!$H$11:$H$77,'Master P&amp;L'!$B$11:$B$77,Check!B142)))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IF(O142="","",IF(LEN(O142)&gt;9,SUMIFS(Options!$H$3:$H$23,Options!$B$3:$B$23,Check!O142),SUMIFS('Master P&amp;L'!$H$11:$H$77,'Master P&amp;L'!$B$11:$B$77,Check!O142)))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IF(B143="","",IF(LEN(B143)&gt;9,SUMIFS(Options!$H$3:$H$23,Options!$B$3:$B$23,Check!B143),SUMIFS('Master P&amp;L'!$H$11:$H$77,'Master P&amp;L'!$B$11:$B$77,Check!B143)))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IF(O143="","",IF(LEN(O143)&gt;9,SUMIFS(Options!$H$3:$H$23,Options!$B$3:$B$23,Check!O143),SUMIFS('Master P&amp;L'!$H$11:$H$77,'Master P&amp;L'!$B$11:$B$77,Check!O143)))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IF(B144="","",IF(LEN(B144)&gt;9,SUMIFS(Options!$H$3:$H$23,Options!$B$3:$B$23,Check!B144),SUMIFS('Master P&amp;L'!$H$11:$H$77,'Master P&amp;L'!$B$11:$B$77,Check!B144)))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IF(O144="","",IF(LEN(O144)&gt;9,SUMIFS(Options!$H$3:$H$23,Options!$B$3:$B$23,Check!O144),SUMIFS('Master P&amp;L'!$H$11:$H$77,'Master P&amp;L'!$B$11:$B$77,Check!O144)))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IF(B145="","",IF(LEN(B145)&gt;9,SUMIFS(Options!$H$3:$H$23,Options!$B$3:$B$23,Check!B145),SUMIFS('Master P&amp;L'!$H$11:$H$77,'Master P&amp;L'!$B$11:$B$77,Check!B145)))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IF(O145="","",IF(LEN(O145)&gt;9,SUMIFS(Options!$H$3:$H$23,Options!$B$3:$B$23,Check!O145),SUMIFS('Master P&amp;L'!$H$11:$H$77,'Master P&amp;L'!$B$11:$B$77,Check!O145)))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IF(B146="","",IF(LEN(B146)&gt;9,SUMIFS(Options!$H$3:$H$23,Options!$B$3:$B$23,Check!B146),SUMIFS('Master P&amp;L'!$H$11:$H$77,'Master P&amp;L'!$B$11:$B$77,Check!B146)))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IF(O146="","",IF(LEN(O146)&gt;9,SUMIFS(Options!$H$3:$H$23,Options!$B$3:$B$23,Check!O146),SUMIFS('Master P&amp;L'!$H$11:$H$77,'Master P&amp;L'!$B$11:$B$77,Check!O146)))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IF(B147="","",IF(LEN(B147)&gt;9,SUMIFS(Options!$H$3:$H$23,Options!$B$3:$B$23,Check!B147),SUMIFS('Master P&amp;L'!$H$11:$H$77,'Master P&amp;L'!$B$11:$B$77,Check!B147)))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IF(O147="","",IF(LEN(O147)&gt;9,SUMIFS(Options!$H$3:$H$23,Options!$B$3:$B$23,Check!O147),SUMIFS('Master P&amp;L'!$H$11:$H$77,'Master P&amp;L'!$B$11:$B$77,Check!O147)))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IF(B148="","",IF(LEN(B148)&gt;9,SUMIFS(Options!$H$3:$H$23,Options!$B$3:$B$23,Check!B148),SUMIFS('Master P&amp;L'!$H$11:$H$77,'Master P&amp;L'!$B$11:$B$77,Check!B148)))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IF(O148="","",IF(LEN(O148)&gt;9,SUMIFS(Options!$H$3:$H$23,Options!$B$3:$B$23,Check!O148),SUMIFS('Master P&amp;L'!$H$11:$H$77,'Master P&amp;L'!$B$11:$B$77,Check!O148)))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IF(B149="","",IF(LEN(B149)&gt;9,SUMIFS(Options!$H$3:$H$23,Options!$B$3:$B$23,Check!B149),SUMIFS('Master P&amp;L'!$H$11:$H$77,'Master P&amp;L'!$B$11:$B$77,Check!B149)))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IF(O149="","",IF(LEN(O149)&gt;9,SUMIFS(Options!$H$3:$H$23,Options!$B$3:$B$23,Check!O149),SUMIFS('Master P&amp;L'!$H$11:$H$77,'Master P&amp;L'!$B$11:$B$77,Check!O149)))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IF(B150="","",IF(LEN(B150)&gt;9,SUMIFS(Options!$H$3:$H$23,Options!$B$3:$B$23,Check!B150),SUMIFS('Master P&amp;L'!$H$11:$H$77,'Master P&amp;L'!$B$11:$B$77,Check!B150)))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IF(O150="","",IF(LEN(O150)&gt;9,SUMIFS(Options!$H$3:$H$23,Options!$B$3:$B$23,Check!O150),SUMIFS('Master P&amp;L'!$H$11:$H$77,'Master P&amp;L'!$B$11:$B$77,Check!O150)))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IF(B151="","",IF(LEN(B151)&gt;9,SUMIFS(Options!$H$3:$H$23,Options!$B$3:$B$23,Check!B151),SUMIFS('Master P&amp;L'!$H$11:$H$77,'Master P&amp;L'!$B$11:$B$77,Check!B151)))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IF(O151="","",IF(LEN(O151)&gt;9,SUMIFS(Options!$H$3:$H$23,Options!$B$3:$B$23,Check!O151),SUMIFS('Master P&amp;L'!$H$11:$H$77,'Master P&amp;L'!$B$11:$B$77,Check!O151)))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IF(B152="","",IF(LEN(B152)&gt;9,SUMIFS(Options!$H$3:$H$23,Options!$B$3:$B$23,Check!B152),SUMIFS('Master P&amp;L'!$H$11:$H$77,'Master P&amp;L'!$B$11:$B$77,Check!B152)))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IF(O152="","",IF(LEN(O152)&gt;9,SUMIFS(Options!$H$3:$H$23,Options!$B$3:$B$23,Check!O152),SUMIFS('Master P&amp;L'!$H$11:$H$77,'Master P&amp;L'!$B$11:$B$77,Check!O152)))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IF(B153="","",IF(LEN(B153)&gt;9,SUMIFS(Options!$H$3:$H$23,Options!$B$3:$B$23,Check!B153),SUMIFS('Master P&amp;L'!$H$11:$H$77,'Master P&amp;L'!$B$11:$B$77,Check!B153)))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IF(O153="","",IF(LEN(O153)&gt;9,SUMIFS(Options!$H$3:$H$23,Options!$B$3:$B$23,Check!O153),SUMIFS('Master P&amp;L'!$H$11:$H$77,'Master P&amp;L'!$B$11:$B$77,Check!O153)))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IF(B154="","",IF(LEN(B154)&gt;9,SUMIFS(Options!$H$3:$H$23,Options!$B$3:$B$23,Check!B154),SUMIFS('Master P&amp;L'!$H$11:$H$77,'Master P&amp;L'!$B$11:$B$77,Check!B154)))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IF(O154="","",IF(LEN(O154)&gt;9,SUMIFS(Options!$H$3:$H$23,Options!$B$3:$B$23,Check!O154),SUMIFS('Master P&amp;L'!$H$11:$H$77,'Master P&amp;L'!$B$11:$B$77,Check!O154)))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IF(B155="","",IF(LEN(B155)&gt;9,SUMIFS(Options!$H$3:$H$23,Options!$B$3:$B$23,Check!B155),SUMIFS('Master P&amp;L'!$H$11:$H$77,'Master P&amp;L'!$B$11:$B$77,Check!B155)))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IF(O155="","",IF(LEN(O155)&gt;9,SUMIFS(Options!$H$3:$H$23,Options!$B$3:$B$23,Check!O155),SUMIFS('Master P&amp;L'!$H$11:$H$77,'Master P&amp;L'!$B$11:$B$77,Check!O155)))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IF(B156="","",IF(LEN(B156)&gt;9,SUMIFS(Options!$H$3:$H$23,Options!$B$3:$B$23,Check!B156),SUMIFS('Master P&amp;L'!$H$11:$H$77,'Master P&amp;L'!$B$11:$B$77,Check!B156)))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IF(O156="","",IF(LEN(O156)&gt;9,SUMIFS(Options!$H$3:$H$23,Options!$B$3:$B$23,Check!O156),SUMIFS('Master P&amp;L'!$H$11:$H$77,'Master P&amp;L'!$B$11:$B$77,Check!O156)))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IF(B157="","",IF(LEN(B157)&gt;9,SUMIFS(Options!$H$3:$H$23,Options!$B$3:$B$23,Check!B157),SUMIFS('Master P&amp;L'!$H$11:$H$77,'Master P&amp;L'!$B$11:$B$77,Check!B157)))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IF(O157="","",IF(LEN(O157)&gt;9,SUMIFS(Options!$H$3:$H$23,Options!$B$3:$B$23,Check!O157),SUMIFS('Master P&amp;L'!$H$11:$H$77,'Master P&amp;L'!$B$11:$B$77,Check!O157)))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IF(B158="","",IF(LEN(B158)&gt;9,SUMIFS(Options!$H$3:$H$23,Options!$B$3:$B$23,Check!B158),SUMIFS('Master P&amp;L'!$H$11:$H$77,'Master P&amp;L'!$B$11:$B$77,Check!B158)))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IF(O158="","",IF(LEN(O158)&gt;9,SUMIFS(Options!$H$3:$H$23,Options!$B$3:$B$23,Check!O158),SUMIFS('Master P&amp;L'!$H$11:$H$77,'Master P&amp;L'!$B$11:$B$77,Check!O158)))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IF(B159="","",IF(LEN(B159)&gt;9,SUMIFS(Options!$H$3:$H$23,Options!$B$3:$B$23,Check!B159),SUMIFS('Master P&amp;L'!$H$11:$H$77,'Master P&amp;L'!$B$11:$B$77,Check!B159)))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IF(O159="","",IF(LEN(O159)&gt;9,SUMIFS(Options!$H$3:$H$23,Options!$B$3:$B$23,Check!O159),SUMIFS('Master P&amp;L'!$H$11:$H$77,'Master P&amp;L'!$B$11:$B$77,Check!O159)))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IF(B160="","",IF(LEN(B160)&gt;9,SUMIFS(Options!$H$3:$H$23,Options!$B$3:$B$23,Check!B160),SUMIFS('Master P&amp;L'!$H$11:$H$77,'Master P&amp;L'!$B$11:$B$77,Check!B160)))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IF(O160="","",IF(LEN(O160)&gt;9,SUMIFS(Options!$H$3:$H$23,Options!$B$3:$B$23,Check!O160),SUMIFS('Master P&amp;L'!$H$11:$H$77,'Master P&amp;L'!$B$11:$B$77,Check!O160)))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IF(B161="","",IF(LEN(B161)&gt;9,SUMIFS(Options!$H$3:$H$23,Options!$B$3:$B$23,Check!B161),SUMIFS('Master P&amp;L'!$H$11:$H$77,'Master P&amp;L'!$B$11:$B$77,Check!B161)))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IF(O161="","",IF(LEN(O161)&gt;9,SUMIFS(Options!$H$3:$H$23,Options!$B$3:$B$23,Check!O161),SUMIFS('Master P&amp;L'!$H$11:$H$77,'Master P&amp;L'!$B$11:$B$77,Check!O161)))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IF(B162="","",IF(LEN(B162)&gt;9,SUMIFS(Options!$H$3:$H$23,Options!$B$3:$B$23,Check!B162),SUMIFS('Master P&amp;L'!$H$11:$H$77,'Master P&amp;L'!$B$11:$B$77,Check!B162)))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IF(O162="","",IF(LEN(O162)&gt;9,SUMIFS(Options!$H$3:$H$23,Options!$B$3:$B$23,Check!O162),SUMIFS('Master P&amp;L'!$H$11:$H$77,'Master P&amp;L'!$B$11:$B$77,Check!O162)))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IF(B163="","",IF(LEN(B163)&gt;9,SUMIFS(Options!$H$3:$H$23,Options!$B$3:$B$23,Check!B163),SUMIFS('Master P&amp;L'!$H$11:$H$77,'Master P&amp;L'!$B$11:$B$77,Check!B163)))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IF(O163="","",IF(LEN(O163)&gt;9,SUMIFS(Options!$H$3:$H$23,Options!$B$3:$B$23,Check!O163),SUMIFS('Master P&amp;L'!$H$11:$H$77,'Master P&amp;L'!$B$11:$B$77,Check!O163)))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IF(B164="","",IF(LEN(B164)&gt;9,SUMIFS(Options!$H$3:$H$23,Options!$B$3:$B$23,Check!B164),SUMIFS('Master P&amp;L'!$H$11:$H$77,'Master P&amp;L'!$B$11:$B$77,Check!B164)))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IF(O164="","",IF(LEN(O164)&gt;9,SUMIFS(Options!$H$3:$H$23,Options!$B$3:$B$23,Check!O164),SUMIFS('Master P&amp;L'!$H$11:$H$77,'Master P&amp;L'!$B$11:$B$77,Check!O164)))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IF(B165="","",IF(LEN(B165)&gt;9,SUMIFS(Options!$H$3:$H$23,Options!$B$3:$B$23,Check!B165),SUMIFS('Master P&amp;L'!$H$11:$H$77,'Master P&amp;L'!$B$11:$B$77,Check!B165)))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IF(O165="","",IF(LEN(O165)&gt;9,SUMIFS(Options!$H$3:$H$23,Options!$B$3:$B$23,Check!O165),SUMIFS('Master P&amp;L'!$H$11:$H$77,'Master P&amp;L'!$B$11:$B$77,Check!O165)))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IF(B166="","",IF(LEN(B166)&gt;9,SUMIFS(Options!$H$3:$H$23,Options!$B$3:$B$23,Check!B166),SUMIFS('Master P&amp;L'!$H$11:$H$77,'Master P&amp;L'!$B$11:$B$77,Check!B166)))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IF(O166="","",IF(LEN(O166)&gt;9,SUMIFS(Options!$H$3:$H$23,Options!$B$3:$B$23,Check!O166),SUMIFS('Master P&amp;L'!$H$11:$H$77,'Master P&amp;L'!$B$11:$B$77,Check!O166)))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IF(B167="","",IF(LEN(B167)&gt;9,SUMIFS(Options!$H$3:$H$23,Options!$B$3:$B$23,Check!B167),SUMIFS('Master P&amp;L'!$H$11:$H$77,'Master P&amp;L'!$B$11:$B$77,Check!B167)))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IF(O167="","",IF(LEN(O167)&gt;9,SUMIFS(Options!$H$3:$H$23,Options!$B$3:$B$23,Check!O167),SUMIFS('Master P&amp;L'!$H$11:$H$77,'Master P&amp;L'!$B$11:$B$77,Check!O167)))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IF(B168="","",IF(LEN(B168)&gt;9,SUMIFS(Options!$H$3:$H$23,Options!$B$3:$B$23,Check!B168),SUMIFS('Master P&amp;L'!$H$11:$H$77,'Master P&amp;L'!$B$11:$B$77,Check!B168)))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IF(O168="","",IF(LEN(O168)&gt;9,SUMIFS(Options!$H$3:$H$23,Options!$B$3:$B$23,Check!O168),SUMIFS('Master P&amp;L'!$H$11:$H$77,'Master P&amp;L'!$B$11:$B$77,Check!O168)))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IF(B169="","",IF(LEN(B169)&gt;9,SUMIFS(Options!$H$3:$H$23,Options!$B$3:$B$23,Check!B169),SUMIFS('Master P&amp;L'!$H$11:$H$77,'Master P&amp;L'!$B$11:$B$77,Check!B169)))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IF(O169="","",IF(LEN(O169)&gt;9,SUMIFS(Options!$H$3:$H$23,Options!$B$3:$B$23,Check!O169),SUMIFS('Master P&amp;L'!$H$11:$H$77,'Master P&amp;L'!$B$11:$B$77,Check!O169)))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IF(B170="","",IF(LEN(B170)&gt;9,SUMIFS(Options!$H$3:$H$23,Options!$B$3:$B$23,Check!B170),SUMIFS('Master P&amp;L'!$H$11:$H$77,'Master P&amp;L'!$B$11:$B$77,Check!B170)))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IF(O170="","",IF(LEN(O170)&gt;9,SUMIFS(Options!$H$3:$H$23,Options!$B$3:$B$23,Check!O170),SUMIFS('Master P&amp;L'!$H$11:$H$77,'Master P&amp;L'!$B$11:$B$77,Check!O170)))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IF(B171="","",IF(LEN(B171)&gt;9,SUMIFS(Options!$H$3:$H$23,Options!$B$3:$B$23,Check!B171),SUMIFS('Master P&amp;L'!$H$11:$H$77,'Master P&amp;L'!$B$11:$B$77,Check!B171)))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IF(O171="","",IF(LEN(O171)&gt;9,SUMIFS(Options!$H$3:$H$23,Options!$B$3:$B$23,Check!O171),SUMIFS('Master P&amp;L'!$H$11:$H$77,'Master P&amp;L'!$B$11:$B$77,Check!O171)))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IF(B172="","",IF(LEN(B172)&gt;9,SUMIFS(Options!$H$3:$H$23,Options!$B$3:$B$23,Check!B172),SUMIFS('Master P&amp;L'!$H$11:$H$77,'Master P&amp;L'!$B$11:$B$77,Check!B172)))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IF(O172="","",IF(LEN(O172)&gt;9,SUMIFS(Options!$H$3:$H$23,Options!$B$3:$B$23,Check!O172),SUMIFS('Master P&amp;L'!$H$11:$H$77,'Master P&amp;L'!$B$11:$B$77,Check!O172)))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IF(B173="","",IF(LEN(B173)&gt;9,SUMIFS(Options!$H$3:$H$23,Options!$B$3:$B$23,Check!B173),SUMIFS('Master P&amp;L'!$H$11:$H$77,'Master P&amp;L'!$B$11:$B$77,Check!B173)))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IF(O173="","",IF(LEN(O173)&gt;9,SUMIFS(Options!$H$3:$H$23,Options!$B$3:$B$23,Check!O173),SUMIFS('Master P&amp;L'!$H$11:$H$77,'Master P&amp;L'!$B$11:$B$77,Check!O173)))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IF(B174="","",IF(LEN(B174)&gt;9,SUMIFS(Options!$H$3:$H$23,Options!$B$3:$B$23,Check!B174),SUMIFS('Master P&amp;L'!$H$11:$H$77,'Master P&amp;L'!$B$11:$B$77,Check!B174)))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IF(O174="","",IF(LEN(O174)&gt;9,SUMIFS(Options!$H$3:$H$23,Options!$B$3:$B$23,Check!O174),SUMIFS('Master P&amp;L'!$H$11:$H$77,'Master P&amp;L'!$B$11:$B$77,Check!O174)))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IF(B175="","",IF(LEN(B175)&gt;9,SUMIFS(Options!$H$3:$H$23,Options!$B$3:$B$23,Check!B175),SUMIFS('Master P&amp;L'!$H$11:$H$77,'Master P&amp;L'!$B$11:$B$77,Check!B175)))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IF(O175="","",IF(LEN(O175)&gt;9,SUMIFS(Options!$H$3:$H$23,Options!$B$3:$B$23,Check!O175),SUMIFS('Master P&amp;L'!$H$11:$H$77,'Master P&amp;L'!$B$11:$B$77,Check!O175)))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IF(B176="","",IF(LEN(B176)&gt;9,SUMIFS(Options!$H$3:$H$23,Options!$B$3:$B$23,Check!B176),SUMIFS('Master P&amp;L'!$H$11:$H$77,'Master P&amp;L'!$B$11:$B$77,Check!B176)))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IF(O176="","",IF(LEN(O176)&gt;9,SUMIFS(Options!$H$3:$H$23,Options!$B$3:$B$23,Check!O176),SUMIFS('Master P&amp;L'!$H$11:$H$77,'Master P&amp;L'!$B$11:$B$77,Check!O176)))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IF(B177="","",IF(LEN(B177)&gt;9,SUMIFS(Options!$H$3:$H$23,Options!$B$3:$B$23,Check!B177),SUMIFS('Master P&amp;L'!$H$11:$H$77,'Master P&amp;L'!$B$11:$B$77,Check!B177)))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IF(O177="","",IF(LEN(O177)&gt;9,SUMIFS(Options!$H$3:$H$23,Options!$B$3:$B$23,Check!O177),SUMIFS('Master P&amp;L'!$H$11:$H$77,'Master P&amp;L'!$B$11:$B$77,Check!O177)))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IF(B178="","",IF(LEN(B178)&gt;9,SUMIFS(Options!$H$3:$H$23,Options!$B$3:$B$23,Check!B178),SUMIFS('Master P&amp;L'!$H$11:$H$77,'Master P&amp;L'!$B$11:$B$77,Check!B178)))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IF(O178="","",IF(LEN(O178)&gt;9,SUMIFS(Options!$H$3:$H$23,Options!$B$3:$B$23,Check!O178),SUMIFS('Master P&amp;L'!$H$11:$H$77,'Master P&amp;L'!$B$11:$B$77,Check!O178)))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IF(B179="","",IF(LEN(B179)&gt;9,SUMIFS(Options!$H$3:$H$23,Options!$B$3:$B$23,Check!B179),SUMIFS('Master P&amp;L'!$H$11:$H$77,'Master P&amp;L'!$B$11:$B$77,Check!B179)))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IF(O179="","",IF(LEN(O179)&gt;9,SUMIFS(Options!$H$3:$H$23,Options!$B$3:$B$23,Check!O179),SUMIFS('Master P&amp;L'!$H$11:$H$77,'Master P&amp;L'!$B$11:$B$77,Check!O179)))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IF(B180="","",IF(LEN(B180)&gt;9,SUMIFS(Options!$H$3:$H$23,Options!$B$3:$B$23,Check!B180),SUMIFS('Master P&amp;L'!$H$11:$H$77,'Master P&amp;L'!$B$11:$B$77,Check!B180)))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IF(O180="","",IF(LEN(O180)&gt;9,SUMIFS(Options!$H$3:$H$23,Options!$B$3:$B$23,Check!O180),SUMIFS('Master P&amp;L'!$H$11:$H$77,'Master P&amp;L'!$B$11:$B$77,Check!O180)))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IF(B181="","",IF(LEN(B181)&gt;9,SUMIFS(Options!$H$3:$H$23,Options!$B$3:$B$23,Check!B181),SUMIFS('Master P&amp;L'!$H$11:$H$77,'Master P&amp;L'!$B$11:$B$77,Check!B181)))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IF(O181="","",IF(LEN(O181)&gt;9,SUMIFS(Options!$H$3:$H$23,Options!$B$3:$B$23,Check!O181),SUMIFS('Master P&amp;L'!$H$11:$H$77,'Master P&amp;L'!$B$11:$B$77,Check!O181)))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IF(B182="","",IF(LEN(B182)&gt;9,SUMIFS(Options!$H$3:$H$23,Options!$B$3:$B$23,Check!B182),SUMIFS('Master P&amp;L'!$H$11:$H$77,'Master P&amp;L'!$B$11:$B$77,Check!B182)))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IF(O182="","",IF(LEN(O182)&gt;9,SUMIFS(Options!$H$3:$H$23,Options!$B$3:$B$23,Check!O182),SUMIFS('Master P&amp;L'!$H$11:$H$77,'Master P&amp;L'!$B$11:$B$77,Check!O182)))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IF(B183="","",IF(LEN(B183)&gt;9,SUMIFS(Options!$H$3:$H$23,Options!$B$3:$B$23,Check!B183),SUMIFS('Master P&amp;L'!$H$11:$H$77,'Master P&amp;L'!$B$11:$B$77,Check!B183)))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IF(O183="","",IF(LEN(O183)&gt;9,SUMIFS(Options!$H$3:$H$23,Options!$B$3:$B$23,Check!O183),SUMIFS('Master P&amp;L'!$H$11:$H$77,'Master P&amp;L'!$B$11:$B$77,Check!O183)))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IF(B184="","",IF(LEN(B184)&gt;9,SUMIFS(Options!$H$3:$H$23,Options!$B$3:$B$23,Check!B184),SUMIFS('Master P&amp;L'!$H$11:$H$77,'Master P&amp;L'!$B$11:$B$77,Check!B184)))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IF(O184="","",IF(LEN(O184)&gt;9,SUMIFS(Options!$H$3:$H$23,Options!$B$3:$B$23,Check!O184),SUMIFS('Master P&amp;L'!$H$11:$H$77,'Master P&amp;L'!$B$11:$B$77,Check!O184)))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IF(B185="","",IF(LEN(B185)&gt;9,SUMIFS(Options!$H$3:$H$23,Options!$B$3:$B$23,Check!B185),SUMIFS('Master P&amp;L'!$H$11:$H$77,'Master P&amp;L'!$B$11:$B$77,Check!B185)))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IF(O185="","",IF(LEN(O185)&gt;9,SUMIFS(Options!$H$3:$H$23,Options!$B$3:$B$23,Check!O185),SUMIFS('Master P&amp;L'!$H$11:$H$77,'Master P&amp;L'!$B$11:$B$77,Check!O185)))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IF(B186="","",IF(LEN(B186)&gt;9,SUMIFS(Options!$H$3:$H$23,Options!$B$3:$B$23,Check!B186),SUMIFS('Master P&amp;L'!$H$11:$H$77,'Master P&amp;L'!$B$11:$B$77,Check!B186)))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IF(O186="","",IF(LEN(O186)&gt;9,SUMIFS(Options!$H$3:$H$23,Options!$B$3:$B$23,Check!O186),SUMIFS('Master P&amp;L'!$H$11:$H$77,'Master P&amp;L'!$B$11:$B$77,Check!O186)))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IF(B187="","",IF(LEN(B187)&gt;9,SUMIFS(Options!$H$3:$H$23,Options!$B$3:$B$23,Check!B187),SUMIFS('Master P&amp;L'!$H$11:$H$77,'Master P&amp;L'!$B$11:$B$77,Check!B187)))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IF(O187="","",IF(LEN(O187)&gt;9,SUMIFS(Options!$H$3:$H$23,Options!$B$3:$B$23,Check!O187),SUMIFS('Master P&amp;L'!$H$11:$H$77,'Master P&amp;L'!$B$11:$B$77,Check!O187)))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IF(B188="","",IF(LEN(B188)&gt;9,SUMIFS(Options!$H$3:$H$23,Options!$B$3:$B$23,Check!B188),SUMIFS('Master P&amp;L'!$H$11:$H$77,'Master P&amp;L'!$B$11:$B$77,Check!B188)))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IF(O188="","",IF(LEN(O188)&gt;9,SUMIFS(Options!$H$3:$H$23,Options!$B$3:$B$23,Check!O188),SUMIFS('Master P&amp;L'!$H$11:$H$77,'Master P&amp;L'!$B$11:$B$77,Check!O188)))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IF(B189="","",IF(LEN(B189)&gt;9,SUMIFS(Options!$H$3:$H$23,Options!$B$3:$B$23,Check!B189),SUMIFS('Master P&amp;L'!$H$11:$H$77,'Master P&amp;L'!$B$11:$B$77,Check!B189)))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IF(O189="","",IF(LEN(O189)&gt;9,SUMIFS(Options!$H$3:$H$23,Options!$B$3:$B$23,Check!O189),SUMIFS('Master P&amp;L'!$H$11:$H$77,'Master P&amp;L'!$B$11:$B$77,Check!O189)))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IF(B190="","",IF(LEN(B190)&gt;9,SUMIFS(Options!$H$3:$H$23,Options!$B$3:$B$23,Check!B190),SUMIFS('Master P&amp;L'!$H$11:$H$77,'Master P&amp;L'!$B$11:$B$77,Check!B190)))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IF(O190="","",IF(LEN(O190)&gt;9,SUMIFS(Options!$H$3:$H$23,Options!$B$3:$B$23,Check!O190),SUMIFS('Master P&amp;L'!$H$11:$H$77,'Master P&amp;L'!$B$11:$B$77,Check!O190)))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IF(B191="","",IF(LEN(B191)&gt;9,SUMIFS(Options!$H$3:$H$23,Options!$B$3:$B$23,Check!B191),SUMIFS('Master P&amp;L'!$H$11:$H$77,'Master P&amp;L'!$B$11:$B$77,Check!B191)))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IF(O191="","",IF(LEN(O191)&gt;9,SUMIFS(Options!$H$3:$H$23,Options!$B$3:$B$23,Check!O191),SUMIFS('Master P&amp;L'!$H$11:$H$77,'Master P&amp;L'!$B$11:$B$77,Check!O191)))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IF(O192="","",IF(LEN(O192)&gt;9,SUMIFS(Options!$H$3:$H$23,Options!$B$3:$B$23,Check!O192),SUMIFS('Master P&amp;L'!$H$11:$H$77,'Master P&amp;L'!$B$11:$B$77,Check!O192)))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IF(O193="","",IF(LEN(O193)&gt;9,SUMIFS(Options!$H$3:$H$23,Options!$B$3:$B$23,Check!O193),SUMIFS('Master P&amp;L'!$H$11:$H$77,'Master P&amp;L'!$B$11:$B$77,Check!O193)))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IF(O194="","",IF(LEN(O194)&gt;9,SUMIFS(Options!$H$3:$H$23,Options!$B$3:$B$23,Check!O194),SUMIFS('Master P&amp;L'!$H$11:$H$77,'Master P&amp;L'!$B$11:$B$77,Check!O194)))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IF(O195="","",IF(LEN(O195)&gt;9,SUMIFS(Options!$H$3:$H$23,Options!$B$3:$B$23,Check!O195),SUMIFS('Master P&amp;L'!$H$11:$H$77,'Master P&amp;L'!$B$11:$B$77,Check!O195)))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IF(O196="","",IF(LEN(O196)&gt;9,SUMIFS(Options!$H$3:$H$23,Options!$B$3:$B$23,Check!O196),SUMIFS('Master P&amp;L'!$H$11:$H$77,'Master P&amp;L'!$B$11:$B$77,Check!O196)))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IF(O197="","",IF(LEN(O197)&gt;9,SUMIFS(Options!$H$3:$H$23,Options!$B$3:$B$23,Check!O197),SUMIFS('Master P&amp;L'!$H$11:$H$77,'Master P&amp;L'!$B$11:$B$77,Check!O197)))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IF(O198="","",IF(LEN(O198)&gt;9,SUMIFS(Options!$H$3:$H$23,Options!$B$3:$B$23,Check!O198),SUMIFS('Master P&amp;L'!$H$11:$H$77,'Master P&amp;L'!$B$11:$B$77,Check!O198)))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IF(O199="","",IF(LEN(O199)&gt;9,SUMIFS(Options!$H$3:$H$23,Options!$B$3:$B$23,Check!O199),SUMIFS('Master P&amp;L'!$H$11:$H$77,'Master P&amp;L'!$B$11:$B$77,Check!O199)))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IF(O200="","",IF(LEN(O200)&gt;9,SUMIFS(Options!$H$3:$H$23,Options!$B$3:$B$23,Check!O200),SUMIFS('Master P&amp;L'!$H$11:$H$77,'Master P&amp;L'!$B$11:$B$77,Check!O200)))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IF(O201="","",IF(LEN(O201)&gt;9,SUMIFS(Options!$H$3:$H$23,Options!$B$3:$B$23,Check!O201),SUMIFS('Master P&amp;L'!$H$11:$H$77,'Master P&amp;L'!$B$11:$B$77,Check!O201)))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IF(O202="","",IF(LEN(O202)&gt;9,SUMIFS(Options!$H$3:$H$23,Options!$B$3:$B$23,Check!O202),SUMIFS('Master P&amp;L'!$H$11:$H$77,'Master P&amp;L'!$B$11:$B$77,Check!O202)))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IF(O203="","",IF(LEN(O203)&gt;9,SUMIFS(Options!$H$3:$H$23,Options!$B$3:$B$23,Check!O203),SUMIFS('Master P&amp;L'!$H$11:$H$77,'Master P&amp;L'!$B$11:$B$77,Check!O203)))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IF(O204="","",IF(LEN(O204)&gt;9,SUMIFS(Options!$H$3:$H$23,Options!$B$3:$B$23,Check!O204),SUMIFS('Master P&amp;L'!$H$11:$H$77,'Master P&amp;L'!$B$11:$B$77,Check!O204)))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IF(O205="","",IF(LEN(O205)&gt;9,SUMIFS(Options!$H$3:$H$23,Options!$B$3:$B$23,Check!O205),SUMIFS('Master P&amp;L'!$H$11:$H$77,'Master P&amp;L'!$B$11:$B$77,Check!O205)))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IF(O206="","",IF(LEN(O206)&gt;9,SUMIFS(Options!$H$3:$H$23,Options!$B$3:$B$23,Check!O206),SUMIFS('Master P&amp;L'!$H$11:$H$77,'Master P&amp;L'!$B$11:$B$77,Check!O206)))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54" priority="4">
      <formula>J5&lt;&gt;0</formula>
    </cfRule>
  </conditionalFormatting>
  <conditionalFormatting sqref="E5:E191">
    <cfRule type="expression" dxfId="53" priority="3">
      <formula>E5&lt;&gt;0</formula>
    </cfRule>
  </conditionalFormatting>
  <conditionalFormatting sqref="S5:S206">
    <cfRule type="cellIs" dxfId="52" priority="2" operator="lessThan">
      <formula>0.9</formula>
    </cfRule>
  </conditionalFormatting>
  <conditionalFormatting sqref="S5:S198">
    <cfRule type="expression" dxfId="51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1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3.7109375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8.5703125" style="213" bestFit="1" customWidth="1"/>
    <col min="12" max="12" width="42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2291</v>
      </c>
      <c r="F2" s="213" t="s">
        <v>2280</v>
      </c>
      <c r="G2" s="213" t="s">
        <v>282</v>
      </c>
      <c r="H2" s="213">
        <v>0</v>
      </c>
      <c r="I2" s="213">
        <v>8</v>
      </c>
      <c r="K2" s="214" t="str">
        <f>IF(E2="","",E2)</f>
        <v>NASDAQ-100 E-mini Options - CME</v>
      </c>
      <c r="L2" s="214" t="str">
        <f>IF(E2="","",IF(COUNTIFS(Table2[[#All],[De (Lote)]],Input_APM!F2)&gt;0,INDEX(Table2[[#All],[Para (Ticker Daniel)]],MATCH(Input_APM!F2,Table2[[#All],[De (Lote)]],0)),Input_APM!F2))</f>
        <v>1OG6P 25000</v>
      </c>
      <c r="M2" s="214" t="str">
        <f>IF(E2="","",G2)</f>
        <v>EQTY.IntlUS.off</v>
      </c>
      <c r="N2" s="215">
        <f>IF(E2="","",H2)</f>
        <v>0</v>
      </c>
      <c r="O2" s="215">
        <f>IF(E2="","",I2)</f>
        <v>8</v>
      </c>
    </row>
    <row r="3" spans="5:15">
      <c r="E3" s="213" t="s">
        <v>317</v>
      </c>
      <c r="F3" s="213" t="s">
        <v>79</v>
      </c>
      <c r="G3" s="213" t="s">
        <v>282</v>
      </c>
      <c r="H3" s="213">
        <v>0</v>
      </c>
      <c r="I3" s="213">
        <v>0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AAPL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0</v>
      </c>
    </row>
    <row r="4" spans="5:15">
      <c r="E4" s="213" t="s">
        <v>319</v>
      </c>
      <c r="F4" s="213" t="s">
        <v>2257</v>
      </c>
      <c r="G4" s="213" t="s">
        <v>282</v>
      </c>
      <c r="H4" s="213">
        <v>-23</v>
      </c>
      <c r="I4" s="213">
        <v>-23</v>
      </c>
      <c r="K4" s="214" t="str">
        <f t="shared" si="0"/>
        <v>US Equity Options</v>
      </c>
      <c r="L4" s="214" t="str">
        <f>IF(E4="","",IF(COUNTIFS(Table2[[#All],[De (Lote)]],Input_APM!F4)&gt;0,INDEX(Table2[[#All],[Para (Ticker Daniel)]],MATCH(Input_APM!F4,Table2[[#All],[De (Lote)]],0)),Input_APM!F4))</f>
        <v>AMAT US 01/23/26 P280</v>
      </c>
      <c r="M4" s="214" t="str">
        <f t="shared" si="1"/>
        <v>EQTY.IntlUS.off</v>
      </c>
      <c r="N4" s="215">
        <f t="shared" si="2"/>
        <v>-23</v>
      </c>
      <c r="O4" s="215">
        <f t="shared" si="3"/>
        <v>-23</v>
      </c>
    </row>
    <row r="5" spans="5:15">
      <c r="E5" s="213" t="s">
        <v>319</v>
      </c>
      <c r="F5" s="213" t="s">
        <v>2258</v>
      </c>
      <c r="G5" s="213" t="s">
        <v>282</v>
      </c>
      <c r="H5" s="213">
        <v>117</v>
      </c>
      <c r="I5" s="213">
        <v>117</v>
      </c>
      <c r="K5" s="214" t="str">
        <f t="shared" si="0"/>
        <v>US Equity Options</v>
      </c>
      <c r="L5" s="214" t="str">
        <f>IF(E5="","",IF(COUNTIFS(Table2[[#All],[De (Lote)]],Input_APM!F5)&gt;0,INDEX(Table2[[#All],[Para (Ticker Daniel)]],MATCH(Input_APM!F5,Table2[[#All],[De (Lote)]],0)),Input_APM!F5))</f>
        <v>AMAT US 01/23/26 P290</v>
      </c>
      <c r="M5" s="214" t="str">
        <f t="shared" si="1"/>
        <v>EQTY.IntlUS.off</v>
      </c>
      <c r="N5" s="215">
        <f t="shared" si="2"/>
        <v>117</v>
      </c>
      <c r="O5" s="215">
        <f t="shared" si="3"/>
        <v>117</v>
      </c>
    </row>
    <row r="6" spans="5:15">
      <c r="E6" s="213" t="s">
        <v>317</v>
      </c>
      <c r="F6" s="213" t="s">
        <v>399</v>
      </c>
      <c r="G6" s="213" t="s">
        <v>282</v>
      </c>
      <c r="H6" s="213">
        <v>10709</v>
      </c>
      <c r="I6" s="213">
        <v>10709</v>
      </c>
      <c r="K6" s="214" t="str">
        <f t="shared" si="0"/>
        <v>US Equity</v>
      </c>
      <c r="L6" s="214" t="str">
        <f>IF(E6="","",IF(COUNTIFS(Table2[[#All],[De (Lote)]],Input_APM!F6)&gt;0,INDEX(Table2[[#All],[Para (Ticker Daniel)]],MATCH(Input_APM!F6,Table2[[#All],[De (Lote)]],0)),Input_APM!F6))</f>
        <v>AMZN</v>
      </c>
      <c r="M6" s="214" t="str">
        <f t="shared" si="1"/>
        <v>EQTY.IntlUS.off</v>
      </c>
      <c r="N6" s="215">
        <f t="shared" si="2"/>
        <v>10709</v>
      </c>
      <c r="O6" s="215">
        <f t="shared" si="3"/>
        <v>10709</v>
      </c>
    </row>
    <row r="7" spans="5:15">
      <c r="E7" s="213" t="s">
        <v>319</v>
      </c>
      <c r="F7" s="213" t="s">
        <v>2318</v>
      </c>
      <c r="G7" s="213" t="s">
        <v>282</v>
      </c>
      <c r="H7" s="213">
        <v>46</v>
      </c>
      <c r="I7" s="213">
        <v>0</v>
      </c>
      <c r="K7" s="214" t="str">
        <f t="shared" si="0"/>
        <v>US Equity Options</v>
      </c>
      <c r="L7" s="214" t="str">
        <f>IF(E7="","",IF(COUNTIFS(Table2[[#All],[De (Lote)]],Input_APM!F7)&gt;0,INDEX(Table2[[#All],[Para (Ticker Daniel)]],MATCH(Input_APM!F7,Table2[[#All],[De (Lote)]],0)),Input_APM!F7))</f>
        <v>AMZN US 07/17/26 C245</v>
      </c>
      <c r="M7" s="214" t="str">
        <f t="shared" si="1"/>
        <v>EQTY.IntlUS.off</v>
      </c>
      <c r="N7" s="215">
        <f t="shared" si="2"/>
        <v>46</v>
      </c>
      <c r="O7" s="215">
        <f t="shared" si="3"/>
        <v>0</v>
      </c>
    </row>
    <row r="8" spans="5:15">
      <c r="E8" s="213" t="s">
        <v>324</v>
      </c>
      <c r="F8" s="213" t="s">
        <v>2234</v>
      </c>
      <c r="G8" s="213" t="s">
        <v>282</v>
      </c>
      <c r="H8" s="213">
        <v>1874</v>
      </c>
      <c r="I8" s="213">
        <v>1874</v>
      </c>
      <c r="K8" s="214" t="str">
        <f t="shared" si="0"/>
        <v>ETF Options</v>
      </c>
      <c r="L8" s="214" t="str">
        <f>IF(E8="","",IF(COUNTIFS(Table2[[#All],[De (Lote)]],Input_APM!F8)&gt;0,INDEX(Table2[[#All],[Para (Ticker Daniel)]],MATCH(Input_APM!F8,Table2[[#All],[De (Lote)]],0)),Input_APM!F8))</f>
        <v>ASHR US 02/20/26 C35</v>
      </c>
      <c r="M8" s="214" t="str">
        <f t="shared" si="1"/>
        <v>EQTY.IntlUS.off</v>
      </c>
      <c r="N8" s="215">
        <f t="shared" si="2"/>
        <v>1874</v>
      </c>
      <c r="O8" s="215">
        <f t="shared" si="3"/>
        <v>1874</v>
      </c>
    </row>
    <row r="9" spans="5:15">
      <c r="E9" s="213" t="s">
        <v>317</v>
      </c>
      <c r="F9" s="213" t="s">
        <v>137</v>
      </c>
      <c r="G9" s="213" t="s">
        <v>282</v>
      </c>
      <c r="H9" s="213">
        <v>3370</v>
      </c>
      <c r="I9" s="213">
        <v>6718</v>
      </c>
      <c r="K9" s="214" t="str">
        <f t="shared" si="0"/>
        <v>US Equity</v>
      </c>
      <c r="L9" s="214" t="str">
        <f>IF(E9="","",IF(COUNTIFS(Table2[[#All],[De (Lote)]],Input_APM!F9)&gt;0,INDEX(Table2[[#All],[Para (Ticker Daniel)]],MATCH(Input_APM!F9,Table2[[#All],[De (Lote)]],0)),Input_APM!F9))</f>
        <v>AVGO</v>
      </c>
      <c r="M9" s="214" t="str">
        <f t="shared" si="1"/>
        <v>EQTY.IntlUS.off</v>
      </c>
      <c r="N9" s="215">
        <f t="shared" si="2"/>
        <v>3370</v>
      </c>
      <c r="O9" s="215">
        <f t="shared" si="3"/>
        <v>6718</v>
      </c>
    </row>
    <row r="10" spans="5:15">
      <c r="E10" s="213" t="s">
        <v>319</v>
      </c>
      <c r="F10" s="213" t="s">
        <v>2106</v>
      </c>
      <c r="G10" s="213" t="s">
        <v>282</v>
      </c>
      <c r="H10" s="213">
        <v>114</v>
      </c>
      <c r="I10" s="213">
        <v>48</v>
      </c>
      <c r="K10" s="214" t="str">
        <f t="shared" si="0"/>
        <v>US Equity Options</v>
      </c>
      <c r="L10" s="214" t="str">
        <f>IF(E10="","",IF(COUNTIFS(Table2[[#All],[De (Lote)]],Input_APM!F10)&gt;0,INDEX(Table2[[#All],[Para (Ticker Daniel)]],MATCH(Input_APM!F10,Table2[[#All],[De (Lote)]],0)),Input_APM!F10))</f>
        <v>AVGO US 06/18/26 C350</v>
      </c>
      <c r="M10" s="214" t="str">
        <f t="shared" si="1"/>
        <v>EQTY.IntlUS.off</v>
      </c>
      <c r="N10" s="215">
        <f t="shared" si="2"/>
        <v>114</v>
      </c>
      <c r="O10" s="215">
        <f t="shared" si="3"/>
        <v>48</v>
      </c>
    </row>
    <row r="11" spans="5:15">
      <c r="E11" s="213" t="s">
        <v>319</v>
      </c>
      <c r="F11" s="213" t="s">
        <v>2108</v>
      </c>
      <c r="G11" s="213" t="s">
        <v>282</v>
      </c>
      <c r="H11" s="213">
        <v>0</v>
      </c>
      <c r="I11" s="213">
        <v>-25</v>
      </c>
      <c r="K11" s="214" t="str">
        <f t="shared" si="0"/>
        <v>US Equity Options</v>
      </c>
      <c r="L11" s="214" t="str">
        <f>IF(E11="","",IF(COUNTIFS(Table2[[#All],[De (Lote)]],Input_APM!F11)&gt;0,INDEX(Table2[[#All],[Para (Ticker Daniel)]],MATCH(Input_APM!F11,Table2[[#All],[De (Lote)]],0)),Input_APM!F11))</f>
        <v>AVGO US 06/18/26 C410</v>
      </c>
      <c r="M11" s="214" t="str">
        <f t="shared" si="1"/>
        <v>EQTY.IntlUS.off</v>
      </c>
      <c r="N11" s="215">
        <f t="shared" si="2"/>
        <v>0</v>
      </c>
      <c r="O11" s="215">
        <f t="shared" si="3"/>
        <v>-25</v>
      </c>
    </row>
    <row r="12" spans="5:15">
      <c r="E12" s="213" t="s">
        <v>39</v>
      </c>
      <c r="F12" s="213" t="s">
        <v>461</v>
      </c>
      <c r="G12" s="213" t="s">
        <v>282</v>
      </c>
      <c r="H12" s="213">
        <v>3163</v>
      </c>
      <c r="I12" s="213">
        <v>3163</v>
      </c>
      <c r="K12" s="214" t="str">
        <f t="shared" si="0"/>
        <v>ADR</v>
      </c>
      <c r="L12" s="214" t="str">
        <f>IF(E12="","",IF(COUNTIFS(Table2[[#All],[De (Lote)]],Input_APM!F12)&gt;0,INDEX(Table2[[#All],[Para (Ticker Daniel)]],MATCH(Input_APM!F12,Table2[[#All],[De (Lote)]],0)),Input_APM!F12))</f>
        <v>BABA</v>
      </c>
      <c r="M12" s="214" t="str">
        <f t="shared" si="1"/>
        <v>EQTY.IntlUS.off</v>
      </c>
      <c r="N12" s="215">
        <f t="shared" si="2"/>
        <v>3163</v>
      </c>
      <c r="O12" s="215">
        <f t="shared" si="3"/>
        <v>3163</v>
      </c>
    </row>
    <row r="13" spans="5:15">
      <c r="E13" s="213" t="s">
        <v>39</v>
      </c>
      <c r="F13" s="213" t="s">
        <v>2144</v>
      </c>
      <c r="G13" s="213" t="s">
        <v>282</v>
      </c>
      <c r="H13" s="213">
        <v>3285</v>
      </c>
      <c r="I13" s="213">
        <v>3285</v>
      </c>
      <c r="K13" s="214" t="str">
        <f t="shared" si="0"/>
        <v>ADR</v>
      </c>
      <c r="L13" s="214" t="str">
        <f>IF(E13="","",IF(COUNTIFS(Table2[[#All],[De (Lote)]],Input_APM!F13)&gt;0,INDEX(Table2[[#All],[Para (Ticker Daniel)]],MATCH(Input_APM!F13,Table2[[#All],[De (Lote)]],0)),Input_APM!F13))</f>
        <v>BIDU</v>
      </c>
      <c r="M13" s="214" t="str">
        <f t="shared" si="1"/>
        <v>EQTY.IntlUS.off</v>
      </c>
      <c r="N13" s="215">
        <f t="shared" si="2"/>
        <v>3285</v>
      </c>
      <c r="O13" s="215">
        <f t="shared" si="3"/>
        <v>3285</v>
      </c>
    </row>
    <row r="14" spans="5:15">
      <c r="E14" s="213" t="s">
        <v>321</v>
      </c>
      <c r="F14" s="213" t="s">
        <v>295</v>
      </c>
      <c r="G14" s="213" t="s">
        <v>282</v>
      </c>
      <c r="H14" s="213">
        <v>-0.28999999999999998</v>
      </c>
      <c r="I14" s="213">
        <v>-0.28999999999999998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CAD</v>
      </c>
      <c r="M14" s="214" t="str">
        <f t="shared" si="1"/>
        <v>EQTY.IntlUS.off</v>
      </c>
      <c r="N14" s="215">
        <f t="shared" si="2"/>
        <v>-0.28999999999999998</v>
      </c>
      <c r="O14" s="215">
        <f t="shared" si="3"/>
        <v>-0.28999999999999998</v>
      </c>
    </row>
    <row r="15" spans="5:15">
      <c r="E15" s="213" t="s">
        <v>321</v>
      </c>
      <c r="F15" s="213" t="s">
        <v>296</v>
      </c>
      <c r="G15" s="213" t="s">
        <v>283</v>
      </c>
      <c r="H15" s="213">
        <v>0.39</v>
      </c>
      <c r="I15" s="213">
        <v>0.39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CHF</v>
      </c>
      <c r="M15" s="214" t="str">
        <f t="shared" si="1"/>
        <v>EQTY.InternacionalUS2.off</v>
      </c>
      <c r="N15" s="215">
        <f t="shared" si="2"/>
        <v>0.39</v>
      </c>
      <c r="O15" s="215">
        <f t="shared" si="3"/>
        <v>0.39</v>
      </c>
    </row>
    <row r="16" spans="5:15">
      <c r="E16" s="213" t="s">
        <v>321</v>
      </c>
      <c r="F16" s="213" t="s">
        <v>296</v>
      </c>
      <c r="G16" s="213" t="s">
        <v>282</v>
      </c>
      <c r="H16" s="213">
        <v>-34454.449999999997</v>
      </c>
      <c r="I16" s="213">
        <v>-34454.449999999997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CHF</v>
      </c>
      <c r="M16" s="214" t="str">
        <f t="shared" si="1"/>
        <v>EQTY.IntlUS.off</v>
      </c>
      <c r="N16" s="215">
        <f t="shared" si="2"/>
        <v>-34454.449999999997</v>
      </c>
      <c r="O16" s="215">
        <f t="shared" si="3"/>
        <v>-34454.449999999997</v>
      </c>
    </row>
    <row r="17" spans="5:15">
      <c r="E17" s="213" t="s">
        <v>321</v>
      </c>
      <c r="F17" s="213" t="s">
        <v>297</v>
      </c>
      <c r="G17" s="213" t="s">
        <v>282</v>
      </c>
      <c r="H17" s="213">
        <v>-0.36</v>
      </c>
      <c r="I17" s="213">
        <v>-0.36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CNH</v>
      </c>
      <c r="M17" s="214" t="str">
        <f t="shared" si="1"/>
        <v>EQTY.IntlUS.off</v>
      </c>
      <c r="N17" s="215">
        <f t="shared" si="2"/>
        <v>-0.36</v>
      </c>
      <c r="O17" s="215">
        <f t="shared" si="3"/>
        <v>-0.36</v>
      </c>
    </row>
    <row r="18" spans="5:15">
      <c r="E18" s="213" t="s">
        <v>321</v>
      </c>
      <c r="F18" s="213" t="s">
        <v>2127</v>
      </c>
      <c r="G18" s="213" t="s">
        <v>283</v>
      </c>
      <c r="H18" s="213">
        <v>-0.19</v>
      </c>
      <c r="I18" s="213">
        <v>-0.19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CNY</v>
      </c>
      <c r="M18" s="214" t="str">
        <f t="shared" si="1"/>
        <v>EQTY.InternacionalUS2.off</v>
      </c>
      <c r="N18" s="215">
        <f t="shared" si="2"/>
        <v>-0.19</v>
      </c>
      <c r="O18" s="215">
        <f t="shared" si="3"/>
        <v>-0.19</v>
      </c>
    </row>
    <row r="19" spans="5:15">
      <c r="E19" s="213" t="s">
        <v>321</v>
      </c>
      <c r="F19" s="213" t="s">
        <v>2127</v>
      </c>
      <c r="G19" s="213" t="s">
        <v>282</v>
      </c>
      <c r="H19" s="213">
        <v>-143145.81</v>
      </c>
      <c r="I19" s="213">
        <v>-143145.81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CNY</v>
      </c>
      <c r="M19" s="214" t="str">
        <f t="shared" si="1"/>
        <v>EQTY.IntlUS.off</v>
      </c>
      <c r="N19" s="215">
        <f t="shared" si="2"/>
        <v>-143145.81</v>
      </c>
      <c r="O19" s="215">
        <f t="shared" si="3"/>
        <v>-143145.81</v>
      </c>
    </row>
    <row r="20" spans="5:15">
      <c r="E20" s="213" t="s">
        <v>321</v>
      </c>
      <c r="F20" s="213" t="s">
        <v>298</v>
      </c>
      <c r="G20" s="213" t="s">
        <v>283</v>
      </c>
      <c r="H20" s="213">
        <v>-0.15</v>
      </c>
      <c r="I20" s="213">
        <v>-0.15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EUR</v>
      </c>
      <c r="M20" s="214" t="str">
        <f t="shared" si="1"/>
        <v>EQTY.InternacionalUS2.off</v>
      </c>
      <c r="N20" s="215">
        <f t="shared" si="2"/>
        <v>-0.15</v>
      </c>
      <c r="O20" s="215">
        <f t="shared" si="3"/>
        <v>-0.15</v>
      </c>
    </row>
    <row r="21" spans="5:15">
      <c r="E21" s="213" t="s">
        <v>321</v>
      </c>
      <c r="F21" s="213" t="s">
        <v>298</v>
      </c>
      <c r="G21" s="213" t="s">
        <v>282</v>
      </c>
      <c r="H21" s="213">
        <v>40729.67</v>
      </c>
      <c r="I21" s="213">
        <v>-380395.33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EUR</v>
      </c>
      <c r="M21" s="214" t="str">
        <f t="shared" si="1"/>
        <v>EQTY.IntlUS.off</v>
      </c>
      <c r="N21" s="215">
        <f t="shared" si="2"/>
        <v>40729.67</v>
      </c>
      <c r="O21" s="215">
        <f t="shared" si="3"/>
        <v>-380395.33</v>
      </c>
    </row>
    <row r="22" spans="5:15">
      <c r="E22" s="213" t="s">
        <v>321</v>
      </c>
      <c r="F22" s="213" t="s">
        <v>299</v>
      </c>
      <c r="G22" s="213" t="s">
        <v>282</v>
      </c>
      <c r="H22" s="213">
        <v>-0.47</v>
      </c>
      <c r="I22" s="213">
        <v>-0.47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GBP</v>
      </c>
      <c r="M22" s="214" t="str">
        <f t="shared" si="1"/>
        <v>EQTY.IntlUS.off</v>
      </c>
      <c r="N22" s="215">
        <f t="shared" si="2"/>
        <v>-0.47</v>
      </c>
      <c r="O22" s="215">
        <f t="shared" si="3"/>
        <v>-0.47</v>
      </c>
    </row>
    <row r="23" spans="5:15">
      <c r="E23" s="213" t="s">
        <v>321</v>
      </c>
      <c r="F23" s="213" t="s">
        <v>300</v>
      </c>
      <c r="G23" s="213" t="s">
        <v>283</v>
      </c>
      <c r="H23" s="213">
        <v>0.2</v>
      </c>
      <c r="I23" s="213">
        <v>0.2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HKD</v>
      </c>
      <c r="M23" s="214" t="str">
        <f t="shared" si="1"/>
        <v>EQTY.InternacionalUS2.off</v>
      </c>
      <c r="N23" s="215">
        <f t="shared" si="2"/>
        <v>0.2</v>
      </c>
      <c r="O23" s="215">
        <f t="shared" si="3"/>
        <v>0.2</v>
      </c>
    </row>
    <row r="24" spans="5:15">
      <c r="E24" s="213" t="s">
        <v>321</v>
      </c>
      <c r="F24" s="213" t="s">
        <v>300</v>
      </c>
      <c r="G24" s="213" t="s">
        <v>282</v>
      </c>
      <c r="H24" s="213">
        <v>-341409.97</v>
      </c>
      <c r="I24" s="213">
        <v>-341409.97</v>
      </c>
      <c r="K24" s="214" t="str">
        <f t="shared" si="0"/>
        <v>Cash</v>
      </c>
      <c r="L24" s="214" t="str">
        <f>IF(E24="","",IF(COUNTIFS(Table2[[#All],[De (Lote)]],Input_APM!F24)&gt;0,INDEX(Table2[[#All],[Para (Ticker Daniel)]],MATCH(Input_APM!F24,Table2[[#All],[De (Lote)]],0)),Input_APM!F24))</f>
        <v>Cash HKD</v>
      </c>
      <c r="M24" s="214" t="str">
        <f t="shared" si="1"/>
        <v>EQTY.IntlUS.off</v>
      </c>
      <c r="N24" s="215">
        <f t="shared" si="2"/>
        <v>-341409.97</v>
      </c>
      <c r="O24" s="215">
        <f t="shared" si="3"/>
        <v>-341409.97</v>
      </c>
    </row>
    <row r="25" spans="5:15">
      <c r="E25" s="213" t="s">
        <v>321</v>
      </c>
      <c r="F25" s="213" t="s">
        <v>301</v>
      </c>
      <c r="G25" s="213" t="s">
        <v>282</v>
      </c>
      <c r="H25" s="213">
        <v>1.000005E-2</v>
      </c>
      <c r="I25" s="213">
        <v>1.000005E-2</v>
      </c>
      <c r="K25" s="214" t="str">
        <f t="shared" si="0"/>
        <v>Cash</v>
      </c>
      <c r="L25" s="214" t="str">
        <f>IF(E25="","",IF(COUNTIFS(Table2[[#All],[De (Lote)]],Input_APM!F25)&gt;0,INDEX(Table2[[#All],[Para (Ticker Daniel)]],MATCH(Input_APM!F25,Table2[[#All],[De (Lote)]],0)),Input_APM!F25))</f>
        <v>Cash KRW</v>
      </c>
      <c r="M25" s="214" t="str">
        <f t="shared" si="1"/>
        <v>EQTY.IntlUS.off</v>
      </c>
      <c r="N25" s="215">
        <f t="shared" si="2"/>
        <v>1.000005E-2</v>
      </c>
      <c r="O25" s="215">
        <f t="shared" si="3"/>
        <v>1.000005E-2</v>
      </c>
    </row>
    <row r="26" spans="5:15">
      <c r="E26" s="213" t="s">
        <v>321</v>
      </c>
      <c r="F26" s="213" t="s">
        <v>302</v>
      </c>
      <c r="G26" s="213" t="s">
        <v>282</v>
      </c>
      <c r="H26" s="213">
        <v>-2270234.4356468502</v>
      </c>
      <c r="I26" s="213">
        <v>4.3531500000000001E-3</v>
      </c>
      <c r="K26" s="214" t="str">
        <f t="shared" si="0"/>
        <v>Cash</v>
      </c>
      <c r="L26" s="214" t="str">
        <f>IF(E26="","",IF(COUNTIFS(Table2[[#All],[De (Lote)]],Input_APM!F26)&gt;0,INDEX(Table2[[#All],[Para (Ticker Daniel)]],MATCH(Input_APM!F26,Table2[[#All],[De (Lote)]],0)),Input_APM!F26))</f>
        <v>Cash USD</v>
      </c>
      <c r="M26" s="214" t="str">
        <f t="shared" si="1"/>
        <v>EQTY.IntlUS.off</v>
      </c>
      <c r="N26" s="215">
        <f t="shared" si="2"/>
        <v>-2270234.4356468502</v>
      </c>
      <c r="O26" s="215">
        <f t="shared" si="3"/>
        <v>4.3531500000000001E-3</v>
      </c>
    </row>
    <row r="27" spans="5:15">
      <c r="E27" s="213" t="s">
        <v>477</v>
      </c>
      <c r="F27" s="213" t="s">
        <v>1906</v>
      </c>
      <c r="G27" s="213" t="s">
        <v>282</v>
      </c>
      <c r="H27" s="213">
        <v>4625000</v>
      </c>
      <c r="I27" s="213">
        <v>4625000</v>
      </c>
      <c r="K27" s="214" t="str">
        <f t="shared" si="0"/>
        <v>CDS</v>
      </c>
      <c r="L27" s="214" t="str">
        <f>IF(E27="","",IF(COUNTIFS(Table2[[#All],[De (Lote)]],Input_APM!F27)&gt;0,INDEX(Table2[[#All],[Para (Ticker Daniel)]],MATCH(Input_APM!F27,Table2[[#All],[De (Lote)]],0)),Input_APM!F27))</f>
        <v>CHINAGOV 12/20/30</v>
      </c>
      <c r="M27" s="214" t="str">
        <f t="shared" si="1"/>
        <v>EQTY.IntlUS.off</v>
      </c>
      <c r="N27" s="215">
        <f t="shared" si="2"/>
        <v>4625000</v>
      </c>
      <c r="O27" s="215">
        <f t="shared" si="3"/>
        <v>4625000</v>
      </c>
    </row>
    <row r="28" spans="5:15">
      <c r="E28" s="213" t="s">
        <v>320</v>
      </c>
      <c r="F28" s="213" t="s">
        <v>484</v>
      </c>
      <c r="G28" s="213" t="s">
        <v>282</v>
      </c>
      <c r="H28" s="213">
        <v>0</v>
      </c>
      <c r="I28" s="213">
        <v>5623</v>
      </c>
      <c r="K28" s="214" t="str">
        <f t="shared" si="0"/>
        <v>ETF</v>
      </c>
      <c r="L28" s="214" t="str">
        <f>IF(E28="","",IF(COUNTIFS(Table2[[#All],[De (Lote)]],Input_APM!F28)&gt;0,INDEX(Table2[[#All],[Para (Ticker Daniel)]],MATCH(Input_APM!F28,Table2[[#All],[De (Lote)]],0)),Input_APM!F28))</f>
        <v>COPX</v>
      </c>
      <c r="M28" s="214" t="str">
        <f t="shared" si="1"/>
        <v>EQTY.IntlUS.off</v>
      </c>
      <c r="N28" s="215">
        <f t="shared" si="2"/>
        <v>0</v>
      </c>
      <c r="O28" s="215">
        <f t="shared" si="3"/>
        <v>5623</v>
      </c>
    </row>
    <row r="29" spans="5:15">
      <c r="E29" s="213" t="s">
        <v>317</v>
      </c>
      <c r="F29" s="213" t="s">
        <v>2364</v>
      </c>
      <c r="G29" s="213" t="s">
        <v>282</v>
      </c>
      <c r="H29" s="213">
        <v>0</v>
      </c>
      <c r="I29" s="213">
        <v>0</v>
      </c>
      <c r="K29" s="214" t="str">
        <f t="shared" si="0"/>
        <v>US Equity</v>
      </c>
      <c r="L29" s="214" t="str">
        <f>IF(E29="","",IF(COUNTIFS(Table2[[#All],[De (Lote)]],Input_APM!F29)&gt;0,INDEX(Table2[[#All],[Para (Ticker Daniel)]],MATCH(Input_APM!F29,Table2[[#All],[De (Lote)]],0)),Input_APM!F29))</f>
        <v>CRDO</v>
      </c>
      <c r="M29" s="214" t="str">
        <f t="shared" si="1"/>
        <v>EQTY.IntlUS.off</v>
      </c>
      <c r="N29" s="215">
        <f t="shared" si="2"/>
        <v>0</v>
      </c>
      <c r="O29" s="215">
        <f t="shared" si="3"/>
        <v>0</v>
      </c>
    </row>
    <row r="30" spans="5:15">
      <c r="E30" s="213" t="s">
        <v>320</v>
      </c>
      <c r="F30" s="213" t="s">
        <v>1754</v>
      </c>
      <c r="G30" s="213" t="s">
        <v>282</v>
      </c>
      <c r="H30" s="213">
        <v>39308</v>
      </c>
      <c r="I30" s="213">
        <v>39308</v>
      </c>
      <c r="K30" s="214" t="str">
        <f t="shared" si="0"/>
        <v>ETF</v>
      </c>
      <c r="L30" s="214" t="str">
        <f>IF(E30="","",IF(COUNTIFS(Table2[[#All],[De (Lote)]],Input_APM!F30)&gt;0,INDEX(Table2[[#All],[Para (Ticker Daniel)]],MATCH(Input_APM!F30,Table2[[#All],[De (Lote)]],0)),Input_APM!F30))</f>
        <v>EWY</v>
      </c>
      <c r="M30" s="214" t="str">
        <f t="shared" si="1"/>
        <v>EQTY.IntlUS.off</v>
      </c>
      <c r="N30" s="215">
        <f t="shared" si="2"/>
        <v>39308</v>
      </c>
      <c r="O30" s="215">
        <f t="shared" si="3"/>
        <v>39308</v>
      </c>
    </row>
    <row r="31" spans="5:15">
      <c r="E31" s="213" t="s">
        <v>320</v>
      </c>
      <c r="F31" s="213" t="s">
        <v>131</v>
      </c>
      <c r="G31" s="213" t="s">
        <v>282</v>
      </c>
      <c r="H31" s="213">
        <v>13842</v>
      </c>
      <c r="I31" s="213">
        <v>13842</v>
      </c>
      <c r="K31" s="214" t="str">
        <f t="shared" si="0"/>
        <v>ETF</v>
      </c>
      <c r="L31" s="214" t="str">
        <f>IF(E31="","",IF(COUNTIFS(Table2[[#All],[De (Lote)]],Input_APM!F31)&gt;0,INDEX(Table2[[#All],[Para (Ticker Daniel)]],MATCH(Input_APM!F31,Table2[[#All],[De (Lote)]],0)),Input_APM!F31))</f>
        <v xml:space="preserve">GDX </v>
      </c>
      <c r="M31" s="214" t="str">
        <f t="shared" si="1"/>
        <v>EQTY.IntlUS.off</v>
      </c>
      <c r="N31" s="215">
        <f t="shared" si="2"/>
        <v>13842</v>
      </c>
      <c r="O31" s="215">
        <f t="shared" si="3"/>
        <v>13842</v>
      </c>
    </row>
    <row r="32" spans="5:15">
      <c r="E32" s="213" t="s">
        <v>324</v>
      </c>
      <c r="F32" s="213" t="s">
        <v>2281</v>
      </c>
      <c r="G32" s="213" t="s">
        <v>282</v>
      </c>
      <c r="H32" s="213">
        <v>1031</v>
      </c>
      <c r="I32" s="213">
        <v>1031</v>
      </c>
      <c r="K32" s="214" t="str">
        <f t="shared" si="0"/>
        <v>ETF Options</v>
      </c>
      <c r="L32" s="214" t="str">
        <f>IF(E32="","",IF(COUNTIFS(Table2[[#All],[De (Lote)]],Input_APM!F32)&gt;0,INDEX(Table2[[#All],[Para (Ticker Daniel)]],MATCH(Input_APM!F32,Table2[[#All],[De (Lote)]],0)),Input_APM!F32))</f>
        <v>GDX US 09/18/26 C105</v>
      </c>
      <c r="M32" s="214" t="str">
        <f t="shared" si="1"/>
        <v>EQTY.IntlUS.off</v>
      </c>
      <c r="N32" s="215">
        <f t="shared" si="2"/>
        <v>1031</v>
      </c>
      <c r="O32" s="215">
        <f t="shared" si="3"/>
        <v>1031</v>
      </c>
    </row>
    <row r="33" spans="5:15">
      <c r="E33" s="213" t="s">
        <v>324</v>
      </c>
      <c r="F33" s="213" t="s">
        <v>2282</v>
      </c>
      <c r="G33" s="213" t="s">
        <v>282</v>
      </c>
      <c r="H33" s="213">
        <v>-1031</v>
      </c>
      <c r="I33" s="213">
        <v>-1031</v>
      </c>
      <c r="K33" s="214" t="str">
        <f t="shared" si="0"/>
        <v>ETF Options</v>
      </c>
      <c r="L33" s="214" t="str">
        <f>IF(E33="","",IF(COUNTIFS(Table2[[#All],[De (Lote)]],Input_APM!F33)&gt;0,INDEX(Table2[[#All],[Para (Ticker Daniel)]],MATCH(Input_APM!F33,Table2[[#All],[De (Lote)]],0)),Input_APM!F33))</f>
        <v>GDX US 09/18/26 C115</v>
      </c>
      <c r="M33" s="214" t="str">
        <f t="shared" si="1"/>
        <v>EQTY.IntlUS.off</v>
      </c>
      <c r="N33" s="215">
        <f t="shared" si="2"/>
        <v>-1031</v>
      </c>
      <c r="O33" s="215">
        <f t="shared" si="3"/>
        <v>-1031</v>
      </c>
    </row>
    <row r="34" spans="5:15">
      <c r="E34" s="213" t="s">
        <v>317</v>
      </c>
      <c r="F34" s="213" t="s">
        <v>2152</v>
      </c>
      <c r="G34" s="213" t="s">
        <v>282</v>
      </c>
      <c r="H34" s="213">
        <v>13873</v>
      </c>
      <c r="I34" s="213">
        <v>13873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GOOG</v>
      </c>
      <c r="M34" s="214" t="str">
        <f t="shared" si="1"/>
        <v>EQTY.IntlUS.off</v>
      </c>
      <c r="N34" s="215">
        <f t="shared" si="2"/>
        <v>13873</v>
      </c>
      <c r="O34" s="215">
        <f t="shared" si="3"/>
        <v>13873</v>
      </c>
    </row>
    <row r="35" spans="5:15">
      <c r="E35" s="213" t="s">
        <v>325</v>
      </c>
      <c r="F35" s="213" t="s">
        <v>1896</v>
      </c>
      <c r="G35" s="213" t="s">
        <v>282</v>
      </c>
      <c r="H35" s="213">
        <v>276451</v>
      </c>
      <c r="I35" s="213">
        <v>276451</v>
      </c>
      <c r="K35" s="214" t="str">
        <f t="shared" si="0"/>
        <v>Basket Index Options</v>
      </c>
      <c r="L35" s="214" t="str">
        <f>IF(E35="","",IF(COUNTIFS(Table2[[#All],[De (Lote)]],Input_APM!F35)&gt;0,INDEX(Table2[[#All],[Para (Ticker Daniel)]],MATCH(Input_APM!F35,Table2[[#All],[De (Lote)]],0)),Input_APM!F35))</f>
        <v>GSC1000P 03/20/26 C104</v>
      </c>
      <c r="M35" s="214" t="str">
        <f t="shared" si="1"/>
        <v>EQTY.IntlUS.off</v>
      </c>
      <c r="N35" s="215">
        <f t="shared" si="2"/>
        <v>276451</v>
      </c>
      <c r="O35" s="215">
        <f t="shared" si="3"/>
        <v>276451</v>
      </c>
    </row>
    <row r="36" spans="5:15">
      <c r="E36" s="213" t="s">
        <v>325</v>
      </c>
      <c r="F36" s="213" t="s">
        <v>1897</v>
      </c>
      <c r="G36" s="213" t="s">
        <v>282</v>
      </c>
      <c r="H36" s="213">
        <v>-276451</v>
      </c>
      <c r="I36" s="213">
        <v>-276451</v>
      </c>
      <c r="K36" s="214" t="str">
        <f t="shared" si="0"/>
        <v>Basket Index Options</v>
      </c>
      <c r="L36" s="214" t="str">
        <f>IF(E36="","",IF(COUNTIFS(Table2[[#All],[De (Lote)]],Input_APM!F36)&gt;0,INDEX(Table2[[#All],[Para (Ticker Daniel)]],MATCH(Input_APM!F36,Table2[[#All],[De (Lote)]],0)),Input_APM!F36))</f>
        <v>GSC1000P 03/20/26 C119</v>
      </c>
      <c r="M36" s="214" t="str">
        <f t="shared" si="1"/>
        <v>EQTY.IntlUS.off</v>
      </c>
      <c r="N36" s="215">
        <f t="shared" si="2"/>
        <v>-276451</v>
      </c>
      <c r="O36" s="215">
        <f t="shared" si="3"/>
        <v>-276451</v>
      </c>
    </row>
    <row r="37" spans="5:15">
      <c r="E37" s="213" t="s">
        <v>317</v>
      </c>
      <c r="F37" s="213" t="s">
        <v>708</v>
      </c>
      <c r="G37" s="213" t="s">
        <v>282</v>
      </c>
      <c r="H37" s="213">
        <v>6565</v>
      </c>
      <c r="I37" s="213">
        <v>0</v>
      </c>
      <c r="K37" s="214" t="str">
        <f t="shared" si="0"/>
        <v>US Equity</v>
      </c>
      <c r="L37" s="214" t="str">
        <f>IF(E37="","",IF(COUNTIFS(Table2[[#All],[De (Lote)]],Input_APM!F37)&gt;0,INDEX(Table2[[#All],[Para (Ticker Daniel)]],MATCH(Input_APM!F37,Table2[[#All],[De (Lote)]],0)),Input_APM!F37))</f>
        <v>INTC</v>
      </c>
      <c r="M37" s="214" t="str">
        <f t="shared" si="1"/>
        <v>EQTY.IntlUS.off</v>
      </c>
      <c r="N37" s="215">
        <f t="shared" si="2"/>
        <v>6565</v>
      </c>
      <c r="O37" s="215">
        <f t="shared" si="3"/>
        <v>0</v>
      </c>
    </row>
    <row r="38" spans="5:15">
      <c r="E38" s="213" t="s">
        <v>317</v>
      </c>
      <c r="F38" s="213" t="s">
        <v>2284</v>
      </c>
      <c r="G38" s="213" t="s">
        <v>282</v>
      </c>
      <c r="H38" s="213">
        <v>-9374</v>
      </c>
      <c r="I38" s="213">
        <v>-9374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-9374</v>
      </c>
      <c r="O38" s="215">
        <f t="shared" si="3"/>
        <v>-9374</v>
      </c>
    </row>
    <row r="39" spans="5:15">
      <c r="E39" s="213" t="s">
        <v>2365</v>
      </c>
      <c r="F39" s="213" t="s">
        <v>2341</v>
      </c>
      <c r="G39" s="213" t="s">
        <v>282</v>
      </c>
      <c r="H39" s="213">
        <v>10349446</v>
      </c>
      <c r="I39" s="213">
        <v>0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0</v>
      </c>
    </row>
    <row r="40" spans="5:15">
      <c r="E40" s="213" t="s">
        <v>317</v>
      </c>
      <c r="F40" s="213" t="s">
        <v>2064</v>
      </c>
      <c r="G40" s="213" t="s">
        <v>282</v>
      </c>
      <c r="H40" s="213">
        <v>1123</v>
      </c>
      <c r="I40" s="213">
        <v>1123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1123</v>
      </c>
      <c r="O40" s="215">
        <f t="shared" si="3"/>
        <v>1123</v>
      </c>
    </row>
    <row r="41" spans="5:15">
      <c r="E41" s="213" t="s">
        <v>319</v>
      </c>
      <c r="F41" s="213" t="s">
        <v>2075</v>
      </c>
      <c r="G41" s="213" t="s">
        <v>282</v>
      </c>
      <c r="H41" s="213">
        <v>0</v>
      </c>
      <c r="I41" s="213">
        <v>54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02/20/26 C400</v>
      </c>
      <c r="M41" s="214" t="str">
        <f t="shared" si="1"/>
        <v>EQTY.IntlUS.off</v>
      </c>
      <c r="N41" s="215">
        <f t="shared" si="2"/>
        <v>0</v>
      </c>
      <c r="O41" s="215">
        <f t="shared" si="3"/>
        <v>54</v>
      </c>
    </row>
    <row r="42" spans="5:15">
      <c r="E42" s="213" t="s">
        <v>319</v>
      </c>
      <c r="F42" s="213" t="s">
        <v>2316</v>
      </c>
      <c r="G42" s="213" t="s">
        <v>282</v>
      </c>
      <c r="H42" s="213">
        <v>56</v>
      </c>
      <c r="I42" s="213">
        <v>0</v>
      </c>
      <c r="K42" s="214" t="str">
        <f t="shared" si="0"/>
        <v>US Equity Options</v>
      </c>
      <c r="L42" s="214" t="str">
        <f>IF(E42="","",IF(COUNTIFS(Table2[[#All],[De (Lote)]],Input_APM!F42)&gt;0,INDEX(Table2[[#All],[Para (Ticker Daniel)]],MATCH(Input_APM!F42,Table2[[#All],[De (Lote)]],0)),Input_APM!F42))</f>
        <v>LITE US 03/20/26 C420</v>
      </c>
      <c r="M42" s="214" t="str">
        <f t="shared" si="1"/>
        <v>EQTY.IntlUS.off</v>
      </c>
      <c r="N42" s="215">
        <f t="shared" si="2"/>
        <v>56</v>
      </c>
      <c r="O42" s="215">
        <f t="shared" si="3"/>
        <v>0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1252</v>
      </c>
      <c r="I43" s="213">
        <v>5618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META</v>
      </c>
      <c r="M43" s="214" t="str">
        <f t="shared" si="1"/>
        <v>EQTY.IntlUS.off</v>
      </c>
      <c r="N43" s="215">
        <f t="shared" si="2"/>
        <v>1252</v>
      </c>
      <c r="O43" s="215">
        <f t="shared" si="3"/>
        <v>5618</v>
      </c>
    </row>
    <row r="44" spans="5:15">
      <c r="E44" s="213" t="s">
        <v>319</v>
      </c>
      <c r="F44" s="213" t="s">
        <v>2069</v>
      </c>
      <c r="G44" s="213" t="s">
        <v>282</v>
      </c>
      <c r="H44" s="213">
        <v>57</v>
      </c>
      <c r="I44" s="213">
        <v>57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04/17/26 C690</v>
      </c>
      <c r="M44" s="214" t="str">
        <f t="shared" si="1"/>
        <v>EQTY.IntlUS.off</v>
      </c>
      <c r="N44" s="215">
        <f t="shared" si="2"/>
        <v>57</v>
      </c>
      <c r="O44" s="215">
        <f t="shared" si="3"/>
        <v>57</v>
      </c>
    </row>
    <row r="45" spans="5:15">
      <c r="E45" s="213" t="s">
        <v>319</v>
      </c>
      <c r="F45" s="213" t="s">
        <v>2110</v>
      </c>
      <c r="G45" s="213" t="s">
        <v>282</v>
      </c>
      <c r="H45" s="213">
        <v>0</v>
      </c>
      <c r="I45" s="213">
        <v>19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META US 04/17/26 P570</v>
      </c>
      <c r="M45" s="214" t="str">
        <f t="shared" si="1"/>
        <v>EQTY.IntlUS.off</v>
      </c>
      <c r="N45" s="215">
        <f t="shared" si="2"/>
        <v>0</v>
      </c>
      <c r="O45" s="215">
        <f t="shared" si="3"/>
        <v>19</v>
      </c>
    </row>
    <row r="46" spans="5:15">
      <c r="E46" s="213" t="s">
        <v>319</v>
      </c>
      <c r="F46" s="213" t="s">
        <v>2109</v>
      </c>
      <c r="G46" s="213" t="s">
        <v>282</v>
      </c>
      <c r="H46" s="213">
        <v>0</v>
      </c>
      <c r="I46" s="213">
        <v>-19</v>
      </c>
      <c r="K46" s="214" t="str">
        <f t="shared" si="0"/>
        <v>US Equity Options</v>
      </c>
      <c r="L46" s="214" t="str">
        <f>IF(E46="","",IF(COUNTIFS(Table2[[#All],[De (Lote)]],Input_APM!F46)&gt;0,INDEX(Table2[[#All],[Para (Ticker Daniel)]],MATCH(Input_APM!F46,Table2[[#All],[De (Lote)]],0)),Input_APM!F46))</f>
        <v>META US 04/17/26 P600</v>
      </c>
      <c r="M46" s="214" t="str">
        <f t="shared" si="1"/>
        <v>EQTY.IntlUS.off</v>
      </c>
      <c r="N46" s="215">
        <f t="shared" si="2"/>
        <v>0</v>
      </c>
      <c r="O46" s="215">
        <f t="shared" si="3"/>
        <v>-19</v>
      </c>
    </row>
    <row r="47" spans="5:15">
      <c r="E47" s="213" t="s">
        <v>319</v>
      </c>
      <c r="F47" s="213" t="s">
        <v>2319</v>
      </c>
      <c r="G47" s="213" t="s">
        <v>282</v>
      </c>
      <c r="H47" s="213">
        <v>73</v>
      </c>
      <c r="I47" s="213">
        <v>0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META US 07/17/26 C670</v>
      </c>
      <c r="M47" s="214" t="str">
        <f t="shared" si="1"/>
        <v>EQTY.IntlUS.off</v>
      </c>
      <c r="N47" s="215">
        <f t="shared" si="2"/>
        <v>73</v>
      </c>
      <c r="O47" s="215">
        <f t="shared" si="3"/>
        <v>0</v>
      </c>
    </row>
    <row r="48" spans="5:15">
      <c r="E48" s="213" t="s">
        <v>317</v>
      </c>
      <c r="F48" s="213" t="s">
        <v>138</v>
      </c>
      <c r="G48" s="213" t="s">
        <v>282</v>
      </c>
      <c r="H48" s="213">
        <v>-46</v>
      </c>
      <c r="I48" s="213">
        <v>-46</v>
      </c>
      <c r="K48" s="214" t="str">
        <f t="shared" si="0"/>
        <v>US Equity</v>
      </c>
      <c r="L48" s="214" t="str">
        <f>IF(E48="","",IF(COUNTIFS(Table2[[#All],[De (Lote)]],Input_APM!F48)&gt;0,INDEX(Table2[[#All],[Para (Ticker Daniel)]],MATCH(Input_APM!F48,Table2[[#All],[De (Lote)]],0)),Input_APM!F48))</f>
        <v>MRVL</v>
      </c>
      <c r="M48" s="214" t="str">
        <f t="shared" si="1"/>
        <v>EQTY.IntlUS.off</v>
      </c>
      <c r="N48" s="215">
        <f t="shared" si="2"/>
        <v>-46</v>
      </c>
      <c r="O48" s="215">
        <f t="shared" si="3"/>
        <v>-46</v>
      </c>
    </row>
    <row r="49" spans="5:15">
      <c r="E49" s="213" t="s">
        <v>319</v>
      </c>
      <c r="F49" s="213" t="s">
        <v>2297</v>
      </c>
      <c r="G49" s="213" t="s">
        <v>282</v>
      </c>
      <c r="H49" s="213">
        <v>-141</v>
      </c>
      <c r="I49" s="213">
        <v>-141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P70</v>
      </c>
      <c r="M49" s="214" t="str">
        <f t="shared" si="1"/>
        <v>EQTY.IntlUS.off</v>
      </c>
      <c r="N49" s="215">
        <f t="shared" si="2"/>
        <v>-141</v>
      </c>
      <c r="O49" s="215">
        <f t="shared" si="3"/>
        <v>-141</v>
      </c>
    </row>
    <row r="50" spans="5:15">
      <c r="E50" s="213" t="s">
        <v>319</v>
      </c>
      <c r="F50" s="213" t="s">
        <v>2099</v>
      </c>
      <c r="G50" s="213" t="s">
        <v>282</v>
      </c>
      <c r="H50" s="213">
        <v>-188</v>
      </c>
      <c r="I50" s="213">
        <v>-188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MRVL US 03/20/26 P75</v>
      </c>
      <c r="M50" s="214" t="str">
        <f t="shared" si="1"/>
        <v>EQTY.IntlUS.off</v>
      </c>
      <c r="N50" s="215">
        <f t="shared" si="2"/>
        <v>-188</v>
      </c>
      <c r="O50" s="215">
        <f t="shared" si="3"/>
        <v>-188</v>
      </c>
    </row>
    <row r="51" spans="5:15">
      <c r="E51" s="213" t="s">
        <v>319</v>
      </c>
      <c r="F51" s="213" t="s">
        <v>2059</v>
      </c>
      <c r="G51" s="213" t="s">
        <v>282</v>
      </c>
      <c r="H51" s="213">
        <v>141</v>
      </c>
      <c r="I51" s="213">
        <v>141</v>
      </c>
      <c r="K51" s="214" t="str">
        <f t="shared" si="0"/>
        <v>US Equity Options</v>
      </c>
      <c r="L51" s="214" t="str">
        <f>IF(E51="","",IF(COUNTIFS(Table2[[#All],[De (Lote)]],Input_APM!F51)&gt;0,INDEX(Table2[[#All],[Para (Ticker Daniel)]],MATCH(Input_APM!F51,Table2[[#All],[De (Lote)]],0)),Input_APM!F51))</f>
        <v>MRVL US 03/20/26 P80</v>
      </c>
      <c r="M51" s="214" t="str">
        <f t="shared" si="1"/>
        <v>EQTY.IntlUS.off</v>
      </c>
      <c r="N51" s="215">
        <f t="shared" si="2"/>
        <v>141</v>
      </c>
      <c r="O51" s="215">
        <f t="shared" si="3"/>
        <v>141</v>
      </c>
    </row>
    <row r="52" spans="5:15">
      <c r="E52" s="213" t="s">
        <v>319</v>
      </c>
      <c r="F52" s="213" t="s">
        <v>2098</v>
      </c>
      <c r="G52" s="213" t="s">
        <v>282</v>
      </c>
      <c r="H52" s="213">
        <v>186</v>
      </c>
      <c r="I52" s="213">
        <v>186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MRVL US 03/20/26 P85</v>
      </c>
      <c r="M52" s="214" t="str">
        <f t="shared" si="1"/>
        <v>EQTY.IntlUS.off</v>
      </c>
      <c r="N52" s="215">
        <f t="shared" si="2"/>
        <v>186</v>
      </c>
      <c r="O52" s="215">
        <f t="shared" si="3"/>
        <v>186</v>
      </c>
    </row>
    <row r="53" spans="5:15">
      <c r="E53" s="213" t="s">
        <v>317</v>
      </c>
      <c r="F53" s="213" t="s">
        <v>90</v>
      </c>
      <c r="G53" s="213" t="s">
        <v>282</v>
      </c>
      <c r="H53" s="213">
        <v>3270</v>
      </c>
      <c r="I53" s="213">
        <v>3270</v>
      </c>
      <c r="K53" s="214" t="str">
        <f t="shared" si="0"/>
        <v>US Equity</v>
      </c>
      <c r="L53" s="214" t="str">
        <f>IF(E53="","",IF(COUNTIFS(Table2[[#All],[De (Lote)]],Input_APM!F53)&gt;0,INDEX(Table2[[#All],[Para (Ticker Daniel)]],MATCH(Input_APM!F53,Table2[[#All],[De (Lote)]],0)),Input_APM!F53))</f>
        <v>MSFT</v>
      </c>
      <c r="M53" s="214" t="str">
        <f t="shared" si="1"/>
        <v>EQTY.IntlUS.off</v>
      </c>
      <c r="N53" s="215">
        <f t="shared" si="2"/>
        <v>3270</v>
      </c>
      <c r="O53" s="215">
        <f t="shared" si="3"/>
        <v>3270</v>
      </c>
    </row>
    <row r="54" spans="5:15">
      <c r="E54" s="213" t="s">
        <v>319</v>
      </c>
      <c r="F54" s="213" t="s">
        <v>2050</v>
      </c>
      <c r="G54" s="213" t="s">
        <v>282</v>
      </c>
      <c r="H54" s="213">
        <v>-46</v>
      </c>
      <c r="I54" s="213">
        <v>-46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MSFT US 03/20/26 P465</v>
      </c>
      <c r="M54" s="214" t="str">
        <f t="shared" si="1"/>
        <v>EQTY.IntlUS.off</v>
      </c>
      <c r="N54" s="215">
        <f t="shared" si="2"/>
        <v>-46</v>
      </c>
      <c r="O54" s="215">
        <f t="shared" si="3"/>
        <v>-46</v>
      </c>
    </row>
    <row r="55" spans="5:15">
      <c r="E55" s="213" t="s">
        <v>319</v>
      </c>
      <c r="F55" s="213" t="s">
        <v>2321</v>
      </c>
      <c r="G55" s="213" t="s">
        <v>282</v>
      </c>
      <c r="H55" s="213">
        <v>24</v>
      </c>
      <c r="I55" s="213">
        <v>0</v>
      </c>
      <c r="K55" s="214" t="str">
        <f t="shared" si="0"/>
        <v>US Equity Options</v>
      </c>
      <c r="L55" s="214" t="str">
        <f>IF(E55="","",IF(COUNTIFS(Table2[[#All],[De (Lote)]],Input_APM!F55)&gt;0,INDEX(Table2[[#All],[Para (Ticker Daniel)]],MATCH(Input_APM!F55,Table2[[#All],[De (Lote)]],0)),Input_APM!F55))</f>
        <v>MSFT US 07/17/26 C465</v>
      </c>
      <c r="M55" s="214" t="str">
        <f t="shared" si="1"/>
        <v>EQTY.IntlUS.off</v>
      </c>
      <c r="N55" s="215">
        <f t="shared" si="2"/>
        <v>24</v>
      </c>
      <c r="O55" s="215">
        <f t="shared" si="3"/>
        <v>0</v>
      </c>
    </row>
    <row r="56" spans="5:15">
      <c r="E56" s="213" t="s">
        <v>317</v>
      </c>
      <c r="F56" s="213" t="s">
        <v>94</v>
      </c>
      <c r="G56" s="213" t="s">
        <v>282</v>
      </c>
      <c r="H56" s="213">
        <v>21522</v>
      </c>
      <c r="I56" s="213">
        <v>21522</v>
      </c>
      <c r="K56" s="214" t="str">
        <f t="shared" si="0"/>
        <v>US Equity</v>
      </c>
      <c r="L56" s="214" t="str">
        <f>IF(E56="","",IF(COUNTIFS(Table2[[#All],[De (Lote)]],Input_APM!F56)&gt;0,INDEX(Table2[[#All],[Para (Ticker Daniel)]],MATCH(Input_APM!F56,Table2[[#All],[De (Lote)]],0)),Input_APM!F56))</f>
        <v>NVDA</v>
      </c>
      <c r="M56" s="214" t="str">
        <f t="shared" si="1"/>
        <v>EQTY.IntlUS.off</v>
      </c>
      <c r="N56" s="215">
        <f t="shared" si="2"/>
        <v>21522</v>
      </c>
      <c r="O56" s="215">
        <f t="shared" si="3"/>
        <v>21522</v>
      </c>
    </row>
    <row r="57" spans="5:15">
      <c r="E57" s="213" t="s">
        <v>318</v>
      </c>
      <c r="F57" s="213" t="s">
        <v>2323</v>
      </c>
      <c r="G57" s="213" t="s">
        <v>282</v>
      </c>
      <c r="H57" s="213">
        <v>29660</v>
      </c>
      <c r="I57" s="213">
        <v>175280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CME USD_</v>
      </c>
      <c r="M57" s="214" t="str">
        <f t="shared" si="1"/>
        <v>EQTY.IntlUS.off</v>
      </c>
      <c r="N57" s="215">
        <f t="shared" si="2"/>
        <v>29660</v>
      </c>
      <c r="O57" s="215">
        <f t="shared" si="3"/>
        <v>175280</v>
      </c>
    </row>
    <row r="58" spans="5:15">
      <c r="E58" s="213" t="s">
        <v>318</v>
      </c>
      <c r="F58" s="213" t="s">
        <v>336</v>
      </c>
      <c r="G58" s="213" t="s">
        <v>282</v>
      </c>
      <c r="H58" s="213">
        <v>-126597</v>
      </c>
      <c r="I58" s="213">
        <v>-14070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ETF Options USD_</v>
      </c>
      <c r="M58" s="214" t="str">
        <f t="shared" si="1"/>
        <v>EQTY.IntlUS.off</v>
      </c>
      <c r="N58" s="215">
        <f t="shared" si="2"/>
        <v>-126597</v>
      </c>
      <c r="O58" s="215">
        <f t="shared" si="3"/>
        <v>-14070</v>
      </c>
    </row>
    <row r="59" spans="5:15">
      <c r="E59" s="213" t="s">
        <v>318</v>
      </c>
      <c r="F59" s="213" t="s">
        <v>306</v>
      </c>
      <c r="G59" s="213" t="s">
        <v>282</v>
      </c>
      <c r="H59" s="213">
        <v>464349.1</v>
      </c>
      <c r="I59" s="213">
        <v>-931347.84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ETF USD_</v>
      </c>
      <c r="M59" s="214" t="str">
        <f t="shared" si="1"/>
        <v>EQTY.IntlUS.off</v>
      </c>
      <c r="N59" s="215">
        <f t="shared" si="2"/>
        <v>464349.1</v>
      </c>
      <c r="O59" s="215">
        <f t="shared" si="3"/>
        <v>-931347.84</v>
      </c>
    </row>
    <row r="60" spans="5:15">
      <c r="E60" s="213" t="s">
        <v>318</v>
      </c>
      <c r="F60" s="213" t="s">
        <v>2293</v>
      </c>
      <c r="G60" s="213" t="s">
        <v>282</v>
      </c>
      <c r="H60" s="213">
        <v>0</v>
      </c>
      <c r="I60" s="213">
        <v>421125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EUR Equity EUR_</v>
      </c>
      <c r="M60" s="214" t="str">
        <f t="shared" si="1"/>
        <v>EQTY.IntlUS.off</v>
      </c>
      <c r="N60" s="215">
        <f t="shared" si="2"/>
        <v>0</v>
      </c>
      <c r="O60" s="215">
        <f t="shared" si="3"/>
        <v>421125</v>
      </c>
    </row>
    <row r="61" spans="5:15">
      <c r="E61" s="213" t="s">
        <v>318</v>
      </c>
      <c r="F61" s="213" t="s">
        <v>2366</v>
      </c>
      <c r="G61" s="213" t="s">
        <v>282</v>
      </c>
      <c r="H61" s="213">
        <v>-118304.52</v>
      </c>
      <c r="I61" s="213">
        <v>0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Korea Exchange USD_</v>
      </c>
      <c r="M61" s="214" t="str">
        <f t="shared" si="1"/>
        <v>EQTY.IntlUS.off</v>
      </c>
      <c r="N61" s="215">
        <f t="shared" si="2"/>
        <v>-118304.52</v>
      </c>
      <c r="O61" s="215">
        <f t="shared" si="3"/>
        <v>0</v>
      </c>
    </row>
    <row r="62" spans="5:15">
      <c r="E62" s="213" t="s">
        <v>318</v>
      </c>
      <c r="F62" s="213" t="s">
        <v>1666</v>
      </c>
      <c r="G62" s="213" t="s">
        <v>282</v>
      </c>
      <c r="H62" s="213">
        <v>1309578.25</v>
      </c>
      <c r="I62" s="213">
        <v>-538494.27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NYSE USD_</v>
      </c>
      <c r="M62" s="214" t="str">
        <f t="shared" si="1"/>
        <v>EQTY.IntlUS.off</v>
      </c>
      <c r="N62" s="215">
        <f t="shared" si="2"/>
        <v>1309578.25</v>
      </c>
      <c r="O62" s="215">
        <f t="shared" si="3"/>
        <v>-538494.27</v>
      </c>
    </row>
    <row r="63" spans="5:15">
      <c r="E63" s="213" t="s">
        <v>318</v>
      </c>
      <c r="F63" s="213" t="s">
        <v>2294</v>
      </c>
      <c r="G63" s="213" t="s">
        <v>282</v>
      </c>
      <c r="H63" s="213">
        <v>0</v>
      </c>
      <c r="I63" s="213">
        <v>11296.11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Total Return Swap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11296.11</v>
      </c>
    </row>
    <row r="64" spans="5:15">
      <c r="E64" s="213" t="s">
        <v>318</v>
      </c>
      <c r="F64" s="213" t="s">
        <v>337</v>
      </c>
      <c r="G64" s="213" t="s">
        <v>282</v>
      </c>
      <c r="H64" s="213">
        <v>-899723</v>
      </c>
      <c r="I64" s="213">
        <v>52635</v>
      </c>
      <c r="K64" s="214" t="str">
        <f t="shared" si="0"/>
        <v>Provisions and Costs</v>
      </c>
      <c r="L64" s="214" t="str">
        <f>IF(E64="","",IF(COUNTIFS(Table2[[#All],[De (Lote)]],Input_APM!F64)&gt;0,INDEX(Table2[[#All],[Para (Ticker Daniel)]],MATCH(Input_APM!F64,Table2[[#All],[De (Lote)]],0)),Input_APM!F64))</f>
        <v>Provision US Equity Options USD_</v>
      </c>
      <c r="M64" s="214" t="str">
        <f t="shared" si="1"/>
        <v>EQTY.IntlUS.off</v>
      </c>
      <c r="N64" s="215">
        <f t="shared" si="2"/>
        <v>-899723</v>
      </c>
      <c r="O64" s="215">
        <f t="shared" si="3"/>
        <v>52635</v>
      </c>
    </row>
    <row r="65" spans="5:15">
      <c r="E65" s="213" t="s">
        <v>318</v>
      </c>
      <c r="F65" s="213" t="s">
        <v>307</v>
      </c>
      <c r="G65" s="213" t="s">
        <v>282</v>
      </c>
      <c r="H65" s="213">
        <v>3511961.12</v>
      </c>
      <c r="I65" s="213">
        <v>-1025533.4399999999</v>
      </c>
      <c r="K65" s="214" t="str">
        <f t="shared" si="0"/>
        <v>Provisions and Costs</v>
      </c>
      <c r="L65" s="214" t="str">
        <f>IF(E65="","",IF(COUNTIFS(Table2[[#All],[De (Lote)]],Input_APM!F65)&gt;0,INDEX(Table2[[#All],[Para (Ticker Daniel)]],MATCH(Input_APM!F65,Table2[[#All],[De (Lote)]],0)),Input_APM!F65))</f>
        <v>Provision US Equity USD_</v>
      </c>
      <c r="M65" s="214" t="str">
        <f t="shared" si="1"/>
        <v>EQTY.IntlUS.off</v>
      </c>
      <c r="N65" s="215">
        <f t="shared" si="2"/>
        <v>3511961.12</v>
      </c>
      <c r="O65" s="215">
        <f t="shared" si="3"/>
        <v>-1025533.4399999999</v>
      </c>
    </row>
    <row r="66" spans="5:15">
      <c r="E66" s="213" t="s">
        <v>324</v>
      </c>
      <c r="F66" s="213" t="s">
        <v>2315</v>
      </c>
      <c r="G66" s="213" t="s">
        <v>282</v>
      </c>
      <c r="H66" s="213">
        <v>0</v>
      </c>
      <c r="I66" s="213">
        <v>0</v>
      </c>
      <c r="K66" s="214" t="str">
        <f t="shared" si="0"/>
        <v>ETF Options</v>
      </c>
      <c r="L66" s="214" t="str">
        <f>IF(E66="","",IF(COUNTIFS(Table2[[#All],[De (Lote)]],Input_APM!F66)&gt;0,INDEX(Table2[[#All],[Para (Ticker Daniel)]],MATCH(Input_APM!F66,Table2[[#All],[De (Lote)]],0)),Input_APM!F66))</f>
        <v>QQQ US 01/26/26 P615</v>
      </c>
      <c r="M66" s="214" t="str">
        <f t="shared" si="1"/>
        <v>EQTY.IntlUS.off</v>
      </c>
      <c r="N66" s="215">
        <f t="shared" si="2"/>
        <v>0</v>
      </c>
      <c r="O66" s="215">
        <f t="shared" si="3"/>
        <v>0</v>
      </c>
    </row>
    <row r="67" spans="5:15">
      <c r="E67" s="213" t="s">
        <v>324</v>
      </c>
      <c r="F67" s="213" t="s">
        <v>2331</v>
      </c>
      <c r="G67" s="213" t="s">
        <v>282</v>
      </c>
      <c r="H67" s="213">
        <v>235</v>
      </c>
      <c r="I67" s="213">
        <v>0</v>
      </c>
      <c r="K67" s="214" t="str">
        <f t="shared" ref="K67:K130" si="4">IF(E67="","",E67)</f>
        <v>ETF Options</v>
      </c>
      <c r="L67" s="214" t="str">
        <f>IF(E67="","",IF(COUNTIFS(Table2[[#All],[De (Lote)]],Input_APM!F67)&gt;0,INDEX(Table2[[#All],[Para (Ticker Daniel)]],MATCH(Input_APM!F67,Table2[[#All],[De (Lote)]],0)),Input_APM!F67))</f>
        <v>QQQ US 02/06/26 C630</v>
      </c>
      <c r="M67" s="214" t="str">
        <f t="shared" ref="M67:M130" si="5">IF(E67="","",G67)</f>
        <v>EQTY.IntlUS.off</v>
      </c>
      <c r="N67" s="215">
        <f t="shared" ref="N67:N130" si="6">IF(E67="","",H67)</f>
        <v>235</v>
      </c>
      <c r="O67" s="215">
        <f t="shared" ref="O67:O130" si="7">IF(E67="","",I67)</f>
        <v>0</v>
      </c>
    </row>
    <row r="68" spans="5:15">
      <c r="E68" s="213" t="s">
        <v>317</v>
      </c>
      <c r="F68" s="213" t="s">
        <v>2132</v>
      </c>
      <c r="G68" s="213" t="s">
        <v>282</v>
      </c>
      <c r="H68" s="213">
        <v>24411</v>
      </c>
      <c r="I68" s="213">
        <v>22528</v>
      </c>
      <c r="K68" s="214" t="str">
        <f t="shared" si="4"/>
        <v>US Equity</v>
      </c>
      <c r="L68" s="214" t="str">
        <f>IF(E68="","",IF(COUNTIFS(Table2[[#All],[De (Lote)]],Input_APM!F68)&gt;0,INDEX(Table2[[#All],[Para (Ticker Daniel)]],MATCH(Input_APM!F68,Table2[[#All],[De (Lote)]],0)),Input_APM!F68))</f>
        <v>RIOT</v>
      </c>
      <c r="M68" s="214" t="str">
        <f t="shared" si="5"/>
        <v>EQTY.IntlUS.off</v>
      </c>
      <c r="N68" s="215">
        <f t="shared" si="6"/>
        <v>24411</v>
      </c>
      <c r="O68" s="215">
        <f t="shared" si="7"/>
        <v>22528</v>
      </c>
    </row>
    <row r="69" spans="5:15">
      <c r="E69" s="213" t="s">
        <v>319</v>
      </c>
      <c r="F69" s="213" t="s">
        <v>2296</v>
      </c>
      <c r="G69" s="213" t="s">
        <v>282</v>
      </c>
      <c r="H69" s="213">
        <v>0</v>
      </c>
      <c r="I69" s="213">
        <v>9</v>
      </c>
      <c r="K69" s="214" t="str">
        <f t="shared" si="4"/>
        <v>US Equity Options</v>
      </c>
      <c r="L69" s="214" t="str">
        <f>IF(E69="","",IF(COUNTIFS(Table2[[#All],[De (Lote)]],Input_APM!F69)&gt;0,INDEX(Table2[[#All],[Para (Ticker Daniel)]],MATCH(Input_APM!F69,Table2[[#All],[De (Lote)]],0)),Input_APM!F69))</f>
        <v>SNDK US 02/20/26 C500</v>
      </c>
      <c r="M69" s="214" t="str">
        <f t="shared" si="5"/>
        <v>EQTY.IntlUS.off</v>
      </c>
      <c r="N69" s="215">
        <f t="shared" si="6"/>
        <v>0</v>
      </c>
      <c r="O69" s="215">
        <f t="shared" si="7"/>
        <v>9</v>
      </c>
    </row>
    <row r="70" spans="5:15">
      <c r="E70" s="213" t="s">
        <v>319</v>
      </c>
      <c r="F70" s="213" t="s">
        <v>2312</v>
      </c>
      <c r="G70" s="213" t="s">
        <v>282</v>
      </c>
      <c r="H70" s="213">
        <v>14</v>
      </c>
      <c r="I70" s="213">
        <v>0</v>
      </c>
      <c r="K70" s="214" t="str">
        <f t="shared" si="4"/>
        <v>US Equity Options</v>
      </c>
      <c r="L70" s="214" t="str">
        <f>IF(E70="","",IF(COUNTIFS(Table2[[#All],[De (Lote)]],Input_APM!F70)&gt;0,INDEX(Table2[[#All],[Para (Ticker Daniel)]],MATCH(Input_APM!F70,Table2[[#All],[De (Lote)]],0)),Input_APM!F70))</f>
        <v>SNDK US 02/20/26 C550</v>
      </c>
      <c r="M70" s="214" t="str">
        <f t="shared" si="5"/>
        <v>EQTY.IntlUS.off</v>
      </c>
      <c r="N70" s="215">
        <f t="shared" si="6"/>
        <v>14</v>
      </c>
      <c r="O70" s="215">
        <f t="shared" si="7"/>
        <v>0</v>
      </c>
    </row>
    <row r="71" spans="5:15">
      <c r="E71" s="213" t="s">
        <v>318</v>
      </c>
      <c r="F71" s="213" t="s">
        <v>2128</v>
      </c>
      <c r="G71" s="213" t="s">
        <v>283</v>
      </c>
      <c r="H71" s="213">
        <v>-0.01</v>
      </c>
      <c r="I71" s="213">
        <v>-0.01</v>
      </c>
      <c r="K71" s="214" t="str">
        <f t="shared" si="4"/>
        <v>Provisions and Costs</v>
      </c>
      <c r="L71" s="214" t="str">
        <f>IF(E71="","",IF(COUNTIFS(Table2[[#All],[De (Lote)]],Input_APM!F71)&gt;0,INDEX(Table2[[#All],[Para (Ticker Daniel)]],MATCH(Input_APM!F71,Table2[[#All],[De (Lote)]],0)),Input_APM!F71))</f>
        <v>SPY DIVIDEND_</v>
      </c>
      <c r="M71" s="214" t="str">
        <f t="shared" si="5"/>
        <v>EQTY.InternacionalUS2.off</v>
      </c>
      <c r="N71" s="215">
        <f t="shared" si="6"/>
        <v>-0.01</v>
      </c>
      <c r="O71" s="215">
        <f t="shared" si="7"/>
        <v>-0.01</v>
      </c>
    </row>
    <row r="72" spans="5:15">
      <c r="E72" s="213" t="s">
        <v>318</v>
      </c>
      <c r="F72" s="213" t="s">
        <v>2128</v>
      </c>
      <c r="G72" s="213" t="s">
        <v>282</v>
      </c>
      <c r="H72" s="213">
        <v>0.01</v>
      </c>
      <c r="I72" s="213">
        <v>0.01</v>
      </c>
      <c r="K72" s="214" t="str">
        <f t="shared" si="4"/>
        <v>Provisions and Costs</v>
      </c>
      <c r="L72" s="214" t="str">
        <f>IF(E72="","",IF(COUNTIFS(Table2[[#All],[De (Lote)]],Input_APM!F72)&gt;0,INDEX(Table2[[#All],[Para (Ticker Daniel)]],MATCH(Input_APM!F72,Table2[[#All],[De (Lote)]],0)),Input_APM!F72))</f>
        <v>SPY DIVIDEND_</v>
      </c>
      <c r="M72" s="214" t="str">
        <f t="shared" si="5"/>
        <v>EQTY.IntlUS.off</v>
      </c>
      <c r="N72" s="215">
        <f t="shared" si="6"/>
        <v>0.01</v>
      </c>
      <c r="O72" s="215">
        <f t="shared" si="7"/>
        <v>0.01</v>
      </c>
    </row>
    <row r="73" spans="5:15">
      <c r="E73" s="213" t="s">
        <v>2134</v>
      </c>
      <c r="F73" s="213" t="s">
        <v>2324</v>
      </c>
      <c r="G73" s="213" t="s">
        <v>282</v>
      </c>
      <c r="H73" s="213">
        <v>843</v>
      </c>
      <c r="I73" s="213">
        <v>843</v>
      </c>
      <c r="K73" s="214" t="str">
        <f t="shared" si="4"/>
        <v>Equity Total Return Swap</v>
      </c>
      <c r="L73" s="214" t="str">
        <f>IF(E73="","",IF(COUNTIFS(Table2[[#All],[De (Lote)]],Input_APM!F73)&gt;0,INDEX(Table2[[#All],[Para (Ticker Daniel)]],MATCH(Input_APM!F73,Table2[[#All],[De (Lote)]],0)),Input_APM!F73))</f>
        <v>SWAP 000660 KP 23JAN2026 25JAN2027 509.6192</v>
      </c>
      <c r="M73" s="214" t="str">
        <f t="shared" si="5"/>
        <v>EQTY.IntlUS.off</v>
      </c>
      <c r="N73" s="215">
        <f t="shared" si="6"/>
        <v>843</v>
      </c>
      <c r="O73" s="215">
        <f t="shared" si="7"/>
        <v>843</v>
      </c>
    </row>
    <row r="74" spans="5:15">
      <c r="E74" s="213" t="s">
        <v>2134</v>
      </c>
      <c r="F74" s="213" t="s">
        <v>2135</v>
      </c>
      <c r="G74" s="213" t="s">
        <v>282</v>
      </c>
      <c r="H74" s="213">
        <v>1400</v>
      </c>
      <c r="I74" s="213">
        <v>1400</v>
      </c>
      <c r="K74" s="214" t="str">
        <f t="shared" si="4"/>
        <v>Equity Total Return Swap</v>
      </c>
      <c r="L74" s="214" t="str">
        <f>IF(E74="","",IF(COUNTIFS(Table2[[#All],[De (Lote)]],Input_APM!F74)&gt;0,INDEX(Table2[[#All],[Para (Ticker Daniel)]],MATCH(Input_APM!F74,Table2[[#All],[De (Lote)]],0)),Input_APM!F74))</f>
        <v>000660 KS</v>
      </c>
      <c r="M74" s="214" t="str">
        <f t="shared" si="5"/>
        <v>EQTY.IntlUS.off</v>
      </c>
      <c r="N74" s="215">
        <f t="shared" si="6"/>
        <v>1400</v>
      </c>
      <c r="O74" s="215">
        <f t="shared" si="7"/>
        <v>1400</v>
      </c>
    </row>
    <row r="75" spans="5:15">
      <c r="E75" s="213" t="s">
        <v>2134</v>
      </c>
      <c r="F75" s="213" t="s">
        <v>2367</v>
      </c>
      <c r="G75" s="213" t="s">
        <v>282</v>
      </c>
      <c r="H75" s="213">
        <v>844</v>
      </c>
      <c r="I75" s="213">
        <v>0</v>
      </c>
      <c r="K75" s="214" t="str">
        <f t="shared" si="4"/>
        <v>Equity Total Return Swap</v>
      </c>
      <c r="L75" s="214" t="str">
        <f>IF(E75="","",IF(COUNTIFS(Table2[[#All],[De (Lote)]],Input_APM!F75)&gt;0,INDEX(Table2[[#All],[Para (Ticker Daniel)]],MATCH(Input_APM!F75,Table2[[#All],[De (Lote)]],0)),Input_APM!F75))</f>
        <v>SWAP 000660 KS 26JAN2026 26JAN2027 509.6192</v>
      </c>
      <c r="M75" s="214" t="str">
        <f t="shared" si="5"/>
        <v>EQTY.IntlUS.off</v>
      </c>
      <c r="N75" s="215">
        <f t="shared" si="6"/>
        <v>844</v>
      </c>
      <c r="O75" s="215">
        <f t="shared" si="7"/>
        <v>0</v>
      </c>
    </row>
    <row r="76" spans="5:15">
      <c r="E76" s="213" t="s">
        <v>39</v>
      </c>
      <c r="F76" s="213" t="s">
        <v>96</v>
      </c>
      <c r="G76" s="213" t="s">
        <v>282</v>
      </c>
      <c r="H76" s="213">
        <v>3806</v>
      </c>
      <c r="I76" s="213">
        <v>8871</v>
      </c>
      <c r="K76" s="214" t="str">
        <f t="shared" si="4"/>
        <v>ADR</v>
      </c>
      <c r="L76" s="214" t="str">
        <f>IF(E76="","",IF(COUNTIFS(Table2[[#All],[De (Lote)]],Input_APM!F76)&gt;0,INDEX(Table2[[#All],[Para (Ticker Daniel)]],MATCH(Input_APM!F76,Table2[[#All],[De (Lote)]],0)),Input_APM!F76))</f>
        <v>TSM</v>
      </c>
      <c r="M76" s="214" t="str">
        <f t="shared" si="5"/>
        <v>EQTY.IntlUS.off</v>
      </c>
      <c r="N76" s="215">
        <f t="shared" si="6"/>
        <v>3806</v>
      </c>
      <c r="O76" s="215">
        <f t="shared" si="7"/>
        <v>8871</v>
      </c>
    </row>
    <row r="77" spans="5:15">
      <c r="E77" s="213" t="s">
        <v>327</v>
      </c>
      <c r="F77" s="213" t="s">
        <v>2100</v>
      </c>
      <c r="G77" s="213" t="s">
        <v>282</v>
      </c>
      <c r="H77" s="213">
        <v>0</v>
      </c>
      <c r="I77" s="213">
        <v>45</v>
      </c>
      <c r="K77" s="214" t="str">
        <f t="shared" si="4"/>
        <v>ADR Options</v>
      </c>
      <c r="L77" s="214" t="str">
        <f>IF(E77="","",IF(COUNTIFS(Table2[[#All],[De (Lote)]],Input_APM!F77)&gt;0,INDEX(Table2[[#All],[Para (Ticker Daniel)]],MATCH(Input_APM!F77,Table2[[#All],[De (Lote)]],0)),Input_APM!F77))</f>
        <v>TSM US 03/20/26 C300</v>
      </c>
      <c r="M77" s="214" t="str">
        <f t="shared" si="5"/>
        <v>EQTY.IntlUS.off</v>
      </c>
      <c r="N77" s="215">
        <f t="shared" si="6"/>
        <v>0</v>
      </c>
      <c r="O77" s="215">
        <f t="shared" si="7"/>
        <v>45</v>
      </c>
    </row>
    <row r="78" spans="5:15">
      <c r="E78" s="213" t="s">
        <v>327</v>
      </c>
      <c r="F78" s="213" t="s">
        <v>2235</v>
      </c>
      <c r="G78" s="213" t="s">
        <v>282</v>
      </c>
      <c r="H78" s="213">
        <v>1453</v>
      </c>
      <c r="I78" s="213">
        <v>1172</v>
      </c>
      <c r="K78" s="214" t="str">
        <f t="shared" si="4"/>
        <v>ADR Options</v>
      </c>
      <c r="L78" s="214" t="str">
        <f>IF(E78="","",IF(COUNTIFS(Table2[[#All],[De (Lote)]],Input_APM!F78)&gt;0,INDEX(Table2[[#All],[Para (Ticker Daniel)]],MATCH(Input_APM!F78,Table2[[#All],[De (Lote)]],0)),Input_APM!F78))</f>
        <v>TSM US 06/18/26 C340</v>
      </c>
      <c r="M78" s="214" t="str">
        <f t="shared" si="5"/>
        <v>EQTY.IntlUS.off</v>
      </c>
      <c r="N78" s="215">
        <f t="shared" si="6"/>
        <v>1453</v>
      </c>
      <c r="O78" s="215">
        <f t="shared" si="7"/>
        <v>1172</v>
      </c>
    </row>
    <row r="79" spans="5:15">
      <c r="E79" s="213" t="s">
        <v>327</v>
      </c>
      <c r="F79" s="213" t="s">
        <v>2236</v>
      </c>
      <c r="G79" s="213" t="s">
        <v>282</v>
      </c>
      <c r="H79" s="213">
        <v>-1312</v>
      </c>
      <c r="I79" s="213">
        <v>-1125</v>
      </c>
      <c r="K79" s="214" t="str">
        <f t="shared" si="4"/>
        <v>ADR Options</v>
      </c>
      <c r="L79" s="214" t="str">
        <f>IF(E79="","",IF(COUNTIFS(Table2[[#All],[De (Lote)]],Input_APM!F79)&gt;0,INDEX(Table2[[#All],[Para (Ticker Daniel)]],MATCH(Input_APM!F79,Table2[[#All],[De (Lote)]],0)),Input_APM!F79))</f>
        <v>TSM US 06/18/26 C380</v>
      </c>
      <c r="M79" s="214" t="str">
        <f t="shared" si="5"/>
        <v>EQTY.IntlUS.off</v>
      </c>
      <c r="N79" s="215">
        <f t="shared" si="6"/>
        <v>-1312</v>
      </c>
      <c r="O79" s="215">
        <f t="shared" si="7"/>
        <v>-1125</v>
      </c>
    </row>
    <row r="80" spans="5:15">
      <c r="E80" s="213" t="s">
        <v>320</v>
      </c>
      <c r="F80" s="213" t="s">
        <v>88</v>
      </c>
      <c r="G80" s="213" t="s">
        <v>282</v>
      </c>
      <c r="H80" s="213">
        <v>42865</v>
      </c>
      <c r="I80" s="213">
        <v>42865</v>
      </c>
      <c r="K80" s="214" t="str">
        <f t="shared" si="4"/>
        <v>ETF</v>
      </c>
      <c r="L80" s="214" t="str">
        <f>IF(E80="","",IF(COUNTIFS(Table2[[#All],[De (Lote)]],Input_APM!F80)&gt;0,INDEX(Table2[[#All],[Para (Ticker Daniel)]],MATCH(Input_APM!F80,Table2[[#All],[De (Lote)]],0)),Input_APM!F80))</f>
        <v>XLF</v>
      </c>
      <c r="M80" s="214" t="str">
        <f t="shared" si="5"/>
        <v>EQTY.IntlUS.off</v>
      </c>
      <c r="N80" s="215">
        <f t="shared" si="6"/>
        <v>42865</v>
      </c>
      <c r="O80" s="215">
        <f t="shared" si="7"/>
        <v>42865</v>
      </c>
    </row>
    <row r="81" spans="5:15">
      <c r="E81" s="213" t="s">
        <v>320</v>
      </c>
      <c r="F81" s="213" t="s">
        <v>4</v>
      </c>
      <c r="G81" s="213" t="s">
        <v>282</v>
      </c>
      <c r="H81" s="213">
        <v>-25765</v>
      </c>
      <c r="I81" s="213">
        <v>-25765</v>
      </c>
      <c r="K81" s="214" t="str">
        <f t="shared" si="4"/>
        <v>ETF</v>
      </c>
      <c r="L81" s="214" t="str">
        <f>IF(E81="","",IF(COUNTIFS(Table2[[#All],[De (Lote)]],Input_APM!F81)&gt;0,INDEX(Table2[[#All],[Para (Ticker Daniel)]],MATCH(Input_APM!F81,Table2[[#All],[De (Lote)]],0)),Input_APM!F81))</f>
        <v>XLP</v>
      </c>
      <c r="M81" s="214" t="str">
        <f t="shared" si="5"/>
        <v>EQTY.IntlUS.off</v>
      </c>
      <c r="N81" s="215">
        <f t="shared" si="6"/>
        <v>-25765</v>
      </c>
      <c r="O81" s="215">
        <f t="shared" si="7"/>
        <v>-25765</v>
      </c>
    </row>
    <row r="82" spans="5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5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5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5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5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5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5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5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5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5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5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5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5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5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5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9"/>
    </sheetView>
  </sheetViews>
  <sheetFormatPr defaultColWidth="9.140625" defaultRowHeight="12.75" outlineLevelCol="1"/>
  <cols>
    <col min="1" max="4" width="9.140625" style="213"/>
    <col min="5" max="5" width="31.71093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30.5703125" style="213" bestFit="1" customWidth="1"/>
    <col min="12" max="12" width="41.5703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2291</v>
      </c>
      <c r="F2" s="213" t="s">
        <v>2280</v>
      </c>
      <c r="G2" s="213" t="s">
        <v>282</v>
      </c>
      <c r="H2" s="213">
        <v>0</v>
      </c>
      <c r="I2" s="213">
        <v>2</v>
      </c>
      <c r="K2" s="214" t="str">
        <f>IF(E2="","",E2)</f>
        <v>NASDAQ-100 E-mini Options - CME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1OG6P 25000</v>
      </c>
      <c r="M2" s="214" t="str">
        <f>IF(E2="","",G2)</f>
        <v>EQTY.IntlUS.off</v>
      </c>
      <c r="N2" s="215">
        <f>IF(E2="","",H2)</f>
        <v>0</v>
      </c>
      <c r="O2" s="215">
        <f>IF(E2="","",I2)</f>
        <v>2</v>
      </c>
    </row>
    <row r="3" spans="5:15">
      <c r="E3" s="213" t="s">
        <v>317</v>
      </c>
      <c r="F3" s="213" t="s">
        <v>79</v>
      </c>
      <c r="G3" s="213" t="s">
        <v>282</v>
      </c>
      <c r="H3" s="213">
        <v>0</v>
      </c>
      <c r="I3" s="213">
        <v>0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AAPL</v>
      </c>
      <c r="M3" s="214" t="str">
        <f t="shared" ref="M3:M66" si="1">IF(E3="","",G3)</f>
        <v>EQTY.IntlUS.off</v>
      </c>
      <c r="N3" s="215">
        <f t="shared" ref="N3:N66" si="2">IF(E3="","",H3)</f>
        <v>0</v>
      </c>
      <c r="O3" s="215">
        <f t="shared" ref="O3:O66" si="3">IF(E3="","",I3)</f>
        <v>0</v>
      </c>
    </row>
    <row r="4" spans="5:15">
      <c r="E4" s="213" t="s">
        <v>319</v>
      </c>
      <c r="F4" s="213" t="s">
        <v>2257</v>
      </c>
      <c r="G4" s="213" t="s">
        <v>282</v>
      </c>
      <c r="H4" s="213">
        <v>-2</v>
      </c>
      <c r="I4" s="213">
        <v>-2</v>
      </c>
      <c r="K4" s="214" t="str">
        <f t="shared" si="0"/>
        <v>US Equity Options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AMAT US 01/23/26 P280</v>
      </c>
      <c r="M4" s="214" t="str">
        <f t="shared" si="1"/>
        <v>EQTY.IntlUS.off</v>
      </c>
      <c r="N4" s="215">
        <f t="shared" si="2"/>
        <v>-2</v>
      </c>
      <c r="O4" s="215">
        <f t="shared" si="3"/>
        <v>-2</v>
      </c>
    </row>
    <row r="5" spans="5:15">
      <c r="E5" s="213" t="s">
        <v>319</v>
      </c>
      <c r="F5" s="213" t="s">
        <v>2258</v>
      </c>
      <c r="G5" s="213" t="s">
        <v>282</v>
      </c>
      <c r="H5" s="213">
        <v>8</v>
      </c>
      <c r="I5" s="213">
        <v>8</v>
      </c>
      <c r="K5" s="214" t="str">
        <f t="shared" si="0"/>
        <v>US Equity Options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AMAT US 01/23/26 P290</v>
      </c>
      <c r="M5" s="214" t="str">
        <f t="shared" si="1"/>
        <v>EQTY.IntlUS.off</v>
      </c>
      <c r="N5" s="215">
        <f t="shared" si="2"/>
        <v>8</v>
      </c>
      <c r="O5" s="215">
        <f t="shared" si="3"/>
        <v>8</v>
      </c>
    </row>
    <row r="6" spans="5:15">
      <c r="E6" s="213" t="s">
        <v>317</v>
      </c>
      <c r="F6" s="213" t="s">
        <v>399</v>
      </c>
      <c r="G6" s="213" t="s">
        <v>282</v>
      </c>
      <c r="H6" s="213">
        <v>726</v>
      </c>
      <c r="I6" s="213">
        <v>726</v>
      </c>
      <c r="K6" s="214" t="str">
        <f t="shared" si="0"/>
        <v>US Equity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AMZN</v>
      </c>
      <c r="M6" s="214" t="str">
        <f t="shared" si="1"/>
        <v>EQTY.IntlUS.off</v>
      </c>
      <c r="N6" s="215">
        <f t="shared" si="2"/>
        <v>726</v>
      </c>
      <c r="O6" s="215">
        <f t="shared" si="3"/>
        <v>726</v>
      </c>
    </row>
    <row r="7" spans="5:15">
      <c r="E7" s="213" t="s">
        <v>319</v>
      </c>
      <c r="F7" s="213" t="s">
        <v>2318</v>
      </c>
      <c r="G7" s="213" t="s">
        <v>282</v>
      </c>
      <c r="H7" s="213">
        <v>4</v>
      </c>
      <c r="I7" s="213">
        <v>0</v>
      </c>
      <c r="K7" s="214" t="str">
        <f t="shared" si="0"/>
        <v>US Equity Options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AMZN US 07/17/26 C245</v>
      </c>
      <c r="M7" s="214" t="str">
        <f t="shared" si="1"/>
        <v>EQTY.IntlUS.off</v>
      </c>
      <c r="N7" s="215">
        <f t="shared" si="2"/>
        <v>4</v>
      </c>
      <c r="O7" s="215">
        <f t="shared" si="3"/>
        <v>0</v>
      </c>
    </row>
    <row r="8" spans="5:15">
      <c r="E8" s="213" t="s">
        <v>324</v>
      </c>
      <c r="F8" s="213" t="s">
        <v>2234</v>
      </c>
      <c r="G8" s="213" t="s">
        <v>282</v>
      </c>
      <c r="H8" s="213">
        <v>126</v>
      </c>
      <c r="I8" s="213">
        <v>126</v>
      </c>
      <c r="K8" s="214" t="str">
        <f t="shared" si="0"/>
        <v>ETF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ASHR US 02/20/26 C35</v>
      </c>
      <c r="M8" s="214" t="str">
        <f t="shared" si="1"/>
        <v>EQTY.IntlUS.off</v>
      </c>
      <c r="N8" s="215">
        <f t="shared" si="2"/>
        <v>126</v>
      </c>
      <c r="O8" s="215">
        <f t="shared" si="3"/>
        <v>126</v>
      </c>
    </row>
    <row r="9" spans="5:15">
      <c r="E9" s="213" t="s">
        <v>317</v>
      </c>
      <c r="F9" s="213" t="s">
        <v>137</v>
      </c>
      <c r="G9" s="213" t="s">
        <v>282</v>
      </c>
      <c r="H9" s="213">
        <v>60</v>
      </c>
      <c r="I9" s="213">
        <v>282</v>
      </c>
      <c r="K9" s="214" t="str">
        <f t="shared" si="0"/>
        <v>US Equity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AVGO</v>
      </c>
      <c r="M9" s="214" t="str">
        <f t="shared" si="1"/>
        <v>EQTY.IntlUS.off</v>
      </c>
      <c r="N9" s="215">
        <f t="shared" si="2"/>
        <v>60</v>
      </c>
      <c r="O9" s="215">
        <f t="shared" si="3"/>
        <v>282</v>
      </c>
    </row>
    <row r="10" spans="5:15">
      <c r="E10" s="213" t="s">
        <v>319</v>
      </c>
      <c r="F10" s="213" t="s">
        <v>2106</v>
      </c>
      <c r="G10" s="213" t="s">
        <v>282</v>
      </c>
      <c r="H10" s="213">
        <v>6</v>
      </c>
      <c r="I10" s="213">
        <v>2</v>
      </c>
      <c r="K10" s="214" t="str">
        <f t="shared" si="0"/>
        <v>US Equity Options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AVGO US 06/18/26 C350</v>
      </c>
      <c r="M10" s="214" t="str">
        <f t="shared" si="1"/>
        <v>EQTY.IntlUS.off</v>
      </c>
      <c r="N10" s="215">
        <f t="shared" si="2"/>
        <v>6</v>
      </c>
      <c r="O10" s="215">
        <f t="shared" si="3"/>
        <v>2</v>
      </c>
    </row>
    <row r="11" spans="5:15">
      <c r="E11" s="213" t="s">
        <v>39</v>
      </c>
      <c r="F11" s="213" t="s">
        <v>461</v>
      </c>
      <c r="G11" s="213" t="s">
        <v>282</v>
      </c>
      <c r="H11" s="213">
        <v>215</v>
      </c>
      <c r="I11" s="213">
        <v>215</v>
      </c>
      <c r="K11" s="214" t="str">
        <f t="shared" si="0"/>
        <v>ADR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BABA</v>
      </c>
      <c r="M11" s="214" t="str">
        <f t="shared" si="1"/>
        <v>EQTY.IntlUS.off</v>
      </c>
      <c r="N11" s="215">
        <f t="shared" si="2"/>
        <v>215</v>
      </c>
      <c r="O11" s="215">
        <f t="shared" si="3"/>
        <v>215</v>
      </c>
    </row>
    <row r="12" spans="5:15">
      <c r="E12" s="213" t="s">
        <v>39</v>
      </c>
      <c r="F12" s="213" t="s">
        <v>2144</v>
      </c>
      <c r="G12" s="213" t="s">
        <v>282</v>
      </c>
      <c r="H12" s="213">
        <v>225</v>
      </c>
      <c r="I12" s="213">
        <v>225</v>
      </c>
      <c r="K12" s="214" t="str">
        <f t="shared" si="0"/>
        <v>ADR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BIDU</v>
      </c>
      <c r="M12" s="214" t="str">
        <f t="shared" si="1"/>
        <v>EQTY.IntlUS.off</v>
      </c>
      <c r="N12" s="215">
        <f t="shared" si="2"/>
        <v>225</v>
      </c>
      <c r="O12" s="215">
        <f t="shared" si="3"/>
        <v>225</v>
      </c>
    </row>
    <row r="13" spans="5:15">
      <c r="E13" s="213" t="s">
        <v>321</v>
      </c>
      <c r="F13" s="213" t="s">
        <v>295</v>
      </c>
      <c r="G13" s="213" t="s">
        <v>282</v>
      </c>
      <c r="H13" s="213">
        <v>0.05</v>
      </c>
      <c r="I13" s="213">
        <v>0.05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CAD</v>
      </c>
      <c r="M13" s="214" t="str">
        <f t="shared" si="1"/>
        <v>EQTY.IntlUS.off</v>
      </c>
      <c r="N13" s="215">
        <f t="shared" si="2"/>
        <v>0.05</v>
      </c>
      <c r="O13" s="215">
        <f t="shared" si="3"/>
        <v>0.05</v>
      </c>
    </row>
    <row r="14" spans="5:15">
      <c r="E14" s="213" t="s">
        <v>321</v>
      </c>
      <c r="F14" s="213" t="s">
        <v>296</v>
      </c>
      <c r="G14" s="213" t="s">
        <v>283</v>
      </c>
      <c r="H14" s="213">
        <v>0.49</v>
      </c>
      <c r="I14" s="213">
        <v>0.49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CHF</v>
      </c>
      <c r="M14" s="214" t="str">
        <f t="shared" si="1"/>
        <v>EQTY.InternacionalUS2.off</v>
      </c>
      <c r="N14" s="215">
        <f t="shared" si="2"/>
        <v>0.49</v>
      </c>
      <c r="O14" s="215">
        <f t="shared" si="3"/>
        <v>0.49</v>
      </c>
    </row>
    <row r="15" spans="5:15">
      <c r="E15" s="213" t="s">
        <v>321</v>
      </c>
      <c r="F15" s="213" t="s">
        <v>296</v>
      </c>
      <c r="G15" s="213" t="s">
        <v>282</v>
      </c>
      <c r="H15" s="213">
        <v>-2610.69</v>
      </c>
      <c r="I15" s="213">
        <v>-2610.69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CHF</v>
      </c>
      <c r="M15" s="214" t="str">
        <f t="shared" si="1"/>
        <v>EQTY.IntlUS.off</v>
      </c>
      <c r="N15" s="215">
        <f t="shared" si="2"/>
        <v>-2610.69</v>
      </c>
      <c r="O15" s="215">
        <f t="shared" si="3"/>
        <v>-2610.69</v>
      </c>
    </row>
    <row r="16" spans="5:15">
      <c r="E16" s="213" t="s">
        <v>321</v>
      </c>
      <c r="F16" s="213" t="s">
        <v>297</v>
      </c>
      <c r="G16" s="213" t="s">
        <v>282</v>
      </c>
      <c r="H16" s="213">
        <v>0.16</v>
      </c>
      <c r="I16" s="213">
        <v>0.16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CNH</v>
      </c>
      <c r="M16" s="214" t="str">
        <f t="shared" si="1"/>
        <v>EQTY.IntlUS.off</v>
      </c>
      <c r="N16" s="215">
        <f t="shared" si="2"/>
        <v>0.16</v>
      </c>
      <c r="O16" s="215">
        <f t="shared" si="3"/>
        <v>0.16</v>
      </c>
    </row>
    <row r="17" spans="5:15">
      <c r="E17" s="213" t="s">
        <v>321</v>
      </c>
      <c r="F17" s="213" t="s">
        <v>2127</v>
      </c>
      <c r="G17" s="213" t="s">
        <v>283</v>
      </c>
      <c r="H17" s="213">
        <v>-0.21</v>
      </c>
      <c r="I17" s="213">
        <v>-0.21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CNY</v>
      </c>
      <c r="M17" s="214" t="str">
        <f t="shared" si="1"/>
        <v>EQTY.InternacionalUS2.off</v>
      </c>
      <c r="N17" s="215">
        <f t="shared" si="2"/>
        <v>-0.21</v>
      </c>
      <c r="O17" s="215">
        <f t="shared" si="3"/>
        <v>-0.21</v>
      </c>
    </row>
    <row r="18" spans="5:15">
      <c r="E18" s="213" t="s">
        <v>321</v>
      </c>
      <c r="F18" s="213" t="s">
        <v>2127</v>
      </c>
      <c r="G18" s="213" t="s">
        <v>282</v>
      </c>
      <c r="H18" s="213">
        <v>-10000.790000000001</v>
      </c>
      <c r="I18" s="213">
        <v>-10000.790000000001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CNY</v>
      </c>
      <c r="M18" s="214" t="str">
        <f t="shared" si="1"/>
        <v>EQTY.IntlUS.off</v>
      </c>
      <c r="N18" s="215">
        <f t="shared" si="2"/>
        <v>-10000.790000000001</v>
      </c>
      <c r="O18" s="215">
        <f t="shared" si="3"/>
        <v>-10000.790000000001</v>
      </c>
    </row>
    <row r="19" spans="5:15">
      <c r="E19" s="213" t="s">
        <v>321</v>
      </c>
      <c r="F19" s="213" t="s">
        <v>298</v>
      </c>
      <c r="G19" s="213" t="s">
        <v>283</v>
      </c>
      <c r="H19" s="213">
        <v>0.47</v>
      </c>
      <c r="I19" s="213">
        <v>0.47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EUR</v>
      </c>
      <c r="M19" s="214" t="str">
        <f t="shared" si="1"/>
        <v>EQTY.InternacionalUS2.off</v>
      </c>
      <c r="N19" s="215">
        <f t="shared" si="2"/>
        <v>0.47</v>
      </c>
      <c r="O19" s="215">
        <f t="shared" si="3"/>
        <v>0.47</v>
      </c>
    </row>
    <row r="20" spans="5:15">
      <c r="E20" s="213" t="s">
        <v>321</v>
      </c>
      <c r="F20" s="213" t="s">
        <v>298</v>
      </c>
      <c r="G20" s="213" t="s">
        <v>282</v>
      </c>
      <c r="H20" s="213">
        <v>3233.9</v>
      </c>
      <c r="I20" s="213">
        <v>-24841.1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EUR</v>
      </c>
      <c r="M20" s="214" t="str">
        <f t="shared" si="1"/>
        <v>EQTY.IntlUS.off</v>
      </c>
      <c r="N20" s="215">
        <f t="shared" si="2"/>
        <v>3233.9</v>
      </c>
      <c r="O20" s="215">
        <f t="shared" si="3"/>
        <v>-24841.1</v>
      </c>
    </row>
    <row r="21" spans="5:15">
      <c r="E21" s="213" t="s">
        <v>321</v>
      </c>
      <c r="F21" s="213" t="s">
        <v>299</v>
      </c>
      <c r="G21" s="213" t="s">
        <v>282</v>
      </c>
      <c r="H21" s="213">
        <v>0.82</v>
      </c>
      <c r="I21" s="213">
        <v>0.82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GBP</v>
      </c>
      <c r="M21" s="214" t="str">
        <f t="shared" si="1"/>
        <v>EQTY.IntlUS.off</v>
      </c>
      <c r="N21" s="215">
        <f t="shared" si="2"/>
        <v>0.82</v>
      </c>
      <c r="O21" s="215">
        <f t="shared" si="3"/>
        <v>0.82</v>
      </c>
    </row>
    <row r="22" spans="5:15">
      <c r="E22" s="213" t="s">
        <v>321</v>
      </c>
      <c r="F22" s="213" t="s">
        <v>300</v>
      </c>
      <c r="G22" s="213" t="s">
        <v>283</v>
      </c>
      <c r="H22" s="213">
        <v>-0.06</v>
      </c>
      <c r="I22" s="213">
        <v>-0.06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HKD</v>
      </c>
      <c r="M22" s="214" t="str">
        <f t="shared" si="1"/>
        <v>EQTY.InternacionalUS2.off</v>
      </c>
      <c r="N22" s="215">
        <f t="shared" si="2"/>
        <v>-0.06</v>
      </c>
      <c r="O22" s="215">
        <f t="shared" si="3"/>
        <v>-0.06</v>
      </c>
    </row>
    <row r="23" spans="5:15">
      <c r="E23" s="213" t="s">
        <v>321</v>
      </c>
      <c r="F23" s="213" t="s">
        <v>300</v>
      </c>
      <c r="G23" s="213" t="s">
        <v>282</v>
      </c>
      <c r="H23" s="213">
        <v>-17957.060000000001</v>
      </c>
      <c r="I23" s="213">
        <v>-17957.060000000001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HKD</v>
      </c>
      <c r="M23" s="214" t="str">
        <f t="shared" si="1"/>
        <v>EQTY.IntlUS.off</v>
      </c>
      <c r="N23" s="215">
        <f t="shared" si="2"/>
        <v>-17957.060000000001</v>
      </c>
      <c r="O23" s="215">
        <f t="shared" si="3"/>
        <v>-17957.060000000001</v>
      </c>
    </row>
    <row r="24" spans="5:15">
      <c r="E24" s="213" t="s">
        <v>321</v>
      </c>
      <c r="F24" s="213" t="s">
        <v>301</v>
      </c>
      <c r="G24" s="213" t="s">
        <v>282</v>
      </c>
      <c r="H24" s="213">
        <v>-0.01</v>
      </c>
      <c r="I24" s="213">
        <v>-0.01</v>
      </c>
      <c r="K24" s="214" t="str">
        <f t="shared" si="0"/>
        <v>Cash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Cash KRW</v>
      </c>
      <c r="M24" s="214" t="str">
        <f t="shared" si="1"/>
        <v>EQTY.IntlUS.off</v>
      </c>
      <c r="N24" s="215">
        <f t="shared" si="2"/>
        <v>-0.01</v>
      </c>
      <c r="O24" s="215">
        <f t="shared" si="3"/>
        <v>-0.01</v>
      </c>
    </row>
    <row r="25" spans="5:15">
      <c r="E25" s="213" t="s">
        <v>321</v>
      </c>
      <c r="F25" s="213" t="s">
        <v>302</v>
      </c>
      <c r="G25" s="213" t="s">
        <v>282</v>
      </c>
      <c r="H25" s="213">
        <v>-164524.13614409001</v>
      </c>
      <c r="I25" s="213">
        <v>3.8559100000000002E-3</v>
      </c>
      <c r="K25" s="214" t="str">
        <f t="shared" si="0"/>
        <v>Cash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Cash USD</v>
      </c>
      <c r="M25" s="214" t="str">
        <f t="shared" si="1"/>
        <v>EQTY.IntlUS.off</v>
      </c>
      <c r="N25" s="215">
        <f t="shared" si="2"/>
        <v>-164524.13614409001</v>
      </c>
      <c r="O25" s="215">
        <f t="shared" si="3"/>
        <v>3.8559100000000002E-3</v>
      </c>
    </row>
    <row r="26" spans="5:15">
      <c r="E26" s="213" t="s">
        <v>477</v>
      </c>
      <c r="F26" s="213" t="s">
        <v>1906</v>
      </c>
      <c r="G26" s="213" t="s">
        <v>282</v>
      </c>
      <c r="H26" s="213">
        <v>375000</v>
      </c>
      <c r="I26" s="213">
        <v>375000</v>
      </c>
      <c r="K26" s="214" t="str">
        <f t="shared" si="0"/>
        <v>CDS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CHINAGOV 12/20/30</v>
      </c>
      <c r="M26" s="214" t="str">
        <f t="shared" si="1"/>
        <v>EQTY.IntlUS.off</v>
      </c>
      <c r="N26" s="215">
        <f t="shared" si="2"/>
        <v>375000</v>
      </c>
      <c r="O26" s="215">
        <f t="shared" si="3"/>
        <v>375000</v>
      </c>
    </row>
    <row r="27" spans="5:15">
      <c r="E27" s="213" t="s">
        <v>320</v>
      </c>
      <c r="F27" s="213" t="s">
        <v>484</v>
      </c>
      <c r="G27" s="213" t="s">
        <v>282</v>
      </c>
      <c r="H27" s="213">
        <v>0</v>
      </c>
      <c r="I27" s="213">
        <v>377</v>
      </c>
      <c r="K27" s="214" t="str">
        <f t="shared" si="0"/>
        <v>ETF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COPX</v>
      </c>
      <c r="M27" s="214" t="str">
        <f t="shared" si="1"/>
        <v>EQTY.IntlUS.off</v>
      </c>
      <c r="N27" s="215">
        <f t="shared" si="2"/>
        <v>0</v>
      </c>
      <c r="O27" s="215">
        <f t="shared" si="3"/>
        <v>377</v>
      </c>
    </row>
    <row r="28" spans="5:15">
      <c r="E28" s="213" t="s">
        <v>317</v>
      </c>
      <c r="F28" s="213" t="s">
        <v>2364</v>
      </c>
      <c r="G28" s="213" t="s">
        <v>282</v>
      </c>
      <c r="H28" s="213">
        <v>0</v>
      </c>
      <c r="I28" s="213">
        <v>0</v>
      </c>
      <c r="K28" s="214" t="str">
        <f t="shared" si="0"/>
        <v>US Equity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>CRDO</v>
      </c>
      <c r="M28" s="214" t="str">
        <f t="shared" si="1"/>
        <v>EQTY.IntlUS.off</v>
      </c>
      <c r="N28" s="215">
        <f t="shared" si="2"/>
        <v>0</v>
      </c>
      <c r="O28" s="215">
        <f t="shared" si="3"/>
        <v>0</v>
      </c>
    </row>
    <row r="29" spans="5:15">
      <c r="E29" s="213" t="s">
        <v>318</v>
      </c>
      <c r="F29" s="213" t="s">
        <v>2292</v>
      </c>
      <c r="G29" s="213" t="s">
        <v>283</v>
      </c>
      <c r="H29" s="213">
        <v>0.01</v>
      </c>
      <c r="I29" s="213">
        <v>0.01</v>
      </c>
      <c r="K29" s="214" t="str">
        <f t="shared" si="0"/>
        <v>Provisions and Costs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DELL DIVIDEND_</v>
      </c>
      <c r="M29" s="214" t="str">
        <f t="shared" si="1"/>
        <v>EQTY.InternacionalUS2.off</v>
      </c>
      <c r="N29" s="215">
        <f t="shared" si="2"/>
        <v>0.01</v>
      </c>
      <c r="O29" s="215">
        <f t="shared" si="3"/>
        <v>0.01</v>
      </c>
    </row>
    <row r="30" spans="5:15">
      <c r="E30" s="213" t="s">
        <v>320</v>
      </c>
      <c r="F30" s="213" t="s">
        <v>1754</v>
      </c>
      <c r="G30" s="213" t="s">
        <v>282</v>
      </c>
      <c r="H30" s="213">
        <v>2692</v>
      </c>
      <c r="I30" s="213">
        <v>2692</v>
      </c>
      <c r="K30" s="214" t="str">
        <f t="shared" si="0"/>
        <v>ETF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EWY</v>
      </c>
      <c r="M30" s="214" t="str">
        <f t="shared" si="1"/>
        <v>EQTY.IntlUS.off</v>
      </c>
      <c r="N30" s="215">
        <f t="shared" si="2"/>
        <v>2692</v>
      </c>
      <c r="O30" s="215">
        <f t="shared" si="3"/>
        <v>2692</v>
      </c>
    </row>
    <row r="31" spans="5:15">
      <c r="E31" s="213" t="s">
        <v>320</v>
      </c>
      <c r="F31" s="213" t="s">
        <v>131</v>
      </c>
      <c r="G31" s="213" t="s">
        <v>282</v>
      </c>
      <c r="H31" s="213">
        <v>958</v>
      </c>
      <c r="I31" s="213">
        <v>958</v>
      </c>
      <c r="K31" s="214" t="str">
        <f t="shared" si="0"/>
        <v>ETF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 xml:space="preserve">GDX </v>
      </c>
      <c r="M31" s="214" t="str">
        <f t="shared" si="1"/>
        <v>EQTY.IntlUS.off</v>
      </c>
      <c r="N31" s="215">
        <f t="shared" si="2"/>
        <v>958</v>
      </c>
      <c r="O31" s="215">
        <f t="shared" si="3"/>
        <v>958</v>
      </c>
    </row>
    <row r="32" spans="5:15">
      <c r="E32" s="213" t="s">
        <v>324</v>
      </c>
      <c r="F32" s="213" t="s">
        <v>2281</v>
      </c>
      <c r="G32" s="213" t="s">
        <v>282</v>
      </c>
      <c r="H32" s="213">
        <v>69</v>
      </c>
      <c r="I32" s="213">
        <v>69</v>
      </c>
      <c r="K32" s="214" t="str">
        <f t="shared" si="0"/>
        <v>ETF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GDX US 09/18/26 C105</v>
      </c>
      <c r="M32" s="214" t="str">
        <f t="shared" si="1"/>
        <v>EQTY.IntlUS.off</v>
      </c>
      <c r="N32" s="215">
        <f t="shared" si="2"/>
        <v>69</v>
      </c>
      <c r="O32" s="215">
        <f t="shared" si="3"/>
        <v>69</v>
      </c>
    </row>
    <row r="33" spans="5:15">
      <c r="E33" s="213" t="s">
        <v>324</v>
      </c>
      <c r="F33" s="213" t="s">
        <v>2282</v>
      </c>
      <c r="G33" s="213" t="s">
        <v>282</v>
      </c>
      <c r="H33" s="213">
        <v>-69</v>
      </c>
      <c r="I33" s="213">
        <v>-69</v>
      </c>
      <c r="K33" s="214" t="str">
        <f t="shared" si="0"/>
        <v>ETF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GDX US 09/18/26 C115</v>
      </c>
      <c r="M33" s="214" t="str">
        <f t="shared" si="1"/>
        <v>EQTY.IntlUS.off</v>
      </c>
      <c r="N33" s="215">
        <f t="shared" si="2"/>
        <v>-69</v>
      </c>
      <c r="O33" s="215">
        <f t="shared" si="3"/>
        <v>-69</v>
      </c>
    </row>
    <row r="34" spans="5:15">
      <c r="E34" s="213" t="s">
        <v>317</v>
      </c>
      <c r="F34" s="213" t="s">
        <v>2152</v>
      </c>
      <c r="G34" s="213" t="s">
        <v>282</v>
      </c>
      <c r="H34" s="213">
        <v>927</v>
      </c>
      <c r="I34" s="213">
        <v>927</v>
      </c>
      <c r="K34" s="214" t="str">
        <f t="shared" si="0"/>
        <v>US Equity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GOOG</v>
      </c>
      <c r="M34" s="214" t="str">
        <f t="shared" si="1"/>
        <v>EQTY.IntlUS.off</v>
      </c>
      <c r="N34" s="215">
        <f t="shared" si="2"/>
        <v>927</v>
      </c>
      <c r="O34" s="215">
        <f t="shared" si="3"/>
        <v>927</v>
      </c>
    </row>
    <row r="35" spans="5:15">
      <c r="E35" s="213" t="s">
        <v>325</v>
      </c>
      <c r="F35" s="213" t="s">
        <v>1896</v>
      </c>
      <c r="G35" s="213" t="s">
        <v>282</v>
      </c>
      <c r="H35" s="213">
        <v>19314</v>
      </c>
      <c r="I35" s="213">
        <v>19314</v>
      </c>
      <c r="K35" s="214" t="str">
        <f t="shared" si="0"/>
        <v>Basket Index Options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GSC1000P 03/20/26 C104</v>
      </c>
      <c r="M35" s="214" t="str">
        <f t="shared" si="1"/>
        <v>EQTY.IntlUS.off</v>
      </c>
      <c r="N35" s="215">
        <f t="shared" si="2"/>
        <v>19314</v>
      </c>
      <c r="O35" s="215">
        <f t="shared" si="3"/>
        <v>19314</v>
      </c>
    </row>
    <row r="36" spans="5:15">
      <c r="E36" s="213" t="s">
        <v>325</v>
      </c>
      <c r="F36" s="213" t="s">
        <v>1897</v>
      </c>
      <c r="G36" s="213" t="s">
        <v>282</v>
      </c>
      <c r="H36" s="213">
        <v>-19314</v>
      </c>
      <c r="I36" s="213">
        <v>-19314</v>
      </c>
      <c r="K36" s="214" t="str">
        <f t="shared" si="0"/>
        <v>Basket Index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GSC1000P 03/20/26 C119</v>
      </c>
      <c r="M36" s="214" t="str">
        <f t="shared" si="1"/>
        <v>EQTY.IntlUS.off</v>
      </c>
      <c r="N36" s="215">
        <f t="shared" si="2"/>
        <v>-19314</v>
      </c>
      <c r="O36" s="215">
        <f t="shared" si="3"/>
        <v>-19314</v>
      </c>
    </row>
    <row r="37" spans="5:15">
      <c r="E37" s="213" t="s">
        <v>317</v>
      </c>
      <c r="F37" s="213" t="s">
        <v>708</v>
      </c>
      <c r="G37" s="213" t="s">
        <v>282</v>
      </c>
      <c r="H37" s="213">
        <v>435</v>
      </c>
      <c r="I37" s="213">
        <v>0</v>
      </c>
      <c r="K37" s="214" t="str">
        <f t="shared" si="0"/>
        <v>US Equity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</v>
      </c>
      <c r="M37" s="214" t="str">
        <f t="shared" si="1"/>
        <v>EQTY.IntlUS.off</v>
      </c>
      <c r="N37" s="215">
        <f t="shared" si="2"/>
        <v>435</v>
      </c>
      <c r="O37" s="215">
        <f t="shared" si="3"/>
        <v>0</v>
      </c>
    </row>
    <row r="38" spans="5:15">
      <c r="E38" s="213" t="s">
        <v>317</v>
      </c>
      <c r="F38" s="213" t="s">
        <v>2284</v>
      </c>
      <c r="G38" s="213" t="s">
        <v>282</v>
      </c>
      <c r="H38" s="213">
        <v>-626</v>
      </c>
      <c r="I38" s="213">
        <v>-626</v>
      </c>
      <c r="K38" s="214" t="str">
        <f t="shared" si="0"/>
        <v>US Equity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KHC</v>
      </c>
      <c r="M38" s="214" t="str">
        <f t="shared" si="1"/>
        <v>EQTY.IntlUS.off</v>
      </c>
      <c r="N38" s="215">
        <f t="shared" si="2"/>
        <v>-626</v>
      </c>
      <c r="O38" s="215">
        <f t="shared" si="3"/>
        <v>-626</v>
      </c>
    </row>
    <row r="39" spans="5:15">
      <c r="E39" s="213" t="s">
        <v>2365</v>
      </c>
      <c r="F39" s="213" t="s">
        <v>2341</v>
      </c>
      <c r="G39" s="213" t="s">
        <v>282</v>
      </c>
      <c r="H39" s="213">
        <v>685255</v>
      </c>
      <c r="I39" s="213">
        <v>0</v>
      </c>
      <c r="K39" s="214" t="str">
        <f t="shared" si="0"/>
        <v>KOSPI 200 Index Options - KRX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KOSPI2 12/10/26 C1000</v>
      </c>
      <c r="M39" s="214" t="str">
        <f t="shared" si="1"/>
        <v>EQTY.IntlUS.off</v>
      </c>
      <c r="N39" s="215">
        <f t="shared" si="2"/>
        <v>685255</v>
      </c>
      <c r="O39" s="215">
        <f t="shared" si="3"/>
        <v>0</v>
      </c>
    </row>
    <row r="40" spans="5:15">
      <c r="E40" s="213" t="s">
        <v>317</v>
      </c>
      <c r="F40" s="213" t="s">
        <v>2064</v>
      </c>
      <c r="G40" s="213" t="s">
        <v>282</v>
      </c>
      <c r="H40" s="213">
        <v>77</v>
      </c>
      <c r="I40" s="213">
        <v>77</v>
      </c>
      <c r="K40" s="214" t="str">
        <f t="shared" si="0"/>
        <v>US Equity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LITE</v>
      </c>
      <c r="M40" s="214" t="str">
        <f t="shared" si="1"/>
        <v>EQTY.IntlUS.off</v>
      </c>
      <c r="N40" s="215">
        <f t="shared" si="2"/>
        <v>77</v>
      </c>
      <c r="O40" s="215">
        <f t="shared" si="3"/>
        <v>77</v>
      </c>
    </row>
    <row r="41" spans="5:15">
      <c r="E41" s="213" t="s">
        <v>319</v>
      </c>
      <c r="F41" s="213" t="s">
        <v>2075</v>
      </c>
      <c r="G41" s="213" t="s">
        <v>282</v>
      </c>
      <c r="H41" s="213">
        <v>0</v>
      </c>
      <c r="I41" s="213">
        <v>6</v>
      </c>
      <c r="K41" s="214" t="str">
        <f t="shared" si="0"/>
        <v>US Equity Options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 US 02/20/26 C400</v>
      </c>
      <c r="M41" s="214" t="str">
        <f t="shared" si="1"/>
        <v>EQTY.IntlUS.off</v>
      </c>
      <c r="N41" s="215">
        <f t="shared" si="2"/>
        <v>0</v>
      </c>
      <c r="O41" s="215">
        <f t="shared" si="3"/>
        <v>6</v>
      </c>
    </row>
    <row r="42" spans="5:15">
      <c r="E42" s="213" t="s">
        <v>319</v>
      </c>
      <c r="F42" s="213" t="s">
        <v>2316</v>
      </c>
      <c r="G42" s="213" t="s">
        <v>282</v>
      </c>
      <c r="H42" s="213">
        <v>4</v>
      </c>
      <c r="I42" s="213">
        <v>0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LITE US 03/20/26 C420</v>
      </c>
      <c r="M42" s="214" t="str">
        <f t="shared" si="1"/>
        <v>EQTY.IntlUS.off</v>
      </c>
      <c r="N42" s="215">
        <f t="shared" si="2"/>
        <v>4</v>
      </c>
      <c r="O42" s="215">
        <f t="shared" si="3"/>
        <v>0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93</v>
      </c>
      <c r="I43" s="213">
        <v>382</v>
      </c>
      <c r="K43" s="214" t="str">
        <f t="shared" si="0"/>
        <v>US Equity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</v>
      </c>
      <c r="M43" s="214" t="str">
        <f t="shared" si="1"/>
        <v>EQTY.IntlUS.off</v>
      </c>
      <c r="N43" s="215">
        <f t="shared" si="2"/>
        <v>93</v>
      </c>
      <c r="O43" s="215">
        <f t="shared" si="3"/>
        <v>382</v>
      </c>
    </row>
    <row r="44" spans="5:15">
      <c r="E44" s="213" t="s">
        <v>319</v>
      </c>
      <c r="F44" s="213" t="s">
        <v>2069</v>
      </c>
      <c r="G44" s="213" t="s">
        <v>282</v>
      </c>
      <c r="H44" s="213">
        <v>3</v>
      </c>
      <c r="I44" s="213">
        <v>3</v>
      </c>
      <c r="K44" s="214" t="str">
        <f t="shared" si="0"/>
        <v>US Equity Options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 US 04/17/26 C690</v>
      </c>
      <c r="M44" s="214" t="str">
        <f t="shared" si="1"/>
        <v>EQTY.IntlUS.off</v>
      </c>
      <c r="N44" s="215">
        <f t="shared" si="2"/>
        <v>3</v>
      </c>
      <c r="O44" s="215">
        <f t="shared" si="3"/>
        <v>3</v>
      </c>
    </row>
    <row r="45" spans="5:15">
      <c r="E45" s="213" t="s">
        <v>319</v>
      </c>
      <c r="F45" s="213" t="s">
        <v>2110</v>
      </c>
      <c r="G45" s="213" t="s">
        <v>282</v>
      </c>
      <c r="H45" s="213">
        <v>0</v>
      </c>
      <c r="I45" s="213">
        <v>1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META US 04/17/26 P570</v>
      </c>
      <c r="M45" s="214" t="str">
        <f t="shared" si="1"/>
        <v>EQTY.IntlUS.off</v>
      </c>
      <c r="N45" s="215">
        <f t="shared" si="2"/>
        <v>0</v>
      </c>
      <c r="O45" s="215">
        <f t="shared" si="3"/>
        <v>1</v>
      </c>
    </row>
    <row r="46" spans="5:15">
      <c r="E46" s="213" t="s">
        <v>319</v>
      </c>
      <c r="F46" s="213" t="s">
        <v>2109</v>
      </c>
      <c r="G46" s="213" t="s">
        <v>282</v>
      </c>
      <c r="H46" s="213">
        <v>0</v>
      </c>
      <c r="I46" s="213">
        <v>-1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US 04/17/26 P600</v>
      </c>
      <c r="M46" s="214" t="str">
        <f t="shared" si="1"/>
        <v>EQTY.IntlUS.off</v>
      </c>
      <c r="N46" s="215">
        <f t="shared" si="2"/>
        <v>0</v>
      </c>
      <c r="O46" s="215">
        <f t="shared" si="3"/>
        <v>-1</v>
      </c>
    </row>
    <row r="47" spans="5:15">
      <c r="E47" s="213" t="s">
        <v>319</v>
      </c>
      <c r="F47" s="213" t="s">
        <v>2319</v>
      </c>
      <c r="G47" s="213" t="s">
        <v>282</v>
      </c>
      <c r="H47" s="213">
        <v>2</v>
      </c>
      <c r="I47" s="213">
        <v>0</v>
      </c>
      <c r="K47" s="214" t="str">
        <f t="shared" si="0"/>
        <v>US Equity Options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META US 07/17/26 C670</v>
      </c>
      <c r="M47" s="214" t="str">
        <f t="shared" si="1"/>
        <v>EQTY.IntlUS.off</v>
      </c>
      <c r="N47" s="215">
        <f t="shared" si="2"/>
        <v>2</v>
      </c>
      <c r="O47" s="215">
        <f t="shared" si="3"/>
        <v>0</v>
      </c>
    </row>
    <row r="48" spans="5:15">
      <c r="E48" s="213" t="s">
        <v>317</v>
      </c>
      <c r="F48" s="213" t="s">
        <v>138</v>
      </c>
      <c r="G48" s="213" t="s">
        <v>282</v>
      </c>
      <c r="H48" s="213">
        <v>-3</v>
      </c>
      <c r="I48" s="213">
        <v>-3</v>
      </c>
      <c r="K48" s="214" t="str">
        <f t="shared" si="0"/>
        <v>US Equity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</v>
      </c>
      <c r="M48" s="214" t="str">
        <f t="shared" si="1"/>
        <v>EQTY.IntlUS.off</v>
      </c>
      <c r="N48" s="215">
        <f t="shared" si="2"/>
        <v>-3</v>
      </c>
      <c r="O48" s="215">
        <f t="shared" si="3"/>
        <v>-3</v>
      </c>
    </row>
    <row r="49" spans="5:15">
      <c r="E49" s="213" t="s">
        <v>319</v>
      </c>
      <c r="F49" s="213" t="s">
        <v>2297</v>
      </c>
      <c r="G49" s="213" t="s">
        <v>282</v>
      </c>
      <c r="H49" s="213">
        <v>-9</v>
      </c>
      <c r="I49" s="213">
        <v>-9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P70</v>
      </c>
      <c r="M49" s="214" t="str">
        <f t="shared" si="1"/>
        <v>EQTY.IntlUS.off</v>
      </c>
      <c r="N49" s="215">
        <f t="shared" si="2"/>
        <v>-9</v>
      </c>
      <c r="O49" s="215">
        <f t="shared" si="3"/>
        <v>-9</v>
      </c>
    </row>
    <row r="50" spans="5:15">
      <c r="E50" s="213" t="s">
        <v>319</v>
      </c>
      <c r="F50" s="213" t="s">
        <v>2099</v>
      </c>
      <c r="G50" s="213" t="s">
        <v>282</v>
      </c>
      <c r="H50" s="213">
        <v>-12</v>
      </c>
      <c r="I50" s="213">
        <v>-12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MRVL US 03/20/26 P75</v>
      </c>
      <c r="M50" s="214" t="str">
        <f t="shared" si="1"/>
        <v>EQTY.IntlUS.off</v>
      </c>
      <c r="N50" s="215">
        <f t="shared" si="2"/>
        <v>-12</v>
      </c>
      <c r="O50" s="215">
        <f t="shared" si="3"/>
        <v>-12</v>
      </c>
    </row>
    <row r="51" spans="5:15">
      <c r="E51" s="213" t="s">
        <v>319</v>
      </c>
      <c r="F51" s="213" t="s">
        <v>2059</v>
      </c>
      <c r="G51" s="213" t="s">
        <v>282</v>
      </c>
      <c r="H51" s="213">
        <v>9</v>
      </c>
      <c r="I51" s="213">
        <v>9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 US 03/20/26 P80</v>
      </c>
      <c r="M51" s="214" t="str">
        <f t="shared" si="1"/>
        <v>EQTY.IntlUS.off</v>
      </c>
      <c r="N51" s="215">
        <f t="shared" si="2"/>
        <v>9</v>
      </c>
      <c r="O51" s="215">
        <f t="shared" si="3"/>
        <v>9</v>
      </c>
    </row>
    <row r="52" spans="5:15">
      <c r="E52" s="213" t="s">
        <v>319</v>
      </c>
      <c r="F52" s="213" t="s">
        <v>2098</v>
      </c>
      <c r="G52" s="213" t="s">
        <v>282</v>
      </c>
      <c r="H52" s="213">
        <v>14</v>
      </c>
      <c r="I52" s="213">
        <v>14</v>
      </c>
      <c r="K52" s="214" t="str">
        <f t="shared" si="0"/>
        <v>US Equity Options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MRVL US 03/20/26 P85</v>
      </c>
      <c r="M52" s="214" t="str">
        <f t="shared" si="1"/>
        <v>EQTY.IntlUS.off</v>
      </c>
      <c r="N52" s="215">
        <f t="shared" si="2"/>
        <v>14</v>
      </c>
      <c r="O52" s="215">
        <f t="shared" si="3"/>
        <v>14</v>
      </c>
    </row>
    <row r="53" spans="5:15">
      <c r="E53" s="213" t="s">
        <v>317</v>
      </c>
      <c r="F53" s="213" t="s">
        <v>90</v>
      </c>
      <c r="G53" s="213" t="s">
        <v>282</v>
      </c>
      <c r="H53" s="213">
        <v>230</v>
      </c>
      <c r="I53" s="213">
        <v>230</v>
      </c>
      <c r="K53" s="214" t="str">
        <f t="shared" si="0"/>
        <v>US Equity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</v>
      </c>
      <c r="M53" s="214" t="str">
        <f t="shared" si="1"/>
        <v>EQTY.IntlUS.off</v>
      </c>
      <c r="N53" s="215">
        <f t="shared" si="2"/>
        <v>230</v>
      </c>
      <c r="O53" s="215">
        <f t="shared" si="3"/>
        <v>230</v>
      </c>
    </row>
    <row r="54" spans="5:15">
      <c r="E54" s="213" t="s">
        <v>319</v>
      </c>
      <c r="F54" s="213" t="s">
        <v>2050</v>
      </c>
      <c r="G54" s="213" t="s">
        <v>282</v>
      </c>
      <c r="H54" s="213">
        <v>-4</v>
      </c>
      <c r="I54" s="213">
        <v>-4</v>
      </c>
      <c r="K54" s="214" t="str">
        <f t="shared" si="0"/>
        <v>US Equity Options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MSFT US 03/20/26 P465</v>
      </c>
      <c r="M54" s="214" t="str">
        <f t="shared" si="1"/>
        <v>EQTY.IntlUS.off</v>
      </c>
      <c r="N54" s="215">
        <f t="shared" si="2"/>
        <v>-4</v>
      </c>
      <c r="O54" s="215">
        <f t="shared" si="3"/>
        <v>-4</v>
      </c>
    </row>
    <row r="55" spans="5:15">
      <c r="E55" s="213" t="s">
        <v>319</v>
      </c>
      <c r="F55" s="213" t="s">
        <v>2321</v>
      </c>
      <c r="G55" s="213" t="s">
        <v>282</v>
      </c>
      <c r="H55" s="213">
        <v>1</v>
      </c>
      <c r="I55" s="213">
        <v>0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MSFT US 07/17/26 C465</v>
      </c>
      <c r="M55" s="214" t="str">
        <f t="shared" si="1"/>
        <v>EQTY.IntlUS.off</v>
      </c>
      <c r="N55" s="215">
        <f t="shared" si="2"/>
        <v>1</v>
      </c>
      <c r="O55" s="215">
        <f t="shared" si="3"/>
        <v>0</v>
      </c>
    </row>
    <row r="56" spans="5:15">
      <c r="E56" s="213" t="s">
        <v>317</v>
      </c>
      <c r="F56" s="213" t="s">
        <v>94</v>
      </c>
      <c r="G56" s="213" t="s">
        <v>282</v>
      </c>
      <c r="H56" s="213">
        <v>1486</v>
      </c>
      <c r="I56" s="213">
        <v>1486</v>
      </c>
      <c r="K56" s="214" t="str">
        <f t="shared" si="0"/>
        <v>US Equity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NVDA</v>
      </c>
      <c r="M56" s="214" t="str">
        <f t="shared" si="1"/>
        <v>EQTY.IntlUS.off</v>
      </c>
      <c r="N56" s="215">
        <f t="shared" si="2"/>
        <v>1486</v>
      </c>
      <c r="O56" s="215">
        <f t="shared" si="3"/>
        <v>1486</v>
      </c>
    </row>
    <row r="57" spans="5:15">
      <c r="E57" s="213" t="s">
        <v>318</v>
      </c>
      <c r="F57" s="213" t="s">
        <v>2323</v>
      </c>
      <c r="G57" s="213" t="s">
        <v>282</v>
      </c>
      <c r="H57" s="213">
        <v>7415</v>
      </c>
      <c r="I57" s="213">
        <v>8090</v>
      </c>
      <c r="K57" s="214" t="str">
        <f t="shared" si="0"/>
        <v>Provisions and Costs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Provision CME USD_</v>
      </c>
      <c r="M57" s="214" t="str">
        <f t="shared" si="1"/>
        <v>EQTY.IntlUS.off</v>
      </c>
      <c r="N57" s="215">
        <f t="shared" si="2"/>
        <v>7415</v>
      </c>
      <c r="O57" s="215">
        <f t="shared" si="3"/>
        <v>8090</v>
      </c>
    </row>
    <row r="58" spans="5:15">
      <c r="E58" s="213" t="s">
        <v>318</v>
      </c>
      <c r="F58" s="213" t="s">
        <v>336</v>
      </c>
      <c r="G58" s="213" t="s">
        <v>282</v>
      </c>
      <c r="H58" s="213">
        <v>-8102</v>
      </c>
      <c r="I58" s="213">
        <v>-930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ETF Options USD_</v>
      </c>
      <c r="M58" s="214" t="str">
        <f t="shared" si="1"/>
        <v>EQTY.IntlUS.off</v>
      </c>
      <c r="N58" s="215">
        <f t="shared" si="2"/>
        <v>-8102</v>
      </c>
      <c r="O58" s="215">
        <f t="shared" si="3"/>
        <v>-930</v>
      </c>
    </row>
    <row r="59" spans="5:15">
      <c r="E59" s="213" t="s">
        <v>318</v>
      </c>
      <c r="F59" s="213" t="s">
        <v>306</v>
      </c>
      <c r="G59" s="213" t="s">
        <v>282</v>
      </c>
      <c r="H59" s="213">
        <v>31132.880000000001</v>
      </c>
      <c r="I59" s="213">
        <v>-62399.33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ETF USD_</v>
      </c>
      <c r="M59" s="214" t="str">
        <f t="shared" si="1"/>
        <v>EQTY.IntlUS.off</v>
      </c>
      <c r="N59" s="215">
        <f t="shared" si="2"/>
        <v>31132.880000000001</v>
      </c>
      <c r="O59" s="215">
        <f t="shared" si="3"/>
        <v>-62399.33</v>
      </c>
    </row>
    <row r="60" spans="5:15">
      <c r="E60" s="213" t="s">
        <v>318</v>
      </c>
      <c r="F60" s="213" t="s">
        <v>2293</v>
      </c>
      <c r="G60" s="213" t="s">
        <v>282</v>
      </c>
      <c r="H60" s="213">
        <v>0</v>
      </c>
      <c r="I60" s="213">
        <v>28075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EUR Equity EUR_</v>
      </c>
      <c r="M60" s="214" t="str">
        <f t="shared" si="1"/>
        <v>EQTY.IntlUS.off</v>
      </c>
      <c r="N60" s="215">
        <f t="shared" si="2"/>
        <v>0</v>
      </c>
      <c r="O60" s="215">
        <f t="shared" si="3"/>
        <v>28075</v>
      </c>
    </row>
    <row r="61" spans="5:15">
      <c r="E61" s="213" t="s">
        <v>318</v>
      </c>
      <c r="F61" s="213" t="s">
        <v>2366</v>
      </c>
      <c r="G61" s="213" t="s">
        <v>282</v>
      </c>
      <c r="H61" s="213">
        <v>-7833.15</v>
      </c>
      <c r="I61" s="213">
        <v>0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Korea Exchange USD_</v>
      </c>
      <c r="M61" s="214" t="str">
        <f t="shared" si="1"/>
        <v>EQTY.IntlUS.off</v>
      </c>
      <c r="N61" s="215">
        <f t="shared" si="2"/>
        <v>-7833.15</v>
      </c>
      <c r="O61" s="215">
        <f t="shared" si="3"/>
        <v>0</v>
      </c>
    </row>
    <row r="62" spans="5:15">
      <c r="E62" s="213" t="s">
        <v>318</v>
      </c>
      <c r="F62" s="213" t="s">
        <v>1666</v>
      </c>
      <c r="G62" s="213" t="s">
        <v>282</v>
      </c>
      <c r="H62" s="213">
        <v>93981.75</v>
      </c>
      <c r="I62" s="213">
        <v>-36524.31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NYSE USD_</v>
      </c>
      <c r="M62" s="214" t="str">
        <f t="shared" si="1"/>
        <v>EQTY.IntlUS.off</v>
      </c>
      <c r="N62" s="215">
        <f t="shared" si="2"/>
        <v>93981.75</v>
      </c>
      <c r="O62" s="215">
        <f t="shared" si="3"/>
        <v>-36524.31</v>
      </c>
    </row>
    <row r="63" spans="5:15">
      <c r="E63" s="213" t="s">
        <v>318</v>
      </c>
      <c r="F63" s="213" t="s">
        <v>2294</v>
      </c>
      <c r="G63" s="213" t="s">
        <v>282</v>
      </c>
      <c r="H63" s="213">
        <v>0</v>
      </c>
      <c r="I63" s="213">
        <v>806.86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Total Return Swap USD_</v>
      </c>
      <c r="M63" s="214" t="str">
        <f t="shared" si="1"/>
        <v>EQTY.IntlUS.off</v>
      </c>
      <c r="N63" s="215">
        <f t="shared" si="2"/>
        <v>0</v>
      </c>
      <c r="O63" s="215">
        <f t="shared" si="3"/>
        <v>806.86</v>
      </c>
    </row>
    <row r="64" spans="5:15">
      <c r="E64" s="213" t="s">
        <v>318</v>
      </c>
      <c r="F64" s="213" t="s">
        <v>337</v>
      </c>
      <c r="G64" s="213" t="s">
        <v>282</v>
      </c>
      <c r="H64" s="213">
        <v>-31804</v>
      </c>
      <c r="I64" s="213">
        <v>-5378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US Equity Options USD_</v>
      </c>
      <c r="M64" s="214" t="str">
        <f t="shared" si="1"/>
        <v>EQTY.IntlUS.off</v>
      </c>
      <c r="N64" s="215">
        <f t="shared" si="2"/>
        <v>-31804</v>
      </c>
      <c r="O64" s="215">
        <f t="shared" si="3"/>
        <v>-5378</v>
      </c>
    </row>
    <row r="65" spans="5:15">
      <c r="E65" s="213" t="s">
        <v>318</v>
      </c>
      <c r="F65" s="213" t="s">
        <v>307</v>
      </c>
      <c r="G65" s="213" t="s">
        <v>282</v>
      </c>
      <c r="H65" s="213">
        <v>232560.34</v>
      </c>
      <c r="I65" s="213">
        <v>-68189.36</v>
      </c>
      <c r="K65" s="214" t="str">
        <f t="shared" si="0"/>
        <v>Provisions and Costs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Provision US Equity USD_</v>
      </c>
      <c r="M65" s="214" t="str">
        <f t="shared" si="1"/>
        <v>EQTY.IntlUS.off</v>
      </c>
      <c r="N65" s="215">
        <f t="shared" si="2"/>
        <v>232560.34</v>
      </c>
      <c r="O65" s="215">
        <f t="shared" si="3"/>
        <v>-68189.36</v>
      </c>
    </row>
    <row r="66" spans="5:15">
      <c r="E66" s="213" t="s">
        <v>324</v>
      </c>
      <c r="F66" s="213" t="s">
        <v>2315</v>
      </c>
      <c r="G66" s="213" t="s">
        <v>282</v>
      </c>
      <c r="H66" s="213">
        <v>0</v>
      </c>
      <c r="I66" s="213">
        <v>0</v>
      </c>
      <c r="K66" s="214" t="str">
        <f t="shared" si="0"/>
        <v>ETF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QQQ US 01/26/26 P615</v>
      </c>
      <c r="M66" s="214" t="str">
        <f t="shared" si="1"/>
        <v>EQTY.IntlUS.off</v>
      </c>
      <c r="N66" s="215">
        <f t="shared" si="2"/>
        <v>0</v>
      </c>
      <c r="O66" s="215">
        <f t="shared" si="3"/>
        <v>0</v>
      </c>
    </row>
    <row r="67" spans="5:15">
      <c r="E67" s="213" t="s">
        <v>324</v>
      </c>
      <c r="F67" s="213" t="s">
        <v>2331</v>
      </c>
      <c r="G67" s="213" t="s">
        <v>282</v>
      </c>
      <c r="H67" s="213">
        <v>15</v>
      </c>
      <c r="I67" s="213">
        <v>0</v>
      </c>
      <c r="K67" s="214" t="str">
        <f t="shared" ref="K67:K130" si="4">IF(E67="","",E67)</f>
        <v>ETF Options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QQQ US 02/06/26 C630</v>
      </c>
      <c r="M67" s="214" t="str">
        <f t="shared" ref="M67:M130" si="5">IF(E67="","",G67)</f>
        <v>EQTY.IntlUS.off</v>
      </c>
      <c r="N67" s="215">
        <f t="shared" ref="N67:N130" si="6">IF(E67="","",H67)</f>
        <v>15</v>
      </c>
      <c r="O67" s="215">
        <f t="shared" ref="O67:O130" si="7">IF(E67="","",I67)</f>
        <v>0</v>
      </c>
    </row>
    <row r="68" spans="5:15">
      <c r="E68" s="213" t="s">
        <v>317</v>
      </c>
      <c r="F68" s="213" t="s">
        <v>2132</v>
      </c>
      <c r="G68" s="213" t="s">
        <v>282</v>
      </c>
      <c r="H68" s="213">
        <v>1689</v>
      </c>
      <c r="I68" s="213">
        <v>1564</v>
      </c>
      <c r="K68" s="214" t="str">
        <f t="shared" si="4"/>
        <v>US Equity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RIOT</v>
      </c>
      <c r="M68" s="214" t="str">
        <f t="shared" si="5"/>
        <v>EQTY.IntlUS.off</v>
      </c>
      <c r="N68" s="215">
        <f t="shared" si="6"/>
        <v>1689</v>
      </c>
      <c r="O68" s="215">
        <f t="shared" si="7"/>
        <v>1564</v>
      </c>
    </row>
    <row r="69" spans="5:15">
      <c r="E69" s="213" t="s">
        <v>319</v>
      </c>
      <c r="F69" s="213" t="s">
        <v>2296</v>
      </c>
      <c r="G69" s="213" t="s">
        <v>282</v>
      </c>
      <c r="H69" s="213">
        <v>0</v>
      </c>
      <c r="I69" s="213">
        <v>1</v>
      </c>
      <c r="K69" s="214" t="str">
        <f t="shared" si="4"/>
        <v>US Equity Options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SNDK US 02/20/26 C500</v>
      </c>
      <c r="M69" s="214" t="str">
        <f t="shared" si="5"/>
        <v>EQTY.IntlUS.off</v>
      </c>
      <c r="N69" s="215">
        <f t="shared" si="6"/>
        <v>0</v>
      </c>
      <c r="O69" s="215">
        <f t="shared" si="7"/>
        <v>1</v>
      </c>
    </row>
    <row r="70" spans="5:15">
      <c r="E70" s="213" t="s">
        <v>319</v>
      </c>
      <c r="F70" s="213" t="s">
        <v>2312</v>
      </c>
      <c r="G70" s="213" t="s">
        <v>282</v>
      </c>
      <c r="H70" s="213">
        <v>1</v>
      </c>
      <c r="I70" s="213">
        <v>0</v>
      </c>
      <c r="K70" s="214" t="str">
        <f t="shared" si="4"/>
        <v>US Equity Options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SNDK US 02/20/26 C550</v>
      </c>
      <c r="M70" s="214" t="str">
        <f t="shared" si="5"/>
        <v>EQTY.IntlUS.off</v>
      </c>
      <c r="N70" s="215">
        <f t="shared" si="6"/>
        <v>1</v>
      </c>
      <c r="O70" s="215">
        <f t="shared" si="7"/>
        <v>0</v>
      </c>
    </row>
    <row r="71" spans="5:15">
      <c r="E71" s="213" t="s">
        <v>2134</v>
      </c>
      <c r="F71" s="213" t="s">
        <v>2324</v>
      </c>
      <c r="G71" s="213" t="s">
        <v>282</v>
      </c>
      <c r="H71" s="213">
        <v>57</v>
      </c>
      <c r="I71" s="213">
        <v>57</v>
      </c>
      <c r="K71" s="214" t="str">
        <f t="shared" si="4"/>
        <v>Equity Total Return Swap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SWAP 000660 KP 23JAN2026 25JAN2027 509.6192</v>
      </c>
      <c r="M71" s="214" t="str">
        <f t="shared" si="5"/>
        <v>EQTY.IntlUS.off</v>
      </c>
      <c r="N71" s="215">
        <f t="shared" si="6"/>
        <v>57</v>
      </c>
      <c r="O71" s="215">
        <f t="shared" si="7"/>
        <v>57</v>
      </c>
    </row>
    <row r="72" spans="5:15">
      <c r="E72" s="213" t="s">
        <v>2134</v>
      </c>
      <c r="F72" s="213" t="s">
        <v>2135</v>
      </c>
      <c r="G72" s="213" t="s">
        <v>282</v>
      </c>
      <c r="H72" s="213">
        <v>100</v>
      </c>
      <c r="I72" s="213">
        <v>100</v>
      </c>
      <c r="K72" s="214" t="str">
        <f t="shared" si="4"/>
        <v>Equity Total Return Swap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000660 KS</v>
      </c>
      <c r="M72" s="214" t="str">
        <f t="shared" si="5"/>
        <v>EQTY.IntlUS.off</v>
      </c>
      <c r="N72" s="215">
        <f t="shared" si="6"/>
        <v>100</v>
      </c>
      <c r="O72" s="215">
        <f t="shared" si="7"/>
        <v>100</v>
      </c>
    </row>
    <row r="73" spans="5:15">
      <c r="E73" s="213" t="s">
        <v>2134</v>
      </c>
      <c r="F73" s="213" t="s">
        <v>2367</v>
      </c>
      <c r="G73" s="213" t="s">
        <v>282</v>
      </c>
      <c r="H73" s="213">
        <v>56</v>
      </c>
      <c r="I73" s="213">
        <v>0</v>
      </c>
      <c r="K73" s="214" t="str">
        <f t="shared" si="4"/>
        <v>Equity Total Return Swap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SWAP 000660 KS 26JAN2026 26JAN2027 509.6192</v>
      </c>
      <c r="M73" s="214" t="str">
        <f t="shared" si="5"/>
        <v>EQTY.IntlUS.off</v>
      </c>
      <c r="N73" s="215">
        <f t="shared" si="6"/>
        <v>56</v>
      </c>
      <c r="O73" s="215">
        <f t="shared" si="7"/>
        <v>0</v>
      </c>
    </row>
    <row r="74" spans="5:15">
      <c r="E74" s="213" t="s">
        <v>39</v>
      </c>
      <c r="F74" s="213" t="s">
        <v>96</v>
      </c>
      <c r="G74" s="213" t="s">
        <v>282</v>
      </c>
      <c r="H74" s="213">
        <v>294</v>
      </c>
      <c r="I74" s="213">
        <v>629</v>
      </c>
      <c r="K74" s="214" t="str">
        <f t="shared" si="4"/>
        <v>ADR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TSM</v>
      </c>
      <c r="M74" s="214" t="str">
        <f t="shared" si="5"/>
        <v>EQTY.IntlUS.off</v>
      </c>
      <c r="N74" s="215">
        <f t="shared" si="6"/>
        <v>294</v>
      </c>
      <c r="O74" s="215">
        <f t="shared" si="7"/>
        <v>629</v>
      </c>
    </row>
    <row r="75" spans="5:15">
      <c r="E75" s="213" t="s">
        <v>327</v>
      </c>
      <c r="F75" s="213" t="s">
        <v>2100</v>
      </c>
      <c r="G75" s="213" t="s">
        <v>282</v>
      </c>
      <c r="H75" s="213">
        <v>0</v>
      </c>
      <c r="I75" s="213">
        <v>5</v>
      </c>
      <c r="K75" s="214" t="str">
        <f t="shared" si="4"/>
        <v>ADR Options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TSM US 03/20/26 C300</v>
      </c>
      <c r="M75" s="214" t="str">
        <f t="shared" si="5"/>
        <v>EQTY.IntlUS.off</v>
      </c>
      <c r="N75" s="215">
        <f t="shared" si="6"/>
        <v>0</v>
      </c>
      <c r="O75" s="215">
        <f t="shared" si="7"/>
        <v>5</v>
      </c>
    </row>
    <row r="76" spans="5:15">
      <c r="E76" s="213" t="s">
        <v>327</v>
      </c>
      <c r="F76" s="213" t="s">
        <v>2235</v>
      </c>
      <c r="G76" s="213" t="s">
        <v>282</v>
      </c>
      <c r="H76" s="213">
        <v>97</v>
      </c>
      <c r="I76" s="213">
        <v>78</v>
      </c>
      <c r="K76" s="214" t="str">
        <f t="shared" si="4"/>
        <v>ADR Options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TSM US 06/18/26 C340</v>
      </c>
      <c r="M76" s="214" t="str">
        <f t="shared" si="5"/>
        <v>EQTY.IntlUS.off</v>
      </c>
      <c r="N76" s="215">
        <f t="shared" si="6"/>
        <v>97</v>
      </c>
      <c r="O76" s="215">
        <f t="shared" si="7"/>
        <v>78</v>
      </c>
    </row>
    <row r="77" spans="5:15">
      <c r="E77" s="213" t="s">
        <v>327</v>
      </c>
      <c r="F77" s="213" t="s">
        <v>2236</v>
      </c>
      <c r="G77" s="213" t="s">
        <v>282</v>
      </c>
      <c r="H77" s="213">
        <v>-88</v>
      </c>
      <c r="I77" s="213">
        <v>-75</v>
      </c>
      <c r="K77" s="214" t="str">
        <f t="shared" si="4"/>
        <v>ADR Options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TSM US 06/18/26 C380</v>
      </c>
      <c r="M77" s="214" t="str">
        <f t="shared" si="5"/>
        <v>EQTY.IntlUS.off</v>
      </c>
      <c r="N77" s="215">
        <f t="shared" si="6"/>
        <v>-88</v>
      </c>
      <c r="O77" s="215">
        <f t="shared" si="7"/>
        <v>-75</v>
      </c>
    </row>
    <row r="78" spans="5:15">
      <c r="E78" s="213" t="s">
        <v>320</v>
      </c>
      <c r="F78" s="213" t="s">
        <v>88</v>
      </c>
      <c r="G78" s="213" t="s">
        <v>282</v>
      </c>
      <c r="H78" s="213">
        <v>2885</v>
      </c>
      <c r="I78" s="213">
        <v>2885</v>
      </c>
      <c r="K78" s="214" t="str">
        <f t="shared" si="4"/>
        <v>ETF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XLF</v>
      </c>
      <c r="M78" s="214" t="str">
        <f t="shared" si="5"/>
        <v>EQTY.IntlUS.off</v>
      </c>
      <c r="N78" s="215">
        <f t="shared" si="6"/>
        <v>2885</v>
      </c>
      <c r="O78" s="215">
        <f t="shared" si="7"/>
        <v>2885</v>
      </c>
    </row>
    <row r="79" spans="5:15">
      <c r="E79" s="213" t="s">
        <v>320</v>
      </c>
      <c r="F79" s="213" t="s">
        <v>4</v>
      </c>
      <c r="G79" s="213" t="s">
        <v>282</v>
      </c>
      <c r="H79" s="213">
        <v>-1735</v>
      </c>
      <c r="I79" s="213">
        <v>-1735</v>
      </c>
      <c r="K79" s="214" t="str">
        <f t="shared" si="4"/>
        <v>ETF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XLP</v>
      </c>
      <c r="M79" s="214" t="str">
        <f t="shared" si="5"/>
        <v>EQTY.IntlUS.off</v>
      </c>
      <c r="N79" s="215">
        <f t="shared" si="6"/>
        <v>-1735</v>
      </c>
      <c r="O79" s="215">
        <f t="shared" si="7"/>
        <v>-1735</v>
      </c>
    </row>
    <row r="80" spans="5:15">
      <c r="H80" s="225"/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93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93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230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230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0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0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294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294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2" sqref="C2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46045</v>
      </c>
      <c r="C2" s="210">
        <v>0</v>
      </c>
    </row>
    <row r="3" spans="1:7">
      <c r="A3" s="208" t="s">
        <v>342</v>
      </c>
      <c r="B3" s="236">
        <f ca="1">B2-1</f>
        <v>46044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Daniel\BooksOverviewResume22Jan2026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Daniel\BooksOverviewResume22Jan2026_zenith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2135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2140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2140</v>
      </c>
      <c r="G98" s="22" t="s">
        <v>2140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55"/>
  <sheetViews>
    <sheetView topLeftCell="A31" zoomScaleNormal="100" workbookViewId="0">
      <selection activeCell="J55" sqref="J55"/>
    </sheetView>
  </sheetViews>
  <sheetFormatPr defaultRowHeight="15"/>
  <cols>
    <col min="2" max="2" width="10.42578125" bestFit="1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6" spans="2:9">
      <c r="B36" s="80"/>
      <c r="C36" s="1"/>
      <c r="F36" s="64"/>
      <c r="H36" s="64"/>
    </row>
    <row r="37" spans="2:9">
      <c r="B37" t="s">
        <v>423</v>
      </c>
      <c r="C37" t="s">
        <v>424</v>
      </c>
      <c r="D37" t="s">
        <v>425</v>
      </c>
      <c r="F37" s="64"/>
      <c r="H37" s="64"/>
    </row>
    <row r="38" spans="2:9">
      <c r="B38">
        <v>1</v>
      </c>
      <c r="C38" s="1">
        <v>4206.29</v>
      </c>
      <c r="D38" s="3">
        <v>10000000</v>
      </c>
      <c r="F38" s="64"/>
      <c r="H38" s="64"/>
      <c r="I38" s="79"/>
    </row>
    <row r="40" spans="2:9">
      <c r="B40">
        <v>10</v>
      </c>
      <c r="C40" s="3">
        <f>0.01%*10000000000/5.3</f>
        <v>188679.24528301888</v>
      </c>
    </row>
    <row r="41" spans="2:9">
      <c r="F41" s="64"/>
    </row>
    <row r="42" spans="2:9">
      <c r="B42">
        <v>1</v>
      </c>
      <c r="C42" s="3">
        <f>B42/B40*C40</f>
        <v>18867.92452830189</v>
      </c>
      <c r="D42" s="18">
        <f>C42/C38*D38</f>
        <v>44856451.952437632</v>
      </c>
      <c r="F42" s="64"/>
    </row>
    <row r="43" spans="2:9">
      <c r="F43" s="64"/>
      <c r="G43" s="79"/>
    </row>
    <row r="50" spans="1:10">
      <c r="I50" s="93" cm="1">
        <f t="array" ref="I50">_xll.BDP("cny Curncy","LAST_PRICE")</f>
        <v>6.9634</v>
      </c>
    </row>
    <row r="51" spans="1:10">
      <c r="F51" s="80">
        <v>46044</v>
      </c>
      <c r="G51" s="80">
        <v>46045</v>
      </c>
      <c r="H51" s="80">
        <v>46044</v>
      </c>
      <c r="I51" s="80">
        <v>46045</v>
      </c>
      <c r="J51" t="s">
        <v>2362</v>
      </c>
    </row>
    <row r="52" spans="1:10">
      <c r="A52" s="445" t="s">
        <v>1930</v>
      </c>
      <c r="B52" s="446">
        <v>46101</v>
      </c>
      <c r="C52" s="445">
        <v>276451</v>
      </c>
      <c r="D52" s="445" t="s">
        <v>1932</v>
      </c>
      <c r="E52" s="445" t="s">
        <v>2153</v>
      </c>
      <c r="F52" s="477">
        <v>9.24</v>
      </c>
      <c r="G52" s="276">
        <v>11.6</v>
      </c>
      <c r="H52" s="267">
        <f>$C52*F52/$I$50</f>
        <v>366833.33429072006</v>
      </c>
      <c r="I52" s="267">
        <f>$C52*G52/$I$50</f>
        <v>460526.69672860962</v>
      </c>
      <c r="J52" s="267">
        <f>I52-H52</f>
        <v>93693.362437889562</v>
      </c>
    </row>
    <row r="53" spans="1:10">
      <c r="A53" s="445" t="s">
        <v>1930</v>
      </c>
      <c r="B53" s="446">
        <v>46101</v>
      </c>
      <c r="C53" s="445">
        <v>276451</v>
      </c>
      <c r="D53" s="445" t="s">
        <v>1932</v>
      </c>
      <c r="E53" s="445" t="s">
        <v>2154</v>
      </c>
      <c r="F53" s="477">
        <v>1.8</v>
      </c>
      <c r="G53" s="276">
        <v>2.7</v>
      </c>
      <c r="H53" s="267">
        <f>$C53*F53/$I$50</f>
        <v>71461.039147542862</v>
      </c>
      <c r="I53" s="267">
        <f>$C53*G53/$I$50</f>
        <v>107191.55872131432</v>
      </c>
      <c r="J53" s="267">
        <f>I53-H53</f>
        <v>35730.519573771453</v>
      </c>
    </row>
    <row r="54" spans="1:10">
      <c r="E54" s="276">
        <f>E53-E52</f>
        <v>15</v>
      </c>
      <c r="F54" s="276">
        <f>F52-F53</f>
        <v>7.44</v>
      </c>
      <c r="G54" s="276">
        <f>G52-G53</f>
        <v>8.8999999999999986</v>
      </c>
      <c r="H54" s="408">
        <f>H52-H53</f>
        <v>295372.29514317721</v>
      </c>
      <c r="I54" s="408">
        <f>I52-I53</f>
        <v>353335.13800729532</v>
      </c>
      <c r="J54" s="408">
        <f>J52-J53</f>
        <v>57962.842864118109</v>
      </c>
    </row>
    <row r="55" spans="1:10">
      <c r="I55" t="s">
        <v>2363</v>
      </c>
      <c r="J55" s="276">
        <f>J54/'Master P&amp;L'!AD7*10000</f>
        <v>0.24189846896954606</v>
      </c>
    </row>
  </sheetData>
  <conditionalFormatting sqref="F52:F53">
    <cfRule type="cellIs" dxfId="45" priority="1" operator="equal">
      <formula>0</formula>
    </cfRule>
  </conditionalFormatting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IF(R2="","",IF(LEN(R2)&gt;9,SUMIFS(Options!$AZ$3:$AZ$23,Options!$B$3:$B$23,'Check result'!R2),SUMIFS('Master P&amp;L'!$AE$11:$AE$77,'Master P&amp;L'!$B$11:$B$77,'Check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IF(R3="","",IF(LEN(R3)&gt;9,SUMIFS(Options!$AZ$3:$AZ$23,Options!$B$3:$B$23,'Check result'!R3),SUMIFS('Master P&amp;L'!$AE$11:$AE$77,'Master P&amp;L'!$B$11:$B$77,'Check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IF(R4="","",IF(LEN(R4)&gt;9,SUMIFS(Options!$AZ$3:$AZ$23,Options!$B$3:$B$23,'Check result'!R4),SUMIFS('Master P&amp;L'!$AE$11:$AE$77,'Master P&amp;L'!$B$11:$B$77,'Check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IF(R5="","",IF(LEN(R5)&gt;9,SUMIFS(Options!$AZ$3:$AZ$23,Options!$B$3:$B$23,'Check result'!R5),SUMIFS('Master P&amp;L'!$AE$11:$AE$77,'Master P&amp;L'!$B$11:$B$77,'Check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IF(R6="","",IF(LEN(R6)&gt;9,SUMIFS(Options!$AZ$3:$AZ$23,Options!$B$3:$B$23,'Check result'!R6),SUMIFS('Master P&amp;L'!$AE$11:$AE$77,'Master P&amp;L'!$B$11:$B$77,'Check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IF(R7="","",IF(LEN(R7)&gt;9,SUMIFS(Options!$AZ$3:$AZ$23,Options!$B$3:$B$23,'Check result'!R7),SUMIFS('Master P&amp;L'!$AE$11:$AE$77,'Master P&amp;L'!$B$11:$B$77,'Check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IF(R8="","",IF(LEN(R8)&gt;9,SUMIFS(Options!$AZ$3:$AZ$23,Options!$B$3:$B$23,'Check result'!R8),SUMIFS('Master P&amp;L'!$AE$11:$AE$77,'Master P&amp;L'!$B$11:$B$77,'Check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IF(R9="","",IF(LEN(R9)&gt;9,SUMIFS(Options!$AZ$3:$AZ$23,Options!$B$3:$B$23,'Check result'!R9),SUMIFS('Master P&amp;L'!$AE$11:$AE$77,'Master P&amp;L'!$B$11:$B$77,'Check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IF(R10="","",IF(LEN(R10)&gt;9,SUMIFS(Options!$AZ$3:$AZ$23,Options!$B$3:$B$23,'Check result'!R10),SUMIFS('Master P&amp;L'!$AE$11:$AE$77,'Master P&amp;L'!$B$11:$B$77,'Check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IF(R11="","",IF(LEN(R11)&gt;9,SUMIFS(Options!$AZ$3:$AZ$23,Options!$B$3:$B$23,'Check result'!R11),SUMIFS('Master P&amp;L'!$AE$11:$AE$77,'Master P&amp;L'!$B$11:$B$77,'Check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IF(R12="","",IF(LEN(R12)&gt;9,SUMIFS(Options!$AZ$3:$AZ$23,Options!$B$3:$B$23,'Check result'!R12),SUMIFS('Master P&amp;L'!$AE$11:$AE$77,'Master P&amp;L'!$B$11:$B$77,'Check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IF(R13="","",IF(LEN(R13)&gt;9,SUMIFS(Options!$AZ$3:$AZ$23,Options!$B$3:$B$23,'Check result'!R13),SUMIFS('Master P&amp;L'!$AE$11:$AE$77,'Master P&amp;L'!$B$11:$B$77,'Check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IF(R14="","",IF(LEN(R14)&gt;9,SUMIFS(Options!$AZ$3:$AZ$23,Options!$B$3:$B$23,'Check result'!R14),SUMIFS('Master P&amp;L'!$AE$11:$AE$77,'Master P&amp;L'!$B$11:$B$77,'Check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IF(R15="","",IF(LEN(R15)&gt;9,SUMIFS(Options!$AZ$3:$AZ$23,Options!$B$3:$B$23,'Check result'!R15),SUMIFS('Master P&amp;L'!$AE$11:$AE$77,'Master P&amp;L'!$B$11:$B$77,'Check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IF(R16="","",IF(LEN(R16)&gt;9,SUMIFS(Options!$AZ$3:$AZ$23,Options!$B$3:$B$23,'Check result'!R16),SUMIFS('Master P&amp;L'!$AE$11:$AE$77,'Master P&amp;L'!$B$11:$B$77,'Check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IF(R17="","",IF(LEN(R17)&gt;9,SUMIFS(Options!$AZ$3:$AZ$23,Options!$B$3:$B$23,'Check result'!R17),SUMIFS('Master P&amp;L'!$AE$11:$AE$77,'Master P&amp;L'!$B$11:$B$77,'Check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IF(R18="","",IF(LEN(R18)&gt;9,SUMIFS(Options!$AZ$3:$AZ$23,Options!$B$3:$B$23,'Check result'!R18),SUMIFS('Master P&amp;L'!$AE$11:$AE$77,'Master P&amp;L'!$B$11:$B$77,'Check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IF(R19="","",IF(LEN(R19)&gt;9,SUMIFS(Options!$AZ$3:$AZ$23,Options!$B$3:$B$23,'Check result'!R19),SUMIFS('Master P&amp;L'!$AE$11:$AE$77,'Master P&amp;L'!$B$11:$B$77,'Check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IF(R20="","",IF(LEN(R20)&gt;9,SUMIFS(Options!$AZ$3:$AZ$23,Options!$B$3:$B$23,'Check result'!R20),SUMIFS('Master P&amp;L'!$AE$11:$AE$77,'Master P&amp;L'!$B$11:$B$77,'Check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IF(R21="","",IF(LEN(R21)&gt;9,SUMIFS(Options!$AZ$3:$AZ$23,Options!$B$3:$B$23,'Check result'!R21),SUMIFS('Master P&amp;L'!$AE$11:$AE$77,'Master P&amp;L'!$B$11:$B$77,'Check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IF(R22="","",IF(LEN(R22)&gt;9,SUMIFS(Options!$AZ$3:$AZ$23,Options!$B$3:$B$23,'Check result'!R22),SUMIFS('Master P&amp;L'!$AE$11:$AE$77,'Master P&amp;L'!$B$11:$B$77,'Check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IF(R23="","",IF(LEN(R23)&gt;9,SUMIFS(Options!$AZ$3:$AZ$23,Options!$B$3:$B$23,'Check result'!R23),SUMIFS('Master P&amp;L'!$AE$11:$AE$77,'Master P&amp;L'!$B$11:$B$77,'Check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IF(R24="","",IF(LEN(R24)&gt;9,SUMIFS(Options!$AZ$3:$AZ$23,Options!$B$3:$B$23,'Check result'!R24),SUMIFS('Master P&amp;L'!$AE$11:$AE$77,'Master P&amp;L'!$B$11:$B$77,'Check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IF(R25="","",IF(LEN(R25)&gt;9,SUMIFS(Options!$AZ$3:$AZ$23,Options!$B$3:$B$23,'Check result'!R25),SUMIFS('Master P&amp;L'!$AE$11:$AE$77,'Master P&amp;L'!$B$11:$B$77,'Check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IF(R26="","",IF(LEN(R26)&gt;9,SUMIFS(Options!$AZ$3:$AZ$23,Options!$B$3:$B$23,'Check result'!R26),SUMIFS('Master P&amp;L'!$AE$11:$AE$77,'Master P&amp;L'!$B$11:$B$77,'Check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IF(R27="","",IF(LEN(R27)&gt;9,SUMIFS(Options!$AZ$3:$AZ$23,Options!$B$3:$B$23,'Check result'!R27),SUMIFS('Master P&amp;L'!$AE$11:$AE$77,'Master P&amp;L'!$B$11:$B$77,'Check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IF(R28="","",IF(LEN(R28)&gt;9,SUMIFS(Options!$AZ$3:$AZ$23,Options!$B$3:$B$23,'Check result'!R28),SUMIFS('Master P&amp;L'!$AE$11:$AE$77,'Master P&amp;L'!$B$11:$B$77,'Check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IF(R29="","",IF(LEN(R29)&gt;9,SUMIFS(Options!$AZ$3:$AZ$23,Options!$B$3:$B$23,'Check result'!R29),SUMIFS('Master P&amp;L'!$AE$11:$AE$77,'Master P&amp;L'!$B$11:$B$77,'Check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IF(R30="","",IF(LEN(R30)&gt;9,SUMIFS(Options!$AZ$3:$AZ$23,Options!$B$3:$B$23,'Check result'!R30),SUMIFS('Master P&amp;L'!$AE$11:$AE$77,'Master P&amp;L'!$B$11:$B$77,'Check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IF(R31="","",IF(LEN(R31)&gt;9,SUMIFS(Options!$AZ$3:$AZ$23,Options!$B$3:$B$23,'Check result'!R31),SUMIFS('Master P&amp;L'!$AE$11:$AE$77,'Master P&amp;L'!$B$11:$B$77,'Check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IF(R32="","",IF(LEN(R32)&gt;9,SUMIFS(Options!$AZ$3:$AZ$23,Options!$B$3:$B$23,'Check result'!R32),SUMIFS('Master P&amp;L'!$AE$11:$AE$77,'Master P&amp;L'!$B$11:$B$77,'Check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IF(R33="","",IF(LEN(R33)&gt;9,SUMIFS(Options!$AZ$3:$AZ$23,Options!$B$3:$B$23,'Check result'!R33),SUMIFS('Master P&amp;L'!$AE$11:$AE$77,'Master P&amp;L'!$B$11:$B$77,'Check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IF(R34="","",IF(LEN(R34)&gt;9,SUMIFS(Options!$AZ$3:$AZ$23,Options!$B$3:$B$23,'Check result'!R34),SUMIFS('Master P&amp;L'!$AE$11:$AE$77,'Master P&amp;L'!$B$11:$B$77,'Check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IF(R35="","",IF(LEN(R35)&gt;9,SUMIFS(Options!$AZ$3:$AZ$23,Options!$B$3:$B$23,'Check result'!R35),SUMIFS('Master P&amp;L'!$AE$11:$AE$77,'Master P&amp;L'!$B$11:$B$77,'Check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IF(R36="","",IF(LEN(R36)&gt;9,SUMIFS(Options!$AZ$3:$AZ$23,Options!$B$3:$B$23,'Check result'!R36),SUMIFS('Master P&amp;L'!$AE$11:$AE$77,'Master P&amp;L'!$B$11:$B$77,'Check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IF(R37="","",IF(LEN(R37)&gt;9,SUMIFS(Options!$AZ$3:$AZ$23,Options!$B$3:$B$23,'Check result'!R37),SUMIFS('Master P&amp;L'!$AE$11:$AE$77,'Master P&amp;L'!$B$11:$B$77,'Check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IF(R38="","",IF(LEN(R38)&gt;9,SUMIFS(Options!$AZ$3:$AZ$23,Options!$B$3:$B$23,'Check result'!R38),SUMIFS('Master P&amp;L'!$AE$11:$AE$77,'Master P&amp;L'!$B$11:$B$77,'Check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IF(R39="","",IF(LEN(R39)&gt;9,SUMIFS(Options!$AZ$3:$AZ$23,Options!$B$3:$B$23,'Check result'!R39),SUMIFS('Master P&amp;L'!$AE$11:$AE$77,'Master P&amp;L'!$B$11:$B$77,'Check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IF(R40="","",IF(LEN(R40)&gt;9,SUMIFS(Options!$AZ$3:$AZ$23,Options!$B$3:$B$23,'Check result'!R40),SUMIFS('Master P&amp;L'!$AE$11:$AE$77,'Master P&amp;L'!$B$11:$B$77,'Check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IF(R41="","",IF(LEN(R41)&gt;9,SUMIFS(Options!$AZ$3:$AZ$23,Options!$B$3:$B$23,'Check result'!R41),SUMIFS('Master P&amp;L'!$AE$11:$AE$77,'Master P&amp;L'!$B$11:$B$77,'Check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IF(R42="","",IF(LEN(R42)&gt;9,SUMIFS(Options!$AZ$3:$AZ$23,Options!$B$3:$B$23,'Check result'!R42),SUMIFS('Master P&amp;L'!$AE$11:$AE$77,'Master P&amp;L'!$B$11:$B$77,'Check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IF(R43="","",IF(LEN(R43)&gt;9,SUMIFS(Options!$AZ$3:$AZ$23,Options!$B$3:$B$23,'Check result'!R43),SUMIFS('Master P&amp;L'!$AE$11:$AE$77,'Master P&amp;L'!$B$11:$B$77,'Check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IF(R44="","",IF(LEN(R44)&gt;9,SUMIFS(Options!$AZ$3:$AZ$23,Options!$B$3:$B$23,'Check result'!R44),SUMIFS('Master P&amp;L'!$AE$11:$AE$77,'Master P&amp;L'!$B$11:$B$77,'Check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IF(R45="","",IF(LEN(R45)&gt;9,SUMIFS(Options!$AZ$3:$AZ$23,Options!$B$3:$B$23,'Check result'!R45),SUMIFS('Master P&amp;L'!$AE$11:$AE$77,'Master P&amp;L'!$B$11:$B$77,'Check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IF(R46="","",IF(LEN(R46)&gt;9,SUMIFS(Options!$AZ$3:$AZ$23,Options!$B$3:$B$23,'Check result'!R46),SUMIFS('Master P&amp;L'!$AE$11:$AE$77,'Master P&amp;L'!$B$11:$B$77,'Check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IF(R47="","",IF(LEN(R47)&gt;9,SUMIFS(Options!$AZ$3:$AZ$23,Options!$B$3:$B$23,'Check result'!R47),SUMIFS('Master P&amp;L'!$AE$11:$AE$77,'Master P&amp;L'!$B$11:$B$77,'Check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IF(R48="","",IF(LEN(R48)&gt;9,SUMIFS(Options!$AZ$3:$AZ$23,Options!$B$3:$B$23,'Check result'!R48),SUMIFS('Master P&amp;L'!$AE$11:$AE$77,'Master P&amp;L'!$B$11:$B$77,'Check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IF(R49="","",IF(LEN(R49)&gt;9,SUMIFS(Options!$AZ$3:$AZ$23,Options!$B$3:$B$23,'Check result'!R49),SUMIFS('Master P&amp;L'!$AE$11:$AE$77,'Master P&amp;L'!$B$11:$B$77,'Check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IF(R50="","",IF(LEN(R50)&gt;9,SUMIFS(Options!$AZ$3:$AZ$23,Options!$B$3:$B$23,'Check result'!R50),SUMIFS('Master P&amp;L'!$AE$11:$AE$77,'Master P&amp;L'!$B$11:$B$77,'Check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IF(R51="","",IF(LEN(R51)&gt;9,SUMIFS(Options!$AZ$3:$AZ$23,Options!$B$3:$B$23,'Check result'!R51),SUMIFS('Master P&amp;L'!$AE$11:$AE$77,'Master P&amp;L'!$B$11:$B$77,'Check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IF(R52="","",IF(LEN(R52)&gt;9,SUMIFS(Options!$AZ$3:$AZ$23,Options!$B$3:$B$23,'Check result'!R52),SUMIFS('Master P&amp;L'!$AE$11:$AE$77,'Master P&amp;L'!$B$11:$B$77,'Check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IF(R53="","",IF(LEN(R53)&gt;9,SUMIFS(Options!$AZ$3:$AZ$23,Options!$B$3:$B$23,'Check result'!R53),SUMIFS('Master P&amp;L'!$AE$11:$AE$77,'Master P&amp;L'!$B$11:$B$77,'Check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IF(R54="","",IF(LEN(R54)&gt;9,SUMIFS(Options!$AZ$3:$AZ$23,Options!$B$3:$B$23,'Check result'!R54),SUMIFS('Master P&amp;L'!$AE$11:$AE$77,'Master P&amp;L'!$B$11:$B$77,'Check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IF(R55="","",IF(LEN(R55)&gt;9,SUMIFS(Options!$AZ$3:$AZ$23,Options!$B$3:$B$23,'Check result'!R55),SUMIFS('Master P&amp;L'!$AE$11:$AE$77,'Master P&amp;L'!$B$11:$B$77,'Check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IF(R56="","",IF(LEN(R56)&gt;9,SUMIFS(Options!$AZ$3:$AZ$23,Options!$B$3:$B$23,'Check result'!R56),SUMIFS('Master P&amp;L'!$AE$11:$AE$77,'Master P&amp;L'!$B$11:$B$77,'Check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IF(R57="","",IF(LEN(R57)&gt;9,SUMIFS(Options!$AZ$3:$AZ$23,Options!$B$3:$B$23,'Check result'!R57),SUMIFS('Master P&amp;L'!$AE$11:$AE$77,'Master P&amp;L'!$B$11:$B$77,'Check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IF(R58="","",IF(LEN(R58)&gt;9,SUMIFS(Options!$AZ$3:$AZ$23,Options!$B$3:$B$23,'Check result'!R58),SUMIFS('Master P&amp;L'!$AE$11:$AE$77,'Master P&amp;L'!$B$11:$B$77,'Check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IF(R59="","",IF(LEN(R59)&gt;9,SUMIFS(Options!$AZ$3:$AZ$23,Options!$B$3:$B$23,'Check result'!R59),SUMIFS('Master P&amp;L'!$AE$11:$AE$77,'Master P&amp;L'!$B$11:$B$77,'Check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IF(R60="","",IF(LEN(R60)&gt;9,SUMIFS(Options!$AZ$3:$AZ$23,Options!$B$3:$B$23,'Check result'!R60),SUMIFS('Master P&amp;L'!$AE$11:$AE$77,'Master P&amp;L'!$B$11:$B$77,'Check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IF(R61="","",IF(LEN(R61)&gt;9,SUMIFS(Options!$AZ$3:$AZ$23,Options!$B$3:$B$23,'Check result'!R61),SUMIFS('Master P&amp;L'!$AE$11:$AE$77,'Master P&amp;L'!$B$11:$B$77,'Check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IF(R62="","",IF(LEN(R62)&gt;9,SUMIFS(Options!$AZ$3:$AZ$23,Options!$B$3:$B$23,'Check result'!R62),SUMIFS('Master P&amp;L'!$AE$11:$AE$77,'Master P&amp;L'!$B$11:$B$77,'Check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IF(R63="","",IF(LEN(R63)&gt;9,SUMIFS(Options!$AZ$3:$AZ$23,Options!$B$3:$B$23,'Check result'!R63),SUMIFS('Master P&amp;L'!$AE$11:$AE$77,'Master P&amp;L'!$B$11:$B$77,'Check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IF(R64="","",IF(LEN(R64)&gt;9,SUMIFS(Options!$AZ$3:$AZ$23,Options!$B$3:$B$23,'Check result'!R64),SUMIFS('Master P&amp;L'!$AE$11:$AE$77,'Master P&amp;L'!$B$11:$B$77,'Check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IF(R65="","",IF(LEN(R65)&gt;9,SUMIFS(Options!$AZ$3:$AZ$23,Options!$B$3:$B$23,'Check result'!R65),SUMIFS('Master P&amp;L'!$AE$11:$AE$77,'Master P&amp;L'!$B$11:$B$77,'Check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IF(R66="","",IF(LEN(R66)&gt;9,SUMIFS(Options!$AZ$3:$AZ$23,Options!$B$3:$B$23,'Check result'!R66),SUMIFS('Master P&amp;L'!$AE$11:$AE$77,'Master P&amp;L'!$B$11:$B$77,'Check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IF(R67="","",IF(LEN(R67)&gt;9,SUMIFS(Options!$AZ$3:$AZ$23,Options!$B$3:$B$23,'Check result'!R67),SUMIFS('Master P&amp;L'!$AE$11:$AE$77,'Master P&amp;L'!$B$11:$B$77,'Check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IF(R68="","",IF(LEN(R68)&gt;9,SUMIFS(Options!$AZ$3:$AZ$23,Options!$B$3:$B$23,'Check result'!R68),SUMIFS('Master P&amp;L'!$AE$11:$AE$77,'Master P&amp;L'!$B$11:$B$77,'Check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IF(R69="","",IF(LEN(R69)&gt;9,SUMIFS(Options!$AZ$3:$AZ$23,Options!$B$3:$B$23,'Check result'!R69),SUMIFS('Master P&amp;L'!$AE$11:$AE$77,'Master P&amp;L'!$B$11:$B$77,'Check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IF(R70="","",IF(LEN(R70)&gt;9,SUMIFS(Options!$AZ$3:$AZ$23,Options!$B$3:$B$23,'Check result'!R70),SUMIFS('Master P&amp;L'!$AE$11:$AE$77,'Master P&amp;L'!$B$11:$B$77,'Check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IF(R71="","",IF(LEN(R71)&gt;9,SUMIFS(Options!$AZ$3:$AZ$23,Options!$B$3:$B$23,'Check result'!R71),SUMIFS('Master P&amp;L'!$AE$11:$AE$77,'Master P&amp;L'!$B$11:$B$77,'Check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IF(R72="","",IF(LEN(R72)&gt;9,SUMIFS(Options!$AZ$3:$AZ$23,Options!$B$3:$B$23,'Check result'!R72),SUMIFS('Master P&amp;L'!$AE$11:$AE$77,'Master P&amp;L'!$B$11:$B$77,'Check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IF(R73="","",IF(LEN(R73)&gt;9,SUMIFS(Options!$AZ$3:$AZ$23,Options!$B$3:$B$23,'Check result'!R73),SUMIFS('Master P&amp;L'!$AE$11:$AE$77,'Master P&amp;L'!$B$11:$B$77,'Check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IF(R74="","",IF(LEN(R74)&gt;9,SUMIFS(Options!$AZ$3:$AZ$23,Options!$B$3:$B$23,'Check result'!R74),SUMIFS('Master P&amp;L'!$AE$11:$AE$77,'Master P&amp;L'!$B$11:$B$77,'Check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IF(R75="","",IF(LEN(R75)&gt;9,SUMIFS(Options!$AZ$3:$AZ$23,Options!$B$3:$B$23,'Check result'!R75),SUMIFS('Master P&amp;L'!$AE$11:$AE$77,'Master P&amp;L'!$B$11:$B$77,'Check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IF(R76="","",IF(LEN(R76)&gt;9,SUMIFS(Options!$AZ$3:$AZ$23,Options!$B$3:$B$23,'Check result'!R76),SUMIFS('Master P&amp;L'!$AE$11:$AE$77,'Master P&amp;L'!$B$11:$B$77,'Check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IF(R77="","",IF(LEN(R77)&gt;9,SUMIFS(Options!$AZ$3:$AZ$23,Options!$B$3:$B$23,'Check result'!R77),SUMIFS('Master P&amp;L'!$AE$11:$AE$77,'Master P&amp;L'!$B$11:$B$77,'Check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IF(R78="","",IF(LEN(R78)&gt;9,SUMIFS(Options!$AZ$3:$AZ$23,Options!$B$3:$B$23,'Check result'!R78),SUMIFS('Master P&amp;L'!$AE$11:$AE$77,'Master P&amp;L'!$B$11:$B$77,'Check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IF(R79="","",IF(LEN(R79)&gt;9,SUMIFS(Options!$AZ$3:$AZ$23,Options!$B$3:$B$23,'Check result'!R79),SUMIFS('Master P&amp;L'!$AE$11:$AE$77,'Master P&amp;L'!$B$11:$B$77,'Check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IF(R80="","",IF(LEN(R80)&gt;9,SUMIFS(Options!$AZ$3:$AZ$23,Options!$B$3:$B$23,'Check result'!R80),SUMIFS('Master P&amp;L'!$AE$11:$AE$77,'Master P&amp;L'!$B$11:$B$77,'Check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IF(R81="","",IF(LEN(R81)&gt;9,SUMIFS(Options!$AZ$3:$AZ$23,Options!$B$3:$B$23,'Check result'!R81),SUMIFS('Master P&amp;L'!$AE$11:$AE$77,'Master P&amp;L'!$B$11:$B$77,'Check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IF(R82="","",IF(LEN(R82)&gt;9,SUMIFS(Options!$AZ$3:$AZ$23,Options!$B$3:$B$23,'Check result'!R82),SUMIFS('Master P&amp;L'!$AE$11:$AE$77,'Master P&amp;L'!$B$11:$B$77,'Check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IF(R83="","",IF(LEN(R83)&gt;9,SUMIFS(Options!$AZ$3:$AZ$23,Options!$B$3:$B$23,'Check result'!R83),SUMIFS('Master P&amp;L'!$AE$11:$AE$77,'Master P&amp;L'!$B$11:$B$77,'Check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IF(R84="","",IF(LEN(R84)&gt;9,SUMIFS(Options!$AZ$3:$AZ$23,Options!$B$3:$B$23,'Check result'!R84),SUMIFS('Master P&amp;L'!$AE$11:$AE$77,'Master P&amp;L'!$B$11:$B$77,'Check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IF(R85="","",IF(LEN(R85)&gt;9,SUMIFS(Options!$AZ$3:$AZ$23,Options!$B$3:$B$23,'Check result'!R85),SUMIFS('Master P&amp;L'!$AE$11:$AE$77,'Master P&amp;L'!$B$11:$B$77,'Check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IF(R86="","",IF(LEN(R86)&gt;9,SUMIFS(Options!$AZ$3:$AZ$23,Options!$B$3:$B$23,'Check result'!R86),SUMIFS('Master P&amp;L'!$AE$11:$AE$77,'Master P&amp;L'!$B$11:$B$77,'Check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IF(R87="","",IF(LEN(R87)&gt;9,SUMIFS(Options!$AZ$3:$AZ$23,Options!$B$3:$B$23,'Check result'!R87),SUMIFS('Master P&amp;L'!$AE$11:$AE$77,'Master P&amp;L'!$B$11:$B$77,'Check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IF(R88="","",IF(LEN(R88)&gt;9,SUMIFS(Options!$AZ$3:$AZ$23,Options!$B$3:$B$23,'Check result'!R88),SUMIFS('Master P&amp;L'!$AE$11:$AE$77,'Master P&amp;L'!$B$11:$B$77,'Check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IF(R89="","",IF(LEN(R89)&gt;9,SUMIFS(Options!$AZ$3:$AZ$23,Options!$B$3:$B$23,'Check result'!R89),SUMIFS('Master P&amp;L'!$AE$11:$AE$77,'Master P&amp;L'!$B$11:$B$77,'Check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IF(R90="","",IF(LEN(R90)&gt;9,SUMIFS(Options!$AZ$3:$AZ$23,Options!$B$3:$B$23,'Check result'!R90),SUMIFS('Master P&amp;L'!$AE$11:$AE$77,'Master P&amp;L'!$B$11:$B$77,'Check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IF(R91="","",IF(LEN(R91)&gt;9,SUMIFS(Options!$AZ$3:$AZ$23,Options!$B$3:$B$23,'Check result'!R91),SUMIFS('Master P&amp;L'!$AE$11:$AE$77,'Master P&amp;L'!$B$11:$B$77,'Check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IF(R92="","",IF(LEN(R92)&gt;9,SUMIFS(Options!$AZ$3:$AZ$23,Options!$B$3:$B$23,'Check result'!R92),SUMIFS('Master P&amp;L'!$AE$11:$AE$77,'Master P&amp;L'!$B$11:$B$77,'Check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IF(R93="","",IF(LEN(R93)&gt;9,SUMIFS(Options!$AZ$3:$AZ$23,Options!$B$3:$B$23,'Check result'!R93),SUMIFS('Master P&amp;L'!$AE$11:$AE$77,'Master P&amp;L'!$B$11:$B$77,'Check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IF(R94="","",IF(LEN(R94)&gt;9,SUMIFS(Options!$AZ$3:$AZ$23,Options!$B$3:$B$23,'Check result'!R94),SUMIFS('Master P&amp;L'!$AE$11:$AE$77,'Master P&amp;L'!$B$11:$B$77,'Check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IF(R95="","",IF(LEN(R95)&gt;9,SUMIFS(Options!$AZ$3:$AZ$23,Options!$B$3:$B$23,'Check result'!R95),SUMIFS('Master P&amp;L'!$AE$11:$AE$77,'Master P&amp;L'!$B$11:$B$77,'Check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IF(R96="","",IF(LEN(R96)&gt;9,SUMIFS(Options!$AZ$3:$AZ$23,Options!$B$3:$B$23,'Check result'!R96),SUMIFS('Master P&amp;L'!$AE$11:$AE$77,'Master P&amp;L'!$B$11:$B$77,'Check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IF(R97="","",IF(LEN(R97)&gt;9,SUMIFS(Options!$AZ$3:$AZ$23,Options!$B$3:$B$23,'Check result'!R97),SUMIFS('Master P&amp;L'!$AE$11:$AE$77,'Master P&amp;L'!$B$11:$B$77,'Check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IF(R98="","",IF(LEN(R98)&gt;9,SUMIFS(Options!$AZ$3:$AZ$23,Options!$B$3:$B$23,'Check result'!R98),SUMIFS('Master P&amp;L'!$AE$11:$AE$77,'Master P&amp;L'!$B$11:$B$77,'Check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IF(R99="","",IF(LEN(R99)&gt;9,SUMIFS(Options!$AZ$3:$AZ$23,Options!$B$3:$B$23,'Check result'!R99),SUMIFS('Master P&amp;L'!$AE$11:$AE$77,'Master P&amp;L'!$B$11:$B$77,'Check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IF(R100="","",IF(LEN(R100)&gt;9,SUMIFS(Options!$AZ$3:$AZ$23,Options!$B$3:$B$23,'Check result'!R100),SUMIFS('Master P&amp;L'!$AE$11:$AE$77,'Master P&amp;L'!$B$11:$B$77,'Check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IF(R101="","",IF(LEN(R101)&gt;9,SUMIFS(Options!$AZ$3:$AZ$23,Options!$B$3:$B$23,'Check result'!R101),SUMIFS('Master P&amp;L'!$AE$11:$AE$77,'Master P&amp;L'!$B$11:$B$77,'Check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IF(R102="","",IF(LEN(R102)&gt;9,SUMIFS(Options!$AZ$3:$AZ$23,Options!$B$3:$B$23,'Check result'!R102),SUMIFS('Master P&amp;L'!$AE$11:$AE$77,'Master P&amp;L'!$B$11:$B$77,'Check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IF(R103="","",IF(LEN(R103)&gt;9,SUMIFS(Options!$AZ$3:$AZ$23,Options!$B$3:$B$23,'Check result'!R103),SUMIFS('Master P&amp;L'!$AE$11:$AE$77,'Master P&amp;L'!$B$11:$B$77,'Check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IF(R104="","",IF(LEN(R104)&gt;9,SUMIFS(Options!$AZ$3:$AZ$23,Options!$B$3:$B$23,'Check result'!R104),SUMIFS('Master P&amp;L'!$AE$11:$AE$77,'Master P&amp;L'!$B$11:$B$77,'Check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IF(R105="","",IF(LEN(R105)&gt;9,SUMIFS(Options!$AZ$3:$AZ$23,Options!$B$3:$B$23,'Check result'!R105),SUMIFS('Master P&amp;L'!$AE$11:$AE$77,'Master P&amp;L'!$B$11:$B$77,'Check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IF(R106="","",IF(LEN(R106)&gt;9,SUMIFS(Options!$AZ$3:$AZ$23,Options!$B$3:$B$23,'Check result'!R106),SUMIFS('Master P&amp;L'!$AE$11:$AE$77,'Master P&amp;L'!$B$11:$B$77,'Check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IF(R107="","",IF(LEN(R107)&gt;9,SUMIFS(Options!$AZ$3:$AZ$23,Options!$B$3:$B$23,'Check result'!R107),SUMIFS('Master P&amp;L'!$AE$11:$AE$77,'Master P&amp;L'!$B$11:$B$77,'Check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IF(R108="","",IF(LEN(R108)&gt;9,SUMIFS(Options!$AZ$3:$AZ$23,Options!$B$3:$B$23,'Check result'!R108),SUMIFS('Master P&amp;L'!$AE$11:$AE$77,'Master P&amp;L'!$B$11:$B$77,'Check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IF(R109="","",IF(LEN(R109)&gt;9,SUMIFS(Options!$AZ$3:$AZ$23,Options!$B$3:$B$23,'Check result'!R109),SUMIFS('Master P&amp;L'!$AE$11:$AE$77,'Master P&amp;L'!$B$11:$B$77,'Check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IF(R110="","",IF(LEN(R110)&gt;9,SUMIFS(Options!$AZ$3:$AZ$23,Options!$B$3:$B$23,'Check result'!R110),SUMIFS('Master P&amp;L'!$AE$11:$AE$77,'Master P&amp;L'!$B$11:$B$77,'Check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IF(R111="","",IF(LEN(R111)&gt;9,SUMIFS(Options!$AZ$3:$AZ$23,Options!$B$3:$B$23,'Check result'!R111),SUMIFS('Master P&amp;L'!$AE$11:$AE$77,'Master P&amp;L'!$B$11:$B$77,'Check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IF(R112="","",IF(LEN(R112)&gt;9,SUMIFS(Options!$AZ$3:$AZ$23,Options!$B$3:$B$23,'Check result'!R112),SUMIFS('Master P&amp;L'!$AE$11:$AE$77,'Master P&amp;L'!$B$11:$B$77,'Check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IF(R113="","",IF(LEN(R113)&gt;9,SUMIFS(Options!$AZ$3:$AZ$23,Options!$B$3:$B$23,'Check result'!R113),SUMIFS('Master P&amp;L'!$AE$11:$AE$77,'Master P&amp;L'!$B$11:$B$77,'Check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IF(R114="","",IF(LEN(R114)&gt;9,SUMIFS(Options!$AZ$3:$AZ$23,Options!$B$3:$B$23,'Check result'!R114),SUMIFS('Master P&amp;L'!$AE$11:$AE$77,'Master P&amp;L'!$B$11:$B$77,'Check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IF(R115="","",IF(LEN(R115)&gt;9,SUMIFS(Options!$AZ$3:$AZ$23,Options!$B$3:$B$23,'Check result'!R115),SUMIFS('Master P&amp;L'!$AE$11:$AE$77,'Master P&amp;L'!$B$11:$B$77,'Check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IF(R116="","",IF(LEN(R116)&gt;9,SUMIFS(Options!$AZ$3:$AZ$23,Options!$B$3:$B$23,'Check result'!R116),SUMIFS('Master P&amp;L'!$AE$11:$AE$77,'Master P&amp;L'!$B$11:$B$77,'Check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IF(R117="","",IF(LEN(R117)&gt;9,SUMIFS(Options!$AZ$3:$AZ$23,Options!$B$3:$B$23,'Check result'!R117),SUMIFS('Master P&amp;L'!$AE$11:$AE$77,'Master P&amp;L'!$B$11:$B$77,'Check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IF(R118="","",IF(LEN(R118)&gt;9,SUMIFS(Options!$AZ$3:$AZ$23,Options!$B$3:$B$23,'Check result'!R118),SUMIFS('Master P&amp;L'!$AE$11:$AE$77,'Master P&amp;L'!$B$11:$B$77,'Check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IF(R119="","",IF(LEN(R119)&gt;9,SUMIFS(Options!$AZ$3:$AZ$23,Options!$B$3:$B$23,'Check result'!R119),SUMIFS('Master P&amp;L'!$AE$11:$AE$77,'Master P&amp;L'!$B$11:$B$77,'Check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IF(R120="","",IF(LEN(R120)&gt;9,SUMIFS(Options!$AZ$3:$AZ$23,Options!$B$3:$B$23,'Check result'!R120),SUMIFS('Master P&amp;L'!$AE$11:$AE$77,'Master P&amp;L'!$B$11:$B$77,'Check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IF(R121="","",IF(LEN(R121)&gt;9,SUMIFS(Options!$AZ$3:$AZ$23,Options!$B$3:$B$23,'Check result'!R121),SUMIFS('Master P&amp;L'!$AE$11:$AE$77,'Master P&amp;L'!$B$11:$B$77,'Check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IF(R122="","",IF(LEN(R122)&gt;9,SUMIFS(Options!$AZ$3:$AZ$23,Options!$B$3:$B$23,'Check result'!R122),SUMIFS('Master P&amp;L'!$AE$11:$AE$77,'Master P&amp;L'!$B$11:$B$77,'Check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IF(R123="","",IF(LEN(R123)&gt;9,SUMIFS(Options!$AZ$3:$AZ$23,Options!$B$3:$B$23,'Check result'!R123),SUMIFS('Master P&amp;L'!$AE$11:$AE$77,'Master P&amp;L'!$B$11:$B$77,'Check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IF(R124="","",IF(LEN(R124)&gt;9,SUMIFS(Options!$AZ$3:$AZ$23,Options!$B$3:$B$23,'Check result'!R124),SUMIFS('Master P&amp;L'!$AE$11:$AE$77,'Master P&amp;L'!$B$11:$B$77,'Check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IF(R125="","",IF(LEN(R125)&gt;9,SUMIFS(Options!$AZ$3:$AZ$23,Options!$B$3:$B$23,'Check result'!R125),SUMIFS('Master P&amp;L'!$AE$11:$AE$77,'Master P&amp;L'!$B$11:$B$77,'Check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IF(R126="","",IF(LEN(R126)&gt;9,SUMIFS(Options!$AZ$3:$AZ$23,Options!$B$3:$B$23,'Check result'!R126),SUMIFS('Master P&amp;L'!$AE$11:$AE$77,'Master P&amp;L'!$B$11:$B$77,'Check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IF(R127="","",IF(LEN(R127)&gt;9,SUMIFS(Options!$AZ$3:$AZ$23,Options!$B$3:$B$23,'Check result'!R127),SUMIFS('Master P&amp;L'!$AE$11:$AE$77,'Master P&amp;L'!$B$11:$B$77,'Check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IF(R128="","",IF(LEN(R128)&gt;9,SUMIFS(Options!$AZ$3:$AZ$23,Options!$B$3:$B$23,'Check result'!R128),SUMIFS('Master P&amp;L'!$AE$11:$AE$77,'Master P&amp;L'!$B$11:$B$77,'Check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IF(R129="","",IF(LEN(R129)&gt;9,SUMIFS(Options!$AZ$3:$AZ$23,Options!$B$3:$B$23,'Check result'!R129),SUMIFS('Master P&amp;L'!$AE$11:$AE$77,'Master P&amp;L'!$B$11:$B$77,'Check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IF(R130="","",IF(LEN(R130)&gt;9,SUMIFS(Options!$AZ$3:$AZ$23,Options!$B$3:$B$23,'Check result'!R130),SUMIFS('Master P&amp;L'!$AE$11:$AE$77,'Master P&amp;L'!$B$11:$B$77,'Check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IF(R131="","",IF(LEN(R131)&gt;9,SUMIFS(Options!$AZ$3:$AZ$23,Options!$B$3:$B$23,'Check result'!R131),SUMIFS('Master P&amp;L'!$AE$11:$AE$77,'Master P&amp;L'!$B$11:$B$77,'Check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IF(R132="","",IF(LEN(R132)&gt;9,SUMIFS(Options!$AZ$3:$AZ$23,Options!$B$3:$B$23,'Check result'!R132),SUMIFS('Master P&amp;L'!$AE$11:$AE$77,'Master P&amp;L'!$B$11:$B$77,'Check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IF(R133="","",IF(LEN(R133)&gt;9,SUMIFS(Options!$AZ$3:$AZ$23,Options!$B$3:$B$23,'Check result'!R133),SUMIFS('Master P&amp;L'!$AE$11:$AE$77,'Master P&amp;L'!$B$11:$B$77,'Check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IF(R134="","",IF(LEN(R134)&gt;9,SUMIFS(Options!$AZ$3:$AZ$23,Options!$B$3:$B$23,'Check result'!R134),SUMIFS('Master P&amp;L'!$AE$11:$AE$77,'Master P&amp;L'!$B$11:$B$77,'Check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IF(R135="","",IF(LEN(R135)&gt;9,SUMIFS(Options!$AZ$3:$AZ$23,Options!$B$3:$B$23,'Check result'!R135),SUMIFS('Master P&amp;L'!$AE$11:$AE$77,'Master P&amp;L'!$B$11:$B$77,'Check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IF(R136="","",IF(LEN(R136)&gt;9,SUMIFS(Options!$AZ$3:$AZ$23,Options!$B$3:$B$23,'Check result'!R136),SUMIFS('Master P&amp;L'!$AE$11:$AE$77,'Master P&amp;L'!$B$11:$B$77,'Check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IF(R137="","",IF(LEN(R137)&gt;9,SUMIFS(Options!$AZ$3:$AZ$23,Options!$B$3:$B$23,'Check result'!R137),SUMIFS('Master P&amp;L'!$AE$11:$AE$77,'Master P&amp;L'!$B$11:$B$77,'Check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IF(R138="","",IF(LEN(R138)&gt;9,SUMIFS(Options!$AZ$3:$AZ$23,Options!$B$3:$B$23,'Check result'!R138),SUMIFS('Master P&amp;L'!$AE$11:$AE$77,'Master P&amp;L'!$B$11:$B$77,'Check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IF(R139="","",IF(LEN(R139)&gt;9,SUMIFS(Options!$AZ$3:$AZ$23,Options!$B$3:$B$23,'Check result'!R139),SUMIFS('Master P&amp;L'!$AE$11:$AE$77,'Master P&amp;L'!$B$11:$B$77,'Check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IF(R140="","",IF(LEN(R140)&gt;9,SUMIFS(Options!$AZ$3:$AZ$23,Options!$B$3:$B$23,'Check result'!R140),SUMIFS('Master P&amp;L'!$AE$11:$AE$77,'Master P&amp;L'!$B$11:$B$77,'Check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IF(R141="","",IF(LEN(R141)&gt;9,SUMIFS(Options!$AZ$3:$AZ$23,Options!$B$3:$B$23,'Check result'!R141),SUMIFS('Master P&amp;L'!$AE$11:$AE$77,'Master P&amp;L'!$B$11:$B$77,'Check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IF(R142="","",IF(LEN(R142)&gt;9,SUMIFS(Options!$AZ$3:$AZ$23,Options!$B$3:$B$23,'Check result'!R142),SUMIFS('Master P&amp;L'!$AE$11:$AE$77,'Master P&amp;L'!$B$11:$B$77,'Check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IF(R143="","",IF(LEN(R143)&gt;9,SUMIFS(Options!$AZ$3:$AZ$23,Options!$B$3:$B$23,'Check result'!R143),SUMIFS('Master P&amp;L'!$AE$11:$AE$77,'Master P&amp;L'!$B$11:$B$77,'Check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IF(R144="","",IF(LEN(R144)&gt;9,SUMIFS(Options!$AZ$3:$AZ$23,Options!$B$3:$B$23,'Check result'!R144),SUMIFS('Master P&amp;L'!$AE$11:$AE$77,'Master P&amp;L'!$B$11:$B$77,'Check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IF(R145="","",IF(LEN(R145)&gt;9,SUMIFS(Options!$AZ$3:$AZ$23,Options!$B$3:$B$23,'Check result'!R145),SUMIFS('Master P&amp;L'!$AE$11:$AE$77,'Master P&amp;L'!$B$11:$B$77,'Check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IF(R146="","",IF(LEN(R146)&gt;9,SUMIFS(Options!$AZ$3:$AZ$23,Options!$B$3:$B$23,'Check result'!R146),SUMIFS('Master P&amp;L'!$AE$11:$AE$77,'Master P&amp;L'!$B$11:$B$77,'Check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IF(R147="","",IF(LEN(R147)&gt;9,SUMIFS(Options!$AZ$3:$AZ$23,Options!$B$3:$B$23,'Check result'!R147),SUMIFS('Master P&amp;L'!$AE$11:$AE$77,'Master P&amp;L'!$B$11:$B$77,'Check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IF(R148="","",IF(LEN(R148)&gt;9,SUMIFS(Options!$AZ$3:$AZ$23,Options!$B$3:$B$23,'Check result'!R148),SUMIFS('Master P&amp;L'!$AE$11:$AE$77,'Master P&amp;L'!$B$11:$B$77,'Check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IF(R149="","",IF(LEN(R149)&gt;9,SUMIFS(Options!$AZ$3:$AZ$23,Options!$B$3:$B$23,'Check result'!R149),SUMIFS('Master P&amp;L'!$AE$11:$AE$77,'Master P&amp;L'!$B$11:$B$77,'Check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IF(R150="","",IF(LEN(R150)&gt;9,SUMIFS(Options!$AZ$3:$AZ$23,Options!$B$3:$B$23,'Check result'!R150),SUMIFS('Master P&amp;L'!$AE$11:$AE$77,'Master P&amp;L'!$B$11:$B$77,'Check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IF(R151="","",IF(LEN(R151)&gt;9,SUMIFS(Options!$AZ$3:$AZ$23,Options!$B$3:$B$23,'Check result'!R151),SUMIFS('Master P&amp;L'!$AE$11:$AE$77,'Master P&amp;L'!$B$11:$B$77,'Check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IF(R152="","",IF(LEN(R152)&gt;9,SUMIFS(Options!$AZ$3:$AZ$23,Options!$B$3:$B$23,'Check result'!R152),SUMIFS('Master P&amp;L'!$AE$11:$AE$77,'Master P&amp;L'!$B$11:$B$77,'Check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IF(R153="","",IF(LEN(R153)&gt;9,SUMIFS(Options!$AZ$3:$AZ$23,Options!$B$3:$B$23,'Check result'!R153),SUMIFS('Master P&amp;L'!$AE$11:$AE$77,'Master P&amp;L'!$B$11:$B$77,'Check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IF(R154="","",IF(LEN(R154)&gt;9,SUMIFS(Options!$AZ$3:$AZ$23,Options!$B$3:$B$23,'Check result'!R154),SUMIFS('Master P&amp;L'!$AE$11:$AE$77,'Master P&amp;L'!$B$11:$B$77,'Check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IF(R155="","",IF(LEN(R155)&gt;9,SUMIFS(Options!$AZ$3:$AZ$23,Options!$B$3:$B$23,'Check result'!R155),SUMIFS('Master P&amp;L'!$AE$11:$AE$77,'Master P&amp;L'!$B$11:$B$77,'Check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IF(R156="","",IF(LEN(R156)&gt;9,SUMIFS(Options!$AZ$3:$AZ$23,Options!$B$3:$B$23,'Check result'!R156),SUMIFS('Master P&amp;L'!$AE$11:$AE$77,'Master P&amp;L'!$B$11:$B$77,'Check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IF(R157="","",IF(LEN(R157)&gt;9,SUMIFS(Options!$AZ$3:$AZ$23,Options!$B$3:$B$23,'Check result'!R157),SUMIFS('Master P&amp;L'!$AE$11:$AE$77,'Master P&amp;L'!$B$11:$B$77,'Check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IF(R158="","",IF(LEN(R158)&gt;9,SUMIFS(Options!$AZ$3:$AZ$23,Options!$B$3:$B$23,'Check result'!R158),SUMIFS('Master P&amp;L'!$AE$11:$AE$77,'Master P&amp;L'!$B$11:$B$77,'Check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IF(R159="","",IF(LEN(R159)&gt;9,SUMIFS(Options!$AZ$3:$AZ$23,Options!$B$3:$B$23,'Check result'!R159),SUMIFS('Master P&amp;L'!$AE$11:$AE$77,'Master P&amp;L'!$B$11:$B$77,'Check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IF(R160="","",IF(LEN(R160)&gt;9,SUMIFS(Options!$AZ$3:$AZ$23,Options!$B$3:$B$23,'Check result'!R160),SUMIFS('Master P&amp;L'!$AE$11:$AE$77,'Master P&amp;L'!$B$11:$B$77,'Check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IF(R161="","",IF(LEN(R161)&gt;9,SUMIFS(Options!$AZ$3:$AZ$23,Options!$B$3:$B$23,'Check result'!R161),SUMIFS('Master P&amp;L'!$AE$11:$AE$77,'Master P&amp;L'!$B$11:$B$77,'Check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IF(R162="","",IF(LEN(R162)&gt;9,SUMIFS(Options!$AZ$3:$AZ$23,Options!$B$3:$B$23,'Check result'!R162),SUMIFS('Master P&amp;L'!$AE$11:$AE$77,'Master P&amp;L'!$B$11:$B$77,'Check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IF(R163="","",IF(LEN(R163)&gt;9,SUMIFS(Options!$AZ$3:$AZ$23,Options!$B$3:$B$23,'Check result'!R163),SUMIFS('Master P&amp;L'!$AE$11:$AE$77,'Master P&amp;L'!$B$11:$B$77,'Check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IF(R164="","",IF(LEN(R164)&gt;9,SUMIFS(Options!$AZ$3:$AZ$23,Options!$B$3:$B$23,'Check result'!R164),SUMIFS('Master P&amp;L'!$AE$11:$AE$77,'Master P&amp;L'!$B$11:$B$77,'Check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IF(R165="","",IF(LEN(R165)&gt;9,SUMIFS(Options!$AZ$3:$AZ$23,Options!$B$3:$B$23,'Check result'!R165),SUMIFS('Master P&amp;L'!$AE$11:$AE$77,'Master P&amp;L'!$B$11:$B$77,'Check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33"/>
  <sheetViews>
    <sheetView topLeftCell="B1" workbookViewId="0">
      <selection activeCell="L2" sqref="L2:L3"/>
    </sheetView>
  </sheetViews>
  <sheetFormatPr defaultRowHeight="15"/>
  <cols>
    <col min="1" max="1" width="10.140625" bestFit="1" customWidth="1"/>
    <col min="2" max="2" width="27.28515625" bestFit="1" customWidth="1"/>
    <col min="3" max="3" width="32.42578125" bestFit="1" customWidth="1"/>
    <col min="4" max="4" width="14.5703125" bestFit="1" customWidth="1"/>
    <col min="5" max="5" width="10.140625" bestFit="1" customWidth="1"/>
    <col min="6" max="6" width="3.85546875" bestFit="1" customWidth="1"/>
    <col min="7" max="7" width="8" bestFit="1" customWidth="1"/>
    <col min="8" max="8" width="9.42578125" bestFit="1" customWidth="1"/>
    <col min="9" max="9" width="4.5703125" bestFit="1" customWidth="1"/>
    <col min="10" max="10" width="9" bestFit="1" customWidth="1"/>
    <col min="11" max="16" width="12" bestFit="1" customWidth="1"/>
    <col min="17" max="17" width="19.42578125" bestFit="1" customWidth="1"/>
  </cols>
  <sheetData>
    <row r="1" spans="1:24">
      <c r="A1" s="511" t="s">
        <v>339</v>
      </c>
      <c r="B1" s="512" t="s">
        <v>1913</v>
      </c>
      <c r="C1" s="513" t="s">
        <v>1914</v>
      </c>
      <c r="D1" s="514" t="s">
        <v>1915</v>
      </c>
      <c r="E1" s="515" t="s">
        <v>1916</v>
      </c>
      <c r="F1" s="515" t="s">
        <v>1917</v>
      </c>
      <c r="G1" s="515" t="s">
        <v>203</v>
      </c>
      <c r="H1" s="515" t="s">
        <v>218</v>
      </c>
      <c r="I1" s="515" t="s">
        <v>1918</v>
      </c>
      <c r="J1" s="515" t="s">
        <v>1919</v>
      </c>
      <c r="K1" s="516" t="s">
        <v>1920</v>
      </c>
      <c r="L1" s="517" t="s">
        <v>1921</v>
      </c>
      <c r="M1" s="518" t="s">
        <v>1922</v>
      </c>
      <c r="N1" s="514" t="s">
        <v>1923</v>
      </c>
      <c r="O1" s="509" t="s">
        <v>1924</v>
      </c>
      <c r="P1" s="519" t="s">
        <v>1</v>
      </c>
      <c r="Q1" s="529" t="s">
        <v>1925</v>
      </c>
    </row>
    <row r="2" spans="1:24">
      <c r="A2" s="442">
        <v>46044</v>
      </c>
      <c r="B2" s="443" t="s">
        <v>1896</v>
      </c>
      <c r="C2" s="444" t="s">
        <v>1929</v>
      </c>
      <c r="D2" s="445" t="s">
        <v>1930</v>
      </c>
      <c r="E2" s="446">
        <v>46101</v>
      </c>
      <c r="F2" s="445" t="s">
        <v>1931</v>
      </c>
      <c r="G2" s="445" t="s">
        <v>1932</v>
      </c>
      <c r="H2" s="445" t="s">
        <v>2153</v>
      </c>
      <c r="I2" s="445" t="s">
        <v>1927</v>
      </c>
      <c r="J2" s="520">
        <v>112.59</v>
      </c>
      <c r="K2" s="445">
        <v>8.5900000000000034</v>
      </c>
      <c r="L2" s="508">
        <v>9.24</v>
      </c>
      <c r="M2" s="521">
        <v>9.24</v>
      </c>
      <c r="N2" s="520">
        <v>9.24</v>
      </c>
      <c r="O2" s="522">
        <v>9.24</v>
      </c>
      <c r="P2" s="523">
        <v>22.482020599999998</v>
      </c>
      <c r="Q2" s="447" t="s">
        <v>1928</v>
      </c>
      <c r="R2" s="414">
        <f>L2-L3</f>
        <v>7.44</v>
      </c>
      <c r="T2" s="508">
        <v>8.64</v>
      </c>
      <c r="U2" s="414">
        <f>T2-T3</f>
        <v>7.08</v>
      </c>
      <c r="W2" s="508">
        <v>11.6</v>
      </c>
      <c r="X2" s="414">
        <f>W2-W3</f>
        <v>8.8999999999999986</v>
      </c>
    </row>
    <row r="3" spans="1:24">
      <c r="A3" s="442">
        <v>46044</v>
      </c>
      <c r="B3" s="443" t="s">
        <v>1897</v>
      </c>
      <c r="C3" s="444" t="s">
        <v>1934</v>
      </c>
      <c r="D3" s="445" t="s">
        <v>1930</v>
      </c>
      <c r="E3" s="446">
        <v>46101</v>
      </c>
      <c r="F3" s="445" t="s">
        <v>1931</v>
      </c>
      <c r="G3" s="445" t="s">
        <v>1932</v>
      </c>
      <c r="H3" s="445" t="s">
        <v>2154</v>
      </c>
      <c r="I3" s="445" t="s">
        <v>1927</v>
      </c>
      <c r="J3" s="520">
        <v>112.59</v>
      </c>
      <c r="K3" s="445">
        <v>0</v>
      </c>
      <c r="L3" s="508">
        <v>1.8</v>
      </c>
      <c r="M3" s="521">
        <v>1.8</v>
      </c>
      <c r="N3" s="520">
        <v>1.8</v>
      </c>
      <c r="O3" s="522">
        <v>1.8</v>
      </c>
      <c r="P3" s="523">
        <v>24.10078236</v>
      </c>
      <c r="Q3" s="447" t="s">
        <v>1933</v>
      </c>
      <c r="T3" s="508">
        <v>1.56</v>
      </c>
      <c r="W3" s="508">
        <v>2.7</v>
      </c>
    </row>
    <row r="4" spans="1:24">
      <c r="A4" s="442">
        <v>46044</v>
      </c>
      <c r="B4" s="443" t="s">
        <v>1939</v>
      </c>
      <c r="C4" s="444" t="s">
        <v>1940</v>
      </c>
      <c r="D4" s="445" t="s">
        <v>1941</v>
      </c>
      <c r="E4" s="446">
        <v>46280</v>
      </c>
      <c r="F4" s="445" t="s">
        <v>1931</v>
      </c>
      <c r="G4" s="445" t="s">
        <v>1932</v>
      </c>
      <c r="H4" s="445" t="s">
        <v>2155</v>
      </c>
      <c r="I4" s="445" t="s">
        <v>1927</v>
      </c>
      <c r="J4" s="524">
        <v>8295.7800000000007</v>
      </c>
      <c r="K4" s="445">
        <v>808.53100000000086</v>
      </c>
      <c r="L4" s="525">
        <v>991.71392528110596</v>
      </c>
      <c r="M4" s="526">
        <v>991.71392528110596</v>
      </c>
      <c r="N4" s="445">
        <v>991.71392528110596</v>
      </c>
      <c r="O4" s="527">
        <v>872.37040681521205</v>
      </c>
      <c r="P4" s="448">
        <v>19.752202896862595</v>
      </c>
      <c r="Q4" s="447" t="s">
        <v>1928</v>
      </c>
    </row>
    <row r="5" spans="1:24">
      <c r="A5" s="442">
        <v>46044</v>
      </c>
      <c r="B5" s="443" t="s">
        <v>1942</v>
      </c>
      <c r="C5" s="444" t="s">
        <v>1943</v>
      </c>
      <c r="D5" s="445" t="s">
        <v>1941</v>
      </c>
      <c r="E5" s="446">
        <v>46280</v>
      </c>
      <c r="F5" s="445" t="s">
        <v>1931</v>
      </c>
      <c r="G5" s="445" t="s">
        <v>1932</v>
      </c>
      <c r="H5" s="445" t="s">
        <v>2156</v>
      </c>
      <c r="I5" s="445" t="s">
        <v>1927</v>
      </c>
      <c r="J5" s="524">
        <v>8295.7800000000007</v>
      </c>
      <c r="K5" s="445">
        <v>95.459700000001249</v>
      </c>
      <c r="L5" s="525">
        <v>563.64082394683783</v>
      </c>
      <c r="M5" s="526">
        <v>563.64082394683783</v>
      </c>
      <c r="N5" s="445">
        <v>563.64082394683783</v>
      </c>
      <c r="O5" s="527">
        <v>480.27632538744484</v>
      </c>
      <c r="P5" s="448">
        <v>19.752202896862595</v>
      </c>
      <c r="Q5" s="447" t="s">
        <v>1928</v>
      </c>
    </row>
    <row r="6" spans="1:24">
      <c r="A6" s="442">
        <v>46044</v>
      </c>
      <c r="B6" s="448" t="s">
        <v>1944</v>
      </c>
      <c r="C6" s="444" t="s">
        <v>1945</v>
      </c>
      <c r="D6" s="445" t="s">
        <v>1946</v>
      </c>
      <c r="E6" s="446">
        <v>46129</v>
      </c>
      <c r="F6" s="445" t="s">
        <v>1931</v>
      </c>
      <c r="G6" s="445" t="s">
        <v>194</v>
      </c>
      <c r="H6" s="445" t="s">
        <v>2157</v>
      </c>
      <c r="I6" s="445"/>
      <c r="J6" s="449">
        <v>2.74</v>
      </c>
      <c r="K6" s="445">
        <v>0.19000000000000039</v>
      </c>
      <c r="L6" s="450">
        <v>0.30902168447438705</v>
      </c>
      <c r="M6" s="451">
        <v>0.30902168447438705</v>
      </c>
      <c r="N6" s="445">
        <v>0.30902168447438705</v>
      </c>
      <c r="O6" s="445">
        <v>0.30923058220253441</v>
      </c>
      <c r="P6" s="448">
        <v>35.708811508410406</v>
      </c>
      <c r="Q6" s="447" t="s">
        <v>1928</v>
      </c>
    </row>
    <row r="7" spans="1:24">
      <c r="A7" s="442">
        <v>46044</v>
      </c>
      <c r="B7" s="448" t="s">
        <v>1947</v>
      </c>
      <c r="C7" s="444" t="s">
        <v>1948</v>
      </c>
      <c r="D7" s="445" t="s">
        <v>1946</v>
      </c>
      <c r="E7" s="446">
        <v>46129</v>
      </c>
      <c r="F7" s="445" t="s">
        <v>1926</v>
      </c>
      <c r="G7" s="445" t="s">
        <v>194</v>
      </c>
      <c r="H7" s="445" t="s">
        <v>2158</v>
      </c>
      <c r="I7" s="445"/>
      <c r="J7" s="449">
        <v>2.74</v>
      </c>
      <c r="K7" s="445">
        <v>0</v>
      </c>
      <c r="L7" s="450">
        <v>3.4425933465058886E-2</v>
      </c>
      <c r="M7" s="451">
        <v>3.4425933465058886E-2</v>
      </c>
      <c r="N7" s="445">
        <v>3.4425933465058886E-2</v>
      </c>
      <c r="O7" s="445">
        <v>3.4425933465058886E-2</v>
      </c>
      <c r="P7" s="448">
        <v>59.009585119688332</v>
      </c>
      <c r="Q7" s="447" t="s">
        <v>1928</v>
      </c>
    </row>
    <row r="8" spans="1:24">
      <c r="A8" s="442">
        <v>46044</v>
      </c>
      <c r="B8" s="448" t="s">
        <v>1949</v>
      </c>
      <c r="C8" s="444" t="s">
        <v>1950</v>
      </c>
      <c r="D8" s="445" t="s">
        <v>1946</v>
      </c>
      <c r="E8" s="446">
        <v>46129</v>
      </c>
      <c r="F8" s="445" t="s">
        <v>1926</v>
      </c>
      <c r="G8" s="445" t="s">
        <v>194</v>
      </c>
      <c r="H8" s="445" t="s">
        <v>2159</v>
      </c>
      <c r="I8" s="445"/>
      <c r="J8" s="449">
        <v>2.74</v>
      </c>
      <c r="K8" s="445">
        <v>0</v>
      </c>
      <c r="L8" s="450">
        <v>4.3873592963820228E-2</v>
      </c>
      <c r="M8" s="451">
        <v>4.3873592963820228E-2</v>
      </c>
      <c r="N8" s="445">
        <v>4.3873592963820228E-2</v>
      </c>
      <c r="O8" s="445">
        <v>4.3873592963820228E-2</v>
      </c>
      <c r="P8" s="448">
        <v>43.322363954034685</v>
      </c>
      <c r="Q8" s="447" t="s">
        <v>1928</v>
      </c>
    </row>
    <row r="9" spans="1:24">
      <c r="A9" s="442">
        <v>46044</v>
      </c>
      <c r="B9" s="448" t="s">
        <v>2017</v>
      </c>
      <c r="C9" s="444" t="s">
        <v>2023</v>
      </c>
      <c r="D9" s="445" t="s">
        <v>1938</v>
      </c>
      <c r="E9" s="446">
        <v>46191</v>
      </c>
      <c r="F9" s="445" t="s">
        <v>1931</v>
      </c>
      <c r="G9" s="445" t="s">
        <v>194</v>
      </c>
      <c r="H9" s="445" t="s">
        <v>2160</v>
      </c>
      <c r="I9" s="445"/>
      <c r="J9" s="449">
        <v>327.37</v>
      </c>
      <c r="K9" s="445">
        <v>27.370000000000005</v>
      </c>
      <c r="L9" s="450">
        <v>48.8</v>
      </c>
      <c r="M9" s="451">
        <v>49.6</v>
      </c>
      <c r="N9" s="445">
        <v>49.2</v>
      </c>
      <c r="O9" s="445">
        <v>49.2</v>
      </c>
      <c r="P9" s="448"/>
      <c r="Q9" s="447" t="s">
        <v>1935</v>
      </c>
    </row>
    <row r="10" spans="1:24">
      <c r="A10" s="442">
        <v>46044</v>
      </c>
      <c r="B10" s="448" t="s">
        <v>2016</v>
      </c>
      <c r="C10" s="444" t="s">
        <v>2024</v>
      </c>
      <c r="D10" s="445" t="s">
        <v>1938</v>
      </c>
      <c r="E10" s="446">
        <v>46191</v>
      </c>
      <c r="F10" s="445" t="s">
        <v>1931</v>
      </c>
      <c r="G10" s="445" t="s">
        <v>194</v>
      </c>
      <c r="H10" s="445" t="s">
        <v>2161</v>
      </c>
      <c r="I10" s="445"/>
      <c r="J10" s="449">
        <v>327.37</v>
      </c>
      <c r="K10" s="445">
        <v>0</v>
      </c>
      <c r="L10" s="450">
        <v>17.45</v>
      </c>
      <c r="M10" s="451">
        <v>18.55</v>
      </c>
      <c r="N10" s="445">
        <v>18</v>
      </c>
      <c r="O10" s="445">
        <v>18</v>
      </c>
      <c r="P10" s="448"/>
      <c r="Q10" s="447" t="s">
        <v>1935</v>
      </c>
    </row>
    <row r="11" spans="1:24">
      <c r="A11" s="442">
        <v>46044</v>
      </c>
      <c r="B11" s="448" t="s">
        <v>2019</v>
      </c>
      <c r="C11" s="444" t="s">
        <v>2025</v>
      </c>
      <c r="D11" s="445" t="s">
        <v>1938</v>
      </c>
      <c r="E11" s="446">
        <v>46191</v>
      </c>
      <c r="F11" s="445" t="s">
        <v>1926</v>
      </c>
      <c r="G11" s="445" t="s">
        <v>194</v>
      </c>
      <c r="H11" s="445" t="s">
        <v>2162</v>
      </c>
      <c r="I11" s="445"/>
      <c r="J11" s="449">
        <v>327.37</v>
      </c>
      <c r="K11" s="445">
        <v>0</v>
      </c>
      <c r="L11" s="450">
        <v>5.4</v>
      </c>
      <c r="M11" s="451">
        <v>6.1</v>
      </c>
      <c r="N11" s="445">
        <v>5.75</v>
      </c>
      <c r="O11" s="445">
        <v>5.75</v>
      </c>
      <c r="P11" s="448"/>
      <c r="Q11" s="447" t="s">
        <v>1935</v>
      </c>
    </row>
    <row r="12" spans="1:24">
      <c r="A12" s="442">
        <v>46044</v>
      </c>
      <c r="B12" s="448" t="s">
        <v>2018</v>
      </c>
      <c r="C12" s="444" t="s">
        <v>2026</v>
      </c>
      <c r="D12" s="445" t="s">
        <v>1938</v>
      </c>
      <c r="E12" s="446">
        <v>46191</v>
      </c>
      <c r="F12" s="445" t="s">
        <v>1926</v>
      </c>
      <c r="G12" s="445" t="s">
        <v>194</v>
      </c>
      <c r="H12" s="445" t="s">
        <v>2163</v>
      </c>
      <c r="I12" s="445"/>
      <c r="J12" s="449">
        <v>327.37</v>
      </c>
      <c r="K12" s="445">
        <v>0</v>
      </c>
      <c r="L12" s="450">
        <v>2.1</v>
      </c>
      <c r="M12" s="451">
        <v>2.58</v>
      </c>
      <c r="N12" s="445">
        <v>2.34</v>
      </c>
      <c r="O12" s="445">
        <v>2.34</v>
      </c>
      <c r="P12" s="448"/>
      <c r="Q12" s="447" t="s">
        <v>1935</v>
      </c>
    </row>
    <row r="13" spans="1:24">
      <c r="A13" s="442">
        <v>46044</v>
      </c>
      <c r="B13" s="448" t="s">
        <v>2022</v>
      </c>
      <c r="C13" s="444" t="s">
        <v>2027</v>
      </c>
      <c r="D13" s="445" t="s">
        <v>1937</v>
      </c>
      <c r="E13" s="446">
        <v>46191</v>
      </c>
      <c r="F13" s="445" t="s">
        <v>1926</v>
      </c>
      <c r="G13" s="445" t="s">
        <v>194</v>
      </c>
      <c r="H13" s="445" t="s">
        <v>2164</v>
      </c>
      <c r="I13" s="445"/>
      <c r="J13" s="449">
        <v>451.14</v>
      </c>
      <c r="K13" s="445">
        <v>0</v>
      </c>
      <c r="L13" s="450">
        <v>18.100000000000001</v>
      </c>
      <c r="M13" s="451">
        <v>18.3</v>
      </c>
      <c r="N13" s="445">
        <v>18.200000000000003</v>
      </c>
      <c r="O13" s="445">
        <v>18.200000000000003</v>
      </c>
      <c r="P13" s="448"/>
      <c r="Q13" s="447" t="s">
        <v>1935</v>
      </c>
    </row>
    <row r="14" spans="1:24">
      <c r="A14" s="442">
        <v>46044</v>
      </c>
      <c r="B14" s="448" t="s">
        <v>2021</v>
      </c>
      <c r="C14" s="444" t="s">
        <v>2028</v>
      </c>
      <c r="D14" s="445" t="s">
        <v>1937</v>
      </c>
      <c r="E14" s="446">
        <v>46191</v>
      </c>
      <c r="F14" s="445" t="s">
        <v>1931</v>
      </c>
      <c r="G14" s="445" t="s">
        <v>194</v>
      </c>
      <c r="H14" s="445" t="s">
        <v>2165</v>
      </c>
      <c r="I14" s="445"/>
      <c r="J14" s="449">
        <v>451.14</v>
      </c>
      <c r="K14" s="445">
        <v>0</v>
      </c>
      <c r="L14" s="450">
        <v>11.45</v>
      </c>
      <c r="M14" s="451">
        <v>11.6</v>
      </c>
      <c r="N14" s="445">
        <v>11.524999999999999</v>
      </c>
      <c r="O14" s="445">
        <v>11.524999999999999</v>
      </c>
      <c r="P14" s="448"/>
      <c r="Q14" s="447" t="s">
        <v>1935</v>
      </c>
    </row>
    <row r="15" spans="1:24">
      <c r="A15" s="442">
        <v>46044</v>
      </c>
      <c r="B15" s="448" t="s">
        <v>2020</v>
      </c>
      <c r="C15" s="444" t="s">
        <v>2029</v>
      </c>
      <c r="D15" s="445" t="s">
        <v>1937</v>
      </c>
      <c r="E15" s="446">
        <v>46191</v>
      </c>
      <c r="F15" s="445" t="s">
        <v>1931</v>
      </c>
      <c r="G15" s="445" t="s">
        <v>194</v>
      </c>
      <c r="H15" s="445" t="s">
        <v>2166</v>
      </c>
      <c r="I15" s="445"/>
      <c r="J15" s="449">
        <v>451.14</v>
      </c>
      <c r="K15" s="445">
        <v>0</v>
      </c>
      <c r="L15" s="450">
        <v>2.75</v>
      </c>
      <c r="M15" s="451">
        <v>2.82</v>
      </c>
      <c r="N15" s="445">
        <v>2.7850000000000001</v>
      </c>
      <c r="O15" s="445">
        <v>2.7850000000000001</v>
      </c>
      <c r="P15" s="448"/>
      <c r="Q15" s="447" t="s">
        <v>1935</v>
      </c>
    </row>
    <row r="16" spans="1:24">
      <c r="A16" s="442">
        <v>46044</v>
      </c>
      <c r="B16" s="448" t="s">
        <v>2032</v>
      </c>
      <c r="C16" s="444" t="s">
        <v>2033</v>
      </c>
      <c r="D16" s="445" t="s">
        <v>1951</v>
      </c>
      <c r="E16" s="446">
        <v>46101</v>
      </c>
      <c r="F16" s="445" t="s">
        <v>1926</v>
      </c>
      <c r="G16" s="445" t="s">
        <v>194</v>
      </c>
      <c r="H16" s="445" t="s">
        <v>2167</v>
      </c>
      <c r="I16" s="445"/>
      <c r="J16" s="449">
        <v>620.76</v>
      </c>
      <c r="K16" s="445">
        <v>0</v>
      </c>
      <c r="L16" s="450">
        <v>3.42</v>
      </c>
      <c r="M16" s="451">
        <v>3.47</v>
      </c>
      <c r="N16" s="445">
        <v>3.4450000000000003</v>
      </c>
      <c r="O16" s="445">
        <v>3.4450000000000003</v>
      </c>
      <c r="P16" s="448"/>
      <c r="Q16" s="447" t="s">
        <v>1935</v>
      </c>
    </row>
    <row r="17" spans="1:17">
      <c r="A17" s="442">
        <v>46044</v>
      </c>
      <c r="B17" s="448" t="s">
        <v>2031</v>
      </c>
      <c r="C17" s="444" t="s">
        <v>2035</v>
      </c>
      <c r="D17" s="445" t="s">
        <v>1951</v>
      </c>
      <c r="E17" s="446">
        <v>46101</v>
      </c>
      <c r="F17" s="445" t="s">
        <v>1926</v>
      </c>
      <c r="G17" s="445" t="s">
        <v>194</v>
      </c>
      <c r="H17" s="445" t="s">
        <v>2168</v>
      </c>
      <c r="I17" s="445"/>
      <c r="J17" s="449">
        <v>620.76</v>
      </c>
      <c r="K17" s="445">
        <v>0</v>
      </c>
      <c r="L17" s="450">
        <v>6.71</v>
      </c>
      <c r="M17" s="451">
        <v>6.76</v>
      </c>
      <c r="N17" s="445">
        <v>6.7349999999999994</v>
      </c>
      <c r="O17" s="445">
        <v>6.7349999999999994</v>
      </c>
      <c r="P17" s="448"/>
      <c r="Q17" s="447" t="s">
        <v>1935</v>
      </c>
    </row>
    <row r="18" spans="1:17">
      <c r="A18" s="442">
        <v>46044</v>
      </c>
      <c r="B18" s="448" t="s">
        <v>2036</v>
      </c>
      <c r="C18" s="444" t="s">
        <v>2039</v>
      </c>
      <c r="D18" s="445" t="s">
        <v>2034</v>
      </c>
      <c r="E18" s="446">
        <v>46191</v>
      </c>
      <c r="F18" s="445" t="s">
        <v>1931</v>
      </c>
      <c r="G18" s="445" t="s">
        <v>194</v>
      </c>
      <c r="H18" s="445" t="s">
        <v>2169</v>
      </c>
      <c r="I18" s="445"/>
      <c r="J18" s="449">
        <v>234.34</v>
      </c>
      <c r="K18" s="445">
        <v>4.3400000000000034</v>
      </c>
      <c r="L18" s="450">
        <v>24.25</v>
      </c>
      <c r="M18" s="451">
        <v>24.6</v>
      </c>
      <c r="N18" s="445">
        <v>24.425000000000001</v>
      </c>
      <c r="O18" s="445">
        <v>24.425000000000001</v>
      </c>
      <c r="P18" s="448"/>
      <c r="Q18" s="447" t="s">
        <v>1935</v>
      </c>
    </row>
    <row r="19" spans="1:17">
      <c r="A19" s="442">
        <v>46044</v>
      </c>
      <c r="B19" s="448" t="s">
        <v>2037</v>
      </c>
      <c r="C19" s="444" t="s">
        <v>2040</v>
      </c>
      <c r="D19" s="445" t="s">
        <v>2034</v>
      </c>
      <c r="E19" s="446">
        <v>46191</v>
      </c>
      <c r="F19" s="445" t="s">
        <v>1931</v>
      </c>
      <c r="G19" s="445" t="s">
        <v>194</v>
      </c>
      <c r="H19" s="445" t="s">
        <v>2170</v>
      </c>
      <c r="I19" s="445"/>
      <c r="J19" s="449">
        <v>234.34</v>
      </c>
      <c r="K19" s="445">
        <v>0</v>
      </c>
      <c r="L19" s="450">
        <v>11.4</v>
      </c>
      <c r="M19" s="451">
        <v>11.55</v>
      </c>
      <c r="N19" s="445">
        <v>11.475000000000001</v>
      </c>
      <c r="O19" s="445">
        <v>11.475000000000001</v>
      </c>
      <c r="P19" s="448"/>
      <c r="Q19" s="447" t="s">
        <v>1935</v>
      </c>
    </row>
    <row r="20" spans="1:17">
      <c r="A20" s="442">
        <v>46044</v>
      </c>
      <c r="B20" s="448" t="s">
        <v>2038</v>
      </c>
      <c r="C20" s="444" t="s">
        <v>2041</v>
      </c>
      <c r="D20" s="445" t="s">
        <v>2034</v>
      </c>
      <c r="E20" s="446">
        <v>46191</v>
      </c>
      <c r="F20" s="445" t="s">
        <v>1926</v>
      </c>
      <c r="G20" s="445" t="s">
        <v>194</v>
      </c>
      <c r="H20" s="445" t="s">
        <v>2171</v>
      </c>
      <c r="I20" s="445"/>
      <c r="J20" s="449">
        <v>234.34</v>
      </c>
      <c r="K20" s="445">
        <v>0</v>
      </c>
      <c r="L20" s="450">
        <v>6.65</v>
      </c>
      <c r="M20" s="451">
        <v>6.75</v>
      </c>
      <c r="N20" s="445">
        <v>6.7</v>
      </c>
      <c r="O20" s="445">
        <v>6.7</v>
      </c>
      <c r="P20" s="448"/>
      <c r="Q20" s="447" t="s">
        <v>1935</v>
      </c>
    </row>
    <row r="21" spans="1:17">
      <c r="A21" s="442">
        <v>46044</v>
      </c>
      <c r="B21" s="448" t="s">
        <v>2049</v>
      </c>
      <c r="C21" s="444" t="s">
        <v>2052</v>
      </c>
      <c r="D21" s="445" t="s">
        <v>1937</v>
      </c>
      <c r="E21" s="446">
        <v>46101</v>
      </c>
      <c r="F21" s="445" t="s">
        <v>1931</v>
      </c>
      <c r="G21" s="445" t="s">
        <v>194</v>
      </c>
      <c r="H21" s="445" t="s">
        <v>2173</v>
      </c>
      <c r="I21" s="445"/>
      <c r="J21" s="449">
        <v>451.14</v>
      </c>
      <c r="K21" s="445">
        <v>0</v>
      </c>
      <c r="L21" s="450">
        <v>6.9</v>
      </c>
      <c r="M21" s="451">
        <v>7.05</v>
      </c>
      <c r="N21" s="445">
        <v>6.9749999999999996</v>
      </c>
      <c r="O21" s="445">
        <v>6.9749999999999996</v>
      </c>
      <c r="P21" s="448"/>
      <c r="Q21" s="447" t="s">
        <v>1935</v>
      </c>
    </row>
    <row r="22" spans="1:17">
      <c r="A22" s="442">
        <v>46044</v>
      </c>
      <c r="B22" s="448" t="s">
        <v>2048</v>
      </c>
      <c r="C22" s="444" t="s">
        <v>2053</v>
      </c>
      <c r="D22" s="445" t="s">
        <v>1937</v>
      </c>
      <c r="E22" s="446">
        <v>46101</v>
      </c>
      <c r="F22" s="445" t="s">
        <v>1931</v>
      </c>
      <c r="G22" s="445" t="s">
        <v>194</v>
      </c>
      <c r="H22" s="445" t="s">
        <v>2165</v>
      </c>
      <c r="I22" s="445"/>
      <c r="J22" s="449">
        <v>451.14</v>
      </c>
      <c r="K22" s="445">
        <v>0</v>
      </c>
      <c r="L22" s="450">
        <v>2.97</v>
      </c>
      <c r="M22" s="451">
        <v>3.05</v>
      </c>
      <c r="N22" s="445">
        <v>3.01</v>
      </c>
      <c r="O22" s="445">
        <v>3.01</v>
      </c>
      <c r="P22" s="448"/>
      <c r="Q22" s="447" t="s">
        <v>1935</v>
      </c>
    </row>
    <row r="23" spans="1:17">
      <c r="A23" s="442">
        <v>46044</v>
      </c>
      <c r="B23" s="510" t="s">
        <v>2051</v>
      </c>
      <c r="C23" s="444" t="s">
        <v>2054</v>
      </c>
      <c r="D23" s="445" t="s">
        <v>1937</v>
      </c>
      <c r="E23" s="446">
        <v>46101</v>
      </c>
      <c r="F23" s="445" t="s">
        <v>1926</v>
      </c>
      <c r="G23" s="445" t="s">
        <v>194</v>
      </c>
      <c r="H23" s="445" t="s">
        <v>2174</v>
      </c>
      <c r="I23" s="445"/>
      <c r="J23" s="449">
        <v>451.14</v>
      </c>
      <c r="K23" s="445">
        <v>3.8600000000000136</v>
      </c>
      <c r="L23" s="450">
        <v>20.85</v>
      </c>
      <c r="M23" s="451">
        <v>21.1</v>
      </c>
      <c r="N23" s="445">
        <v>20.975000000000001</v>
      </c>
      <c r="O23" s="445">
        <v>20.975000000000001</v>
      </c>
      <c r="P23" s="448"/>
      <c r="Q23" s="447" t="s">
        <v>1935</v>
      </c>
    </row>
    <row r="24" spans="1:17">
      <c r="A24" s="442">
        <v>46044</v>
      </c>
      <c r="B24" s="510" t="s">
        <v>2050</v>
      </c>
      <c r="C24" s="444" t="s">
        <v>2055</v>
      </c>
      <c r="D24" s="445" t="s">
        <v>1937</v>
      </c>
      <c r="E24" s="446">
        <v>46101</v>
      </c>
      <c r="F24" s="445" t="s">
        <v>1926</v>
      </c>
      <c r="G24" s="445" t="s">
        <v>194</v>
      </c>
      <c r="H24" s="445" t="s">
        <v>2175</v>
      </c>
      <c r="I24" s="445"/>
      <c r="J24" s="449">
        <v>451.14</v>
      </c>
      <c r="K24" s="445">
        <v>13.860000000000014</v>
      </c>
      <c r="L24" s="450">
        <v>26.5</v>
      </c>
      <c r="M24" s="451">
        <v>26.75</v>
      </c>
      <c r="N24" s="445">
        <v>26.625</v>
      </c>
      <c r="O24" s="445">
        <v>26.625</v>
      </c>
      <c r="P24" s="448"/>
      <c r="Q24" s="447" t="s">
        <v>1935</v>
      </c>
    </row>
    <row r="25" spans="1:17">
      <c r="A25" s="442">
        <v>46044</v>
      </c>
      <c r="B25" s="510" t="s">
        <v>2059</v>
      </c>
      <c r="C25" s="444" t="s">
        <v>2061</v>
      </c>
      <c r="D25" s="445" t="s">
        <v>2062</v>
      </c>
      <c r="E25" s="446">
        <v>46101</v>
      </c>
      <c r="F25" s="445" t="s">
        <v>1926</v>
      </c>
      <c r="G25" s="445" t="s">
        <v>194</v>
      </c>
      <c r="H25" s="445" t="s">
        <v>2176</v>
      </c>
      <c r="I25" s="445"/>
      <c r="J25" s="449">
        <v>83.1</v>
      </c>
      <c r="K25" s="445">
        <v>0</v>
      </c>
      <c r="L25" s="450">
        <v>5.85</v>
      </c>
      <c r="M25" s="451">
        <v>6</v>
      </c>
      <c r="N25" s="445">
        <v>5.9249999999999998</v>
      </c>
      <c r="O25" s="445">
        <v>5.9249999999999998</v>
      </c>
      <c r="P25" s="448"/>
      <c r="Q25" s="447" t="s">
        <v>1935</v>
      </c>
    </row>
    <row r="26" spans="1:17">
      <c r="A26" s="442">
        <v>46044</v>
      </c>
      <c r="B26" s="510" t="s">
        <v>2060</v>
      </c>
      <c r="C26" s="444" t="s">
        <v>2063</v>
      </c>
      <c r="D26" s="445" t="s">
        <v>2062</v>
      </c>
      <c r="E26" s="446">
        <v>46101</v>
      </c>
      <c r="F26" s="445" t="s">
        <v>1926</v>
      </c>
      <c r="G26" s="445" t="s">
        <v>194</v>
      </c>
      <c r="H26" s="445" t="s">
        <v>2177</v>
      </c>
      <c r="I26" s="445"/>
      <c r="J26" s="449">
        <v>83.1</v>
      </c>
      <c r="K26" s="445">
        <v>6.9000000000000057</v>
      </c>
      <c r="L26" s="450">
        <v>11.45</v>
      </c>
      <c r="M26" s="451">
        <v>11.95</v>
      </c>
      <c r="N26" s="445">
        <v>11.7</v>
      </c>
      <c r="O26" s="445">
        <v>11.7</v>
      </c>
      <c r="P26" s="448"/>
      <c r="Q26" s="447" t="s">
        <v>1935</v>
      </c>
    </row>
    <row r="27" spans="1:17">
      <c r="A27" s="442">
        <v>46044</v>
      </c>
      <c r="B27" s="510" t="s">
        <v>2066</v>
      </c>
      <c r="C27" s="444" t="s">
        <v>2067</v>
      </c>
      <c r="D27" s="445" t="s">
        <v>1936</v>
      </c>
      <c r="E27" s="446">
        <v>46038</v>
      </c>
      <c r="F27" s="445" t="s">
        <v>1926</v>
      </c>
      <c r="G27" s="445" t="s">
        <v>194</v>
      </c>
      <c r="H27" s="445" t="s">
        <v>2178</v>
      </c>
      <c r="I27" s="445"/>
      <c r="J27" s="524">
        <v>35.950000000000003</v>
      </c>
      <c r="K27" s="445">
        <v>0</v>
      </c>
      <c r="L27" s="525">
        <v>0.83499999999999996</v>
      </c>
      <c r="M27" s="526">
        <v>0.83499999999999996</v>
      </c>
      <c r="N27" s="445">
        <v>0.83499999999999996</v>
      </c>
      <c r="O27" s="445">
        <v>0.83499999999999996</v>
      </c>
      <c r="P27" s="448">
        <v>0</v>
      </c>
      <c r="Q27" s="447" t="s">
        <v>1928</v>
      </c>
    </row>
    <row r="28" spans="1:17">
      <c r="A28" s="442">
        <v>46044</v>
      </c>
      <c r="B28" s="510" t="s">
        <v>2069</v>
      </c>
      <c r="C28" s="444" t="s">
        <v>2071</v>
      </c>
      <c r="D28" s="445" t="s">
        <v>2072</v>
      </c>
      <c r="E28" s="446">
        <v>46129</v>
      </c>
      <c r="F28" s="445" t="s">
        <v>1931</v>
      </c>
      <c r="G28" s="445" t="s">
        <v>194</v>
      </c>
      <c r="H28" s="445" t="s">
        <v>2179</v>
      </c>
      <c r="I28" s="445"/>
      <c r="J28" s="449">
        <v>647.63</v>
      </c>
      <c r="K28" s="445">
        <v>0</v>
      </c>
      <c r="L28" s="450">
        <v>29.25</v>
      </c>
      <c r="M28" s="451">
        <v>29.5</v>
      </c>
      <c r="N28" s="445">
        <v>29.375</v>
      </c>
      <c r="O28" s="445">
        <v>29.375</v>
      </c>
      <c r="P28" s="448"/>
      <c r="Q28" s="447" t="s">
        <v>1935</v>
      </c>
    </row>
    <row r="29" spans="1:17">
      <c r="A29" s="442">
        <v>46044</v>
      </c>
      <c r="B29" s="443" t="s">
        <v>2068</v>
      </c>
      <c r="C29" s="444" t="s">
        <v>2073</v>
      </c>
      <c r="D29" s="445" t="s">
        <v>2072</v>
      </c>
      <c r="E29" s="446">
        <v>46129</v>
      </c>
      <c r="F29" s="445" t="s">
        <v>1931</v>
      </c>
      <c r="G29" s="445" t="s">
        <v>194</v>
      </c>
      <c r="H29" s="445" t="s">
        <v>2180</v>
      </c>
      <c r="I29" s="445"/>
      <c r="J29" s="449">
        <v>647.63</v>
      </c>
      <c r="K29" s="445">
        <v>0</v>
      </c>
      <c r="L29" s="450">
        <v>13.85</v>
      </c>
      <c r="M29" s="451">
        <v>14.05</v>
      </c>
      <c r="N29" s="445">
        <v>13.95</v>
      </c>
      <c r="O29" s="445">
        <v>13.95</v>
      </c>
      <c r="P29" s="448"/>
      <c r="Q29" s="447" t="s">
        <v>1935</v>
      </c>
    </row>
    <row r="30" spans="1:17">
      <c r="A30" s="442">
        <v>46044</v>
      </c>
      <c r="B30" s="510" t="s">
        <v>2070</v>
      </c>
      <c r="C30" s="444" t="s">
        <v>2074</v>
      </c>
      <c r="D30" s="445" t="s">
        <v>2072</v>
      </c>
      <c r="E30" s="446">
        <v>46129</v>
      </c>
      <c r="F30" s="445" t="s">
        <v>1926</v>
      </c>
      <c r="G30" s="445" t="s">
        <v>194</v>
      </c>
      <c r="H30" s="445" t="s">
        <v>2181</v>
      </c>
      <c r="I30" s="445"/>
      <c r="J30" s="449">
        <v>647.63</v>
      </c>
      <c r="K30" s="445">
        <v>0</v>
      </c>
      <c r="L30" s="450">
        <v>18.55</v>
      </c>
      <c r="M30" s="451">
        <v>18.850000000000001</v>
      </c>
      <c r="N30" s="445">
        <v>18.700000000000003</v>
      </c>
      <c r="O30" s="445">
        <v>18.700000000000003</v>
      </c>
      <c r="P30" s="448"/>
      <c r="Q30" s="447" t="s">
        <v>1935</v>
      </c>
    </row>
    <row r="31" spans="1:17">
      <c r="A31" s="442">
        <v>46044</v>
      </c>
      <c r="B31" s="510" t="s">
        <v>2076</v>
      </c>
      <c r="C31" s="444" t="s">
        <v>2081</v>
      </c>
      <c r="D31" s="445" t="s">
        <v>2082</v>
      </c>
      <c r="E31" s="446">
        <v>46073</v>
      </c>
      <c r="F31" s="445" t="s">
        <v>1931</v>
      </c>
      <c r="G31" s="445" t="s">
        <v>194</v>
      </c>
      <c r="H31" s="445" t="s">
        <v>2182</v>
      </c>
      <c r="I31" s="445"/>
      <c r="J31" s="449">
        <v>354.49</v>
      </c>
      <c r="K31" s="445">
        <v>0</v>
      </c>
      <c r="L31" s="450">
        <v>16.5</v>
      </c>
      <c r="M31" s="451">
        <v>18.3</v>
      </c>
      <c r="N31" s="445">
        <v>17.399999999999999</v>
      </c>
      <c r="O31" s="445">
        <v>17.399999999999999</v>
      </c>
      <c r="P31" s="448"/>
      <c r="Q31" s="447" t="s">
        <v>1935</v>
      </c>
    </row>
    <row r="32" spans="1:17">
      <c r="A32" s="442">
        <v>46044</v>
      </c>
      <c r="B32" s="510" t="s">
        <v>2075</v>
      </c>
      <c r="C32" s="444" t="s">
        <v>2083</v>
      </c>
      <c r="D32" s="445" t="s">
        <v>2082</v>
      </c>
      <c r="E32" s="446">
        <v>46073</v>
      </c>
      <c r="F32" s="445" t="s">
        <v>1931</v>
      </c>
      <c r="G32" s="445" t="s">
        <v>194</v>
      </c>
      <c r="H32" s="445" t="s">
        <v>2183</v>
      </c>
      <c r="I32" s="445"/>
      <c r="J32" s="449">
        <v>354.49</v>
      </c>
      <c r="K32" s="445">
        <v>0</v>
      </c>
      <c r="L32" s="450">
        <v>27.9</v>
      </c>
      <c r="M32" s="451">
        <v>29.8</v>
      </c>
      <c r="N32" s="445">
        <v>28.85</v>
      </c>
      <c r="O32" s="445">
        <v>28.85</v>
      </c>
      <c r="P32" s="448"/>
      <c r="Q32" s="447" t="s">
        <v>1935</v>
      </c>
    </row>
    <row r="33" spans="1:17">
      <c r="A33" s="442">
        <v>46044</v>
      </c>
      <c r="B33" s="510" t="s">
        <v>2079</v>
      </c>
      <c r="C33" s="444" t="s">
        <v>2084</v>
      </c>
      <c r="D33" s="445" t="s">
        <v>2085</v>
      </c>
      <c r="E33" s="446">
        <v>46101</v>
      </c>
      <c r="F33" s="445" t="s">
        <v>1931</v>
      </c>
      <c r="G33" s="445" t="s">
        <v>194</v>
      </c>
      <c r="H33" s="445" t="s">
        <v>2163</v>
      </c>
      <c r="I33" s="445"/>
      <c r="J33" s="449">
        <v>202.72</v>
      </c>
      <c r="K33" s="445">
        <v>0</v>
      </c>
      <c r="L33" s="450">
        <v>23.2</v>
      </c>
      <c r="M33" s="451">
        <v>24</v>
      </c>
      <c r="N33" s="445">
        <v>23.6</v>
      </c>
      <c r="O33" s="445">
        <v>23.6</v>
      </c>
      <c r="P33" s="448"/>
      <c r="Q33" s="447" t="s">
        <v>1935</v>
      </c>
    </row>
    <row r="34" spans="1:17">
      <c r="A34" s="442">
        <v>46044</v>
      </c>
      <c r="B34" s="510" t="s">
        <v>2080</v>
      </c>
      <c r="C34" s="444" t="s">
        <v>2086</v>
      </c>
      <c r="D34" s="445" t="s">
        <v>2085</v>
      </c>
      <c r="E34" s="446">
        <v>46101</v>
      </c>
      <c r="F34" s="445" t="s">
        <v>1931</v>
      </c>
      <c r="G34" s="445" t="s">
        <v>194</v>
      </c>
      <c r="H34" s="445" t="s">
        <v>2162</v>
      </c>
      <c r="I34" s="445"/>
      <c r="J34" s="449">
        <v>202.72</v>
      </c>
      <c r="K34" s="445">
        <v>0</v>
      </c>
      <c r="L34" s="450">
        <v>11.1</v>
      </c>
      <c r="M34" s="451">
        <v>12</v>
      </c>
      <c r="N34" s="445">
        <v>11.55</v>
      </c>
      <c r="O34" s="445">
        <v>11.55</v>
      </c>
      <c r="P34" s="448"/>
      <c r="Q34" s="447" t="s">
        <v>1935</v>
      </c>
    </row>
    <row r="35" spans="1:17">
      <c r="A35" s="442">
        <v>46044</v>
      </c>
      <c r="B35" s="510" t="s">
        <v>2092</v>
      </c>
      <c r="C35" s="444" t="s">
        <v>2094</v>
      </c>
      <c r="D35" s="445" t="s">
        <v>2095</v>
      </c>
      <c r="E35" s="446">
        <v>46101</v>
      </c>
      <c r="F35" s="445" t="s">
        <v>1931</v>
      </c>
      <c r="G35" s="445" t="s">
        <v>194</v>
      </c>
      <c r="H35" s="445" t="s">
        <v>2153</v>
      </c>
      <c r="I35" s="445"/>
      <c r="J35" s="449">
        <v>83.54</v>
      </c>
      <c r="K35" s="445">
        <v>0</v>
      </c>
      <c r="L35" s="450">
        <v>0.34</v>
      </c>
      <c r="M35" s="451">
        <v>0.36</v>
      </c>
      <c r="N35" s="445">
        <v>0.35</v>
      </c>
      <c r="O35" s="445">
        <v>0.35</v>
      </c>
      <c r="P35" s="448"/>
      <c r="Q35" s="447" t="s">
        <v>1935</v>
      </c>
    </row>
    <row r="36" spans="1:17">
      <c r="A36" s="442">
        <v>46044</v>
      </c>
      <c r="B36" s="510" t="s">
        <v>2093</v>
      </c>
      <c r="C36" s="444" t="s">
        <v>2096</v>
      </c>
      <c r="D36" s="445" t="s">
        <v>2095</v>
      </c>
      <c r="E36" s="446">
        <v>46101</v>
      </c>
      <c r="F36" s="445" t="s">
        <v>1926</v>
      </c>
      <c r="G36" s="445" t="s">
        <v>194</v>
      </c>
      <c r="H36" s="445" t="s">
        <v>2184</v>
      </c>
      <c r="I36" s="445"/>
      <c r="J36" s="449">
        <v>83.54</v>
      </c>
      <c r="K36" s="445">
        <v>0</v>
      </c>
      <c r="L36" s="450">
        <v>3.55</v>
      </c>
      <c r="M36" s="451">
        <v>3.7</v>
      </c>
      <c r="N36" s="445">
        <v>3.625</v>
      </c>
      <c r="O36" s="445">
        <v>3.625</v>
      </c>
      <c r="P36" s="448"/>
      <c r="Q36" s="447" t="s">
        <v>1935</v>
      </c>
    </row>
    <row r="37" spans="1:17">
      <c r="A37" s="442">
        <v>46044</v>
      </c>
      <c r="B37" s="510" t="s">
        <v>2091</v>
      </c>
      <c r="C37" s="444" t="s">
        <v>2097</v>
      </c>
      <c r="D37" s="445" t="s">
        <v>2095</v>
      </c>
      <c r="E37" s="446">
        <v>46101</v>
      </c>
      <c r="F37" s="445" t="s">
        <v>1926</v>
      </c>
      <c r="G37" s="445" t="s">
        <v>194</v>
      </c>
      <c r="H37" s="445" t="s">
        <v>2185</v>
      </c>
      <c r="I37" s="445"/>
      <c r="J37" s="449">
        <v>83.54</v>
      </c>
      <c r="K37" s="445">
        <v>8.4599999999999937</v>
      </c>
      <c r="L37" s="450">
        <v>9.4</v>
      </c>
      <c r="M37" s="451">
        <v>9.6</v>
      </c>
      <c r="N37" s="445">
        <v>9.5</v>
      </c>
      <c r="O37" s="445">
        <v>9.5</v>
      </c>
      <c r="P37" s="448"/>
      <c r="Q37" s="447" t="s">
        <v>1935</v>
      </c>
    </row>
    <row r="38" spans="1:17">
      <c r="A38" s="442">
        <v>46044</v>
      </c>
      <c r="B38" s="510" t="s">
        <v>2099</v>
      </c>
      <c r="C38" s="444" t="s">
        <v>2102</v>
      </c>
      <c r="D38" s="445" t="s">
        <v>2062</v>
      </c>
      <c r="E38" s="446">
        <v>46101</v>
      </c>
      <c r="F38" s="445" t="s">
        <v>1926</v>
      </c>
      <c r="G38" s="445" t="s">
        <v>194</v>
      </c>
      <c r="H38" s="445" t="s">
        <v>2186</v>
      </c>
      <c r="I38" s="445"/>
      <c r="J38" s="449">
        <v>83.1</v>
      </c>
      <c r="K38" s="445">
        <v>0</v>
      </c>
      <c r="L38" s="450">
        <v>3.8</v>
      </c>
      <c r="M38" s="451">
        <v>4.05</v>
      </c>
      <c r="N38" s="445">
        <v>3.9249999999999998</v>
      </c>
      <c r="O38" s="445">
        <v>3.9249999999999998</v>
      </c>
      <c r="P38" s="448"/>
      <c r="Q38" s="447" t="s">
        <v>1935</v>
      </c>
    </row>
    <row r="39" spans="1:17">
      <c r="A39" s="442">
        <v>46044</v>
      </c>
      <c r="B39" s="510" t="s">
        <v>2098</v>
      </c>
      <c r="C39" s="444" t="s">
        <v>2103</v>
      </c>
      <c r="D39" s="445" t="s">
        <v>2062</v>
      </c>
      <c r="E39" s="446">
        <v>46101</v>
      </c>
      <c r="F39" s="445" t="s">
        <v>1926</v>
      </c>
      <c r="G39" s="445" t="s">
        <v>194</v>
      </c>
      <c r="H39" s="445" t="s">
        <v>2187</v>
      </c>
      <c r="I39" s="445"/>
      <c r="J39" s="449">
        <v>83.1</v>
      </c>
      <c r="K39" s="445">
        <v>1.9000000000000057</v>
      </c>
      <c r="L39" s="450">
        <v>8.35</v>
      </c>
      <c r="M39" s="451">
        <v>8.85</v>
      </c>
      <c r="N39" s="445">
        <v>8.6</v>
      </c>
      <c r="O39" s="445">
        <v>8.6</v>
      </c>
      <c r="P39" s="448"/>
      <c r="Q39" s="447" t="s">
        <v>1935</v>
      </c>
    </row>
    <row r="40" spans="1:17">
      <c r="A40" s="442">
        <v>46044</v>
      </c>
      <c r="B40" s="510" t="s">
        <v>2106</v>
      </c>
      <c r="C40" s="444" t="s">
        <v>2112</v>
      </c>
      <c r="D40" s="445" t="s">
        <v>2113</v>
      </c>
      <c r="E40" s="446">
        <v>46191</v>
      </c>
      <c r="F40" s="445" t="s">
        <v>1931</v>
      </c>
      <c r="G40" s="445" t="s">
        <v>194</v>
      </c>
      <c r="H40" s="445" t="s">
        <v>2188</v>
      </c>
      <c r="I40" s="445"/>
      <c r="J40" s="449">
        <v>325.49</v>
      </c>
      <c r="K40" s="445">
        <v>0</v>
      </c>
      <c r="L40" s="450">
        <v>32.950000000000003</v>
      </c>
      <c r="M40" s="451">
        <v>33.200000000000003</v>
      </c>
      <c r="N40" s="445">
        <v>33.075000000000003</v>
      </c>
      <c r="O40" s="445">
        <v>33.075000000000003</v>
      </c>
      <c r="P40" s="448"/>
      <c r="Q40" s="447" t="s">
        <v>1935</v>
      </c>
    </row>
    <row r="41" spans="1:17">
      <c r="A41" s="442">
        <v>46044</v>
      </c>
      <c r="B41" s="510" t="s">
        <v>2108</v>
      </c>
      <c r="C41" s="444" t="s">
        <v>2114</v>
      </c>
      <c r="D41" s="445" t="s">
        <v>2113</v>
      </c>
      <c r="E41" s="446">
        <v>46191</v>
      </c>
      <c r="F41" s="445" t="s">
        <v>1931</v>
      </c>
      <c r="G41" s="445" t="s">
        <v>194</v>
      </c>
      <c r="H41" s="445" t="s">
        <v>2189</v>
      </c>
      <c r="I41" s="445"/>
      <c r="J41" s="449">
        <v>325.49</v>
      </c>
      <c r="K41" s="445">
        <v>0</v>
      </c>
      <c r="L41" s="450">
        <v>16.2</v>
      </c>
      <c r="M41" s="451">
        <v>16.7</v>
      </c>
      <c r="N41" s="445">
        <v>16.45</v>
      </c>
      <c r="O41" s="445">
        <v>16.45</v>
      </c>
      <c r="P41" s="448"/>
      <c r="Q41" s="447" t="s">
        <v>1935</v>
      </c>
    </row>
    <row r="42" spans="1:17">
      <c r="A42" s="442">
        <v>46044</v>
      </c>
      <c r="B42" s="510" t="s">
        <v>2107</v>
      </c>
      <c r="C42" s="444" t="s">
        <v>2115</v>
      </c>
      <c r="D42" s="445" t="s">
        <v>2113</v>
      </c>
      <c r="E42" s="446">
        <v>46191</v>
      </c>
      <c r="F42" s="445" t="s">
        <v>1926</v>
      </c>
      <c r="G42" s="445" t="s">
        <v>194</v>
      </c>
      <c r="H42" s="445" t="s">
        <v>2190</v>
      </c>
      <c r="I42" s="445"/>
      <c r="J42" s="449">
        <v>325.49</v>
      </c>
      <c r="K42" s="445">
        <v>0</v>
      </c>
      <c r="L42" s="450">
        <v>16.25</v>
      </c>
      <c r="M42" s="451">
        <v>16.45</v>
      </c>
      <c r="N42" s="445">
        <v>16.350000000000001</v>
      </c>
      <c r="O42" s="445">
        <v>16.350000000000001</v>
      </c>
      <c r="P42" s="448"/>
      <c r="Q42" s="447" t="s">
        <v>1935</v>
      </c>
    </row>
    <row r="43" spans="1:17">
      <c r="A43" s="442">
        <v>46044</v>
      </c>
      <c r="B43" s="510" t="s">
        <v>2105</v>
      </c>
      <c r="C43" s="444" t="s">
        <v>2116</v>
      </c>
      <c r="D43" s="445" t="s">
        <v>2113</v>
      </c>
      <c r="E43" s="446">
        <v>46191</v>
      </c>
      <c r="F43" s="445" t="s">
        <v>1926</v>
      </c>
      <c r="G43" s="445" t="s">
        <v>194</v>
      </c>
      <c r="H43" s="445" t="s">
        <v>2160</v>
      </c>
      <c r="I43" s="445"/>
      <c r="J43" s="449">
        <v>325.49</v>
      </c>
      <c r="K43" s="445">
        <v>0</v>
      </c>
      <c r="L43" s="450">
        <v>26.8</v>
      </c>
      <c r="M43" s="451">
        <v>27.15</v>
      </c>
      <c r="N43" s="445">
        <v>26.975000000000001</v>
      </c>
      <c r="O43" s="445">
        <v>26.975000000000001</v>
      </c>
      <c r="P43" s="448"/>
      <c r="Q43" s="447" t="s">
        <v>1935</v>
      </c>
    </row>
    <row r="44" spans="1:17">
      <c r="A44" s="442">
        <v>46044</v>
      </c>
      <c r="B44" s="510" t="s">
        <v>2109</v>
      </c>
      <c r="C44" s="444" t="s">
        <v>2117</v>
      </c>
      <c r="D44" s="445" t="s">
        <v>2072</v>
      </c>
      <c r="E44" s="446">
        <v>46129</v>
      </c>
      <c r="F44" s="445" t="s">
        <v>1926</v>
      </c>
      <c r="G44" s="445" t="s">
        <v>194</v>
      </c>
      <c r="H44" s="445" t="s">
        <v>2191</v>
      </c>
      <c r="I44" s="445"/>
      <c r="J44" s="449">
        <v>647.63</v>
      </c>
      <c r="K44" s="445">
        <v>0</v>
      </c>
      <c r="L44" s="450">
        <v>21.6</v>
      </c>
      <c r="M44" s="451">
        <v>21.9</v>
      </c>
      <c r="N44" s="445">
        <v>21.75</v>
      </c>
      <c r="O44" s="445">
        <v>21.75</v>
      </c>
      <c r="P44" s="448"/>
      <c r="Q44" s="447" t="s">
        <v>1935</v>
      </c>
    </row>
    <row r="45" spans="1:17">
      <c r="A45" s="442">
        <v>46044</v>
      </c>
      <c r="B45" s="510" t="s">
        <v>2101</v>
      </c>
      <c r="C45" s="444" t="s">
        <v>2118</v>
      </c>
      <c r="D45" s="445" t="s">
        <v>1938</v>
      </c>
      <c r="E45" s="446">
        <v>46101</v>
      </c>
      <c r="F45" s="445" t="s">
        <v>1931</v>
      </c>
      <c r="G45" s="445" t="s">
        <v>194</v>
      </c>
      <c r="H45" s="445" t="s">
        <v>2172</v>
      </c>
      <c r="I45" s="445"/>
      <c r="J45" s="449">
        <v>327.37</v>
      </c>
      <c r="K45" s="445">
        <v>0</v>
      </c>
      <c r="L45" s="450">
        <v>17.649999999999999</v>
      </c>
      <c r="M45" s="451">
        <v>18.399999999999999</v>
      </c>
      <c r="N45" s="445">
        <v>18.024999999999999</v>
      </c>
      <c r="O45" s="445">
        <v>18.024999999999999</v>
      </c>
      <c r="P45" s="448"/>
      <c r="Q45" s="447" t="s">
        <v>1935</v>
      </c>
    </row>
    <row r="46" spans="1:17">
      <c r="A46" s="442">
        <v>46044</v>
      </c>
      <c r="B46" s="510" t="s">
        <v>2100</v>
      </c>
      <c r="C46" s="444" t="s">
        <v>2119</v>
      </c>
      <c r="D46" s="445" t="s">
        <v>1938</v>
      </c>
      <c r="E46" s="446">
        <v>46101</v>
      </c>
      <c r="F46" s="445" t="s">
        <v>1931</v>
      </c>
      <c r="G46" s="445" t="s">
        <v>194</v>
      </c>
      <c r="H46" s="445" t="s">
        <v>2160</v>
      </c>
      <c r="I46" s="445"/>
      <c r="J46" s="449">
        <v>327.37</v>
      </c>
      <c r="K46" s="445">
        <v>27.370000000000005</v>
      </c>
      <c r="L46" s="450">
        <v>35.85</v>
      </c>
      <c r="M46" s="451">
        <v>36.700000000000003</v>
      </c>
      <c r="N46" s="445">
        <v>36.275000000000006</v>
      </c>
      <c r="O46" s="445">
        <v>36.275000000000006</v>
      </c>
      <c r="P46" s="448"/>
      <c r="Q46" s="447" t="s">
        <v>1935</v>
      </c>
    </row>
    <row r="47" spans="1:17">
      <c r="A47" s="442">
        <v>46044</v>
      </c>
      <c r="B47" s="510" t="s">
        <v>2110</v>
      </c>
      <c r="C47" s="444" t="s">
        <v>2120</v>
      </c>
      <c r="D47" s="445" t="s">
        <v>2072</v>
      </c>
      <c r="E47" s="446">
        <v>46129</v>
      </c>
      <c r="F47" s="445" t="s">
        <v>1926</v>
      </c>
      <c r="G47" s="445" t="s">
        <v>194</v>
      </c>
      <c r="H47" s="445" t="s">
        <v>2192</v>
      </c>
      <c r="I47" s="445"/>
      <c r="J47" s="449">
        <v>647.63</v>
      </c>
      <c r="K47" s="445">
        <v>0</v>
      </c>
      <c r="L47" s="450">
        <v>13.5</v>
      </c>
      <c r="M47" s="451">
        <v>13.75</v>
      </c>
      <c r="N47" s="445">
        <v>13.625</v>
      </c>
      <c r="O47" s="445">
        <v>13.625</v>
      </c>
      <c r="P47" s="448"/>
      <c r="Q47" s="447" t="s">
        <v>1935</v>
      </c>
    </row>
    <row r="48" spans="1:17">
      <c r="A48" s="442">
        <v>46044</v>
      </c>
      <c r="B48" s="528" t="s">
        <v>2235</v>
      </c>
      <c r="C48" s="444" t="s">
        <v>2240</v>
      </c>
      <c r="D48" s="445" t="s">
        <v>1938</v>
      </c>
      <c r="E48" s="446">
        <v>46191</v>
      </c>
      <c r="F48" s="445" t="s">
        <v>1931</v>
      </c>
      <c r="G48" s="445" t="s">
        <v>194</v>
      </c>
      <c r="H48" s="445" t="s">
        <v>2241</v>
      </c>
      <c r="I48" s="445"/>
      <c r="J48" s="449">
        <v>327.37</v>
      </c>
      <c r="K48" s="445">
        <v>0</v>
      </c>
      <c r="L48" s="450">
        <v>27.55</v>
      </c>
      <c r="M48" s="451">
        <v>28.5</v>
      </c>
      <c r="N48" s="445">
        <v>28.024999999999999</v>
      </c>
      <c r="O48" s="445">
        <v>28.024999999999999</v>
      </c>
      <c r="P48" s="448"/>
      <c r="Q48" s="447" t="s">
        <v>1935</v>
      </c>
    </row>
    <row r="49" spans="1:17">
      <c r="A49" s="442">
        <v>46044</v>
      </c>
      <c r="B49" s="528" t="s">
        <v>2236</v>
      </c>
      <c r="C49" s="444" t="s">
        <v>2242</v>
      </c>
      <c r="D49" s="445" t="s">
        <v>1938</v>
      </c>
      <c r="E49" s="446">
        <v>46191</v>
      </c>
      <c r="F49" s="445" t="s">
        <v>1931</v>
      </c>
      <c r="G49" s="445" t="s">
        <v>194</v>
      </c>
      <c r="H49" s="445" t="s">
        <v>2243</v>
      </c>
      <c r="I49" s="445"/>
      <c r="J49" s="449">
        <v>327.37</v>
      </c>
      <c r="K49" s="445">
        <v>0</v>
      </c>
      <c r="L49" s="450">
        <v>14.4</v>
      </c>
      <c r="M49" s="451">
        <v>15.45</v>
      </c>
      <c r="N49" s="445">
        <v>14.925000000000001</v>
      </c>
      <c r="O49" s="445">
        <v>14.925000000000001</v>
      </c>
      <c r="P49" s="448"/>
      <c r="Q49" s="447" t="s">
        <v>1935</v>
      </c>
    </row>
    <row r="50" spans="1:17">
      <c r="A50" s="442">
        <v>46044</v>
      </c>
      <c r="B50" s="528" t="s">
        <v>2234</v>
      </c>
      <c r="C50" s="444" t="s">
        <v>2244</v>
      </c>
      <c r="D50" s="445" t="s">
        <v>2245</v>
      </c>
      <c r="E50" s="446">
        <v>46073</v>
      </c>
      <c r="F50" s="445" t="s">
        <v>1931</v>
      </c>
      <c r="G50" s="445" t="s">
        <v>194</v>
      </c>
      <c r="H50" s="445" t="s">
        <v>2246</v>
      </c>
      <c r="I50" s="445"/>
      <c r="J50" s="524">
        <v>33.69</v>
      </c>
      <c r="K50" s="445">
        <v>0</v>
      </c>
      <c r="L50" s="525">
        <v>0.28212868428397653</v>
      </c>
      <c r="M50" s="526">
        <v>0.28212868428397653</v>
      </c>
      <c r="N50" s="445">
        <v>0.28212868428397653</v>
      </c>
      <c r="O50" s="445">
        <v>0.28418264436825641</v>
      </c>
      <c r="P50" s="448">
        <v>19.225706690064627</v>
      </c>
      <c r="Q50" s="447" t="s">
        <v>1928</v>
      </c>
    </row>
    <row r="51" spans="1:17">
      <c r="A51" s="442">
        <v>46044</v>
      </c>
      <c r="B51" s="443" t="s">
        <v>2258</v>
      </c>
      <c r="C51" s="444" t="s">
        <v>2260</v>
      </c>
      <c r="D51" s="445" t="s">
        <v>2261</v>
      </c>
      <c r="E51" s="446">
        <v>46045</v>
      </c>
      <c r="F51" s="445" t="s">
        <v>1926</v>
      </c>
      <c r="G51" s="445" t="s">
        <v>194</v>
      </c>
      <c r="H51" s="445" t="s">
        <v>2262</v>
      </c>
      <c r="I51" s="445"/>
      <c r="J51" s="524">
        <v>318.78500000000003</v>
      </c>
      <c r="K51" s="445">
        <v>0</v>
      </c>
      <c r="L51" s="525">
        <v>2.6522183841098364E-3</v>
      </c>
      <c r="M51" s="526">
        <v>2.6522183841098364E-3</v>
      </c>
      <c r="N51" s="445">
        <v>2.6522183841098364E-3</v>
      </c>
      <c r="O51" s="445">
        <v>6.9030078501015292E-3</v>
      </c>
      <c r="P51" s="448">
        <v>58.451480168403101</v>
      </c>
      <c r="Q51" s="447" t="s">
        <v>1928</v>
      </c>
    </row>
    <row r="52" spans="1:17">
      <c r="A52" s="442">
        <v>46044</v>
      </c>
      <c r="B52" s="443" t="s">
        <v>2257</v>
      </c>
      <c r="C52" s="444" t="s">
        <v>2263</v>
      </c>
      <c r="D52" s="445" t="s">
        <v>2261</v>
      </c>
      <c r="E52" s="446">
        <v>46045</v>
      </c>
      <c r="F52" s="445" t="s">
        <v>1926</v>
      </c>
      <c r="G52" s="445" t="s">
        <v>194</v>
      </c>
      <c r="H52" s="445" t="s">
        <v>2264</v>
      </c>
      <c r="I52" s="445"/>
      <c r="J52" s="524">
        <v>318.78500000000003</v>
      </c>
      <c r="K52" s="445">
        <v>0</v>
      </c>
      <c r="L52" s="525">
        <v>7.7301752427072306E-5</v>
      </c>
      <c r="M52" s="526">
        <v>7.7301752427072306E-5</v>
      </c>
      <c r="N52" s="445">
        <v>7.7301752427072306E-5</v>
      </c>
      <c r="O52" s="445">
        <v>3.2383987497254919E-4</v>
      </c>
      <c r="P52" s="448">
        <v>61.778982597713316</v>
      </c>
      <c r="Q52" s="447" t="s">
        <v>1928</v>
      </c>
    </row>
    <row r="53" spans="1:17">
      <c r="A53" s="442">
        <v>46044</v>
      </c>
      <c r="B53" s="528" t="s">
        <v>2282</v>
      </c>
      <c r="C53" s="444" t="s">
        <v>2285</v>
      </c>
      <c r="D53" s="445" t="s">
        <v>2286</v>
      </c>
      <c r="E53" s="446">
        <v>46283</v>
      </c>
      <c r="F53" s="445" t="s">
        <v>1931</v>
      </c>
      <c r="G53" s="445" t="s">
        <v>194</v>
      </c>
      <c r="H53" s="445" t="s">
        <v>2287</v>
      </c>
      <c r="I53" s="445"/>
      <c r="J53" s="449">
        <v>105.17</v>
      </c>
      <c r="K53" s="445">
        <v>0</v>
      </c>
      <c r="L53" s="450">
        <v>12.15</v>
      </c>
      <c r="M53" s="451">
        <v>12.95</v>
      </c>
      <c r="N53" s="445">
        <v>12.55</v>
      </c>
      <c r="O53" s="445">
        <v>12.55</v>
      </c>
      <c r="P53" s="448"/>
      <c r="Q53" s="447" t="s">
        <v>1935</v>
      </c>
    </row>
    <row r="54" spans="1:17">
      <c r="A54" s="442">
        <v>46044</v>
      </c>
      <c r="B54" s="528" t="s">
        <v>2281</v>
      </c>
      <c r="C54" s="444" t="s">
        <v>2288</v>
      </c>
      <c r="D54" s="445" t="s">
        <v>2286</v>
      </c>
      <c r="E54" s="446">
        <v>46283</v>
      </c>
      <c r="F54" s="445" t="s">
        <v>1931</v>
      </c>
      <c r="G54" s="445" t="s">
        <v>194</v>
      </c>
      <c r="H54" s="445" t="s">
        <v>2289</v>
      </c>
      <c r="I54" s="445"/>
      <c r="J54" s="449">
        <v>105.17</v>
      </c>
      <c r="K54" s="445">
        <v>0.17000000000000171</v>
      </c>
      <c r="L54" s="450">
        <v>15.95</v>
      </c>
      <c r="M54" s="451">
        <v>16.75</v>
      </c>
      <c r="N54" s="445">
        <v>16.350000000000001</v>
      </c>
      <c r="O54" s="445">
        <v>16.350000000000001</v>
      </c>
      <c r="P54" s="448"/>
      <c r="Q54" s="447" t="s">
        <v>1935</v>
      </c>
    </row>
    <row r="55" spans="1:17">
      <c r="A55" s="442">
        <v>46044</v>
      </c>
      <c r="B55" s="528" t="s">
        <v>2296</v>
      </c>
      <c r="C55" s="444" t="s">
        <v>2304</v>
      </c>
      <c r="D55" s="445" t="s">
        <v>2305</v>
      </c>
      <c r="E55" s="446">
        <v>46073</v>
      </c>
      <c r="F55" s="445" t="s">
        <v>1931</v>
      </c>
      <c r="G55" s="445" t="s">
        <v>194</v>
      </c>
      <c r="H55" s="445" t="s">
        <v>2306</v>
      </c>
      <c r="I55" s="445"/>
      <c r="J55" s="449">
        <v>503.44</v>
      </c>
      <c r="K55" s="445">
        <v>3.4399999999999977</v>
      </c>
      <c r="L55" s="450">
        <v>62.6</v>
      </c>
      <c r="M55" s="451">
        <v>64.400000000000006</v>
      </c>
      <c r="N55" s="445">
        <v>63.5</v>
      </c>
      <c r="O55" s="445">
        <v>63.5</v>
      </c>
      <c r="P55" s="448"/>
      <c r="Q55" s="447" t="s">
        <v>1935</v>
      </c>
    </row>
    <row r="56" spans="1:17">
      <c r="A56" s="442">
        <v>46044</v>
      </c>
      <c r="B56" s="528" t="s">
        <v>2307</v>
      </c>
      <c r="C56" s="444" t="s">
        <v>2308</v>
      </c>
      <c r="D56" s="445" t="s">
        <v>1936</v>
      </c>
      <c r="E56" s="446">
        <v>46073</v>
      </c>
      <c r="F56" s="445" t="s">
        <v>1931</v>
      </c>
      <c r="G56" s="445" t="s">
        <v>194</v>
      </c>
      <c r="H56" s="445" t="s">
        <v>2246</v>
      </c>
      <c r="I56" s="445"/>
      <c r="J56" s="449">
        <v>35.950000000000003</v>
      </c>
      <c r="K56" s="445">
        <v>0.95000000000000284</v>
      </c>
      <c r="L56" s="450">
        <v>1.59</v>
      </c>
      <c r="M56" s="451">
        <v>1.97</v>
      </c>
      <c r="N56" s="445">
        <v>1.78</v>
      </c>
      <c r="O56" s="445">
        <v>1.78</v>
      </c>
      <c r="P56" s="448"/>
      <c r="Q56" s="447" t="s">
        <v>1935</v>
      </c>
    </row>
    <row r="57" spans="1:17">
      <c r="A57" s="442">
        <v>46044</v>
      </c>
      <c r="B57" t="s">
        <v>2297</v>
      </c>
      <c r="C57" s="444" t="s">
        <v>2309</v>
      </c>
      <c r="D57" s="445" t="s">
        <v>2062</v>
      </c>
      <c r="E57" s="446">
        <v>46101</v>
      </c>
      <c r="F57" s="445" t="s">
        <v>1926</v>
      </c>
      <c r="G57" s="445" t="s">
        <v>194</v>
      </c>
      <c r="H57" s="445" t="s">
        <v>2310</v>
      </c>
      <c r="I57" s="445"/>
      <c r="J57" s="449">
        <v>83.1</v>
      </c>
      <c r="K57" s="445">
        <v>0</v>
      </c>
      <c r="L57" s="450">
        <v>2.2999999999999998</v>
      </c>
      <c r="M57" s="451">
        <v>2.44</v>
      </c>
      <c r="N57" s="445">
        <v>2.37</v>
      </c>
      <c r="O57" s="445">
        <v>2.37</v>
      </c>
      <c r="P57" s="448"/>
      <c r="Q57" s="447" t="s">
        <v>1935</v>
      </c>
    </row>
    <row r="58" spans="1:17">
      <c r="A58" s="442">
        <v>46044</v>
      </c>
      <c r="B58" t="s">
        <v>2315</v>
      </c>
      <c r="C58" s="444" t="s">
        <v>2334</v>
      </c>
      <c r="D58" s="445" t="s">
        <v>1951</v>
      </c>
      <c r="E58" s="446">
        <v>46048</v>
      </c>
      <c r="F58" s="445" t="s">
        <v>1926</v>
      </c>
      <c r="G58" s="445" t="s">
        <v>194</v>
      </c>
      <c r="H58" s="445" t="s">
        <v>2335</v>
      </c>
      <c r="I58" s="445"/>
      <c r="J58" s="449">
        <v>620.76</v>
      </c>
      <c r="K58" s="445">
        <v>0</v>
      </c>
      <c r="L58" s="450">
        <v>1.47</v>
      </c>
      <c r="M58" s="451">
        <v>1.5</v>
      </c>
      <c r="N58" s="445">
        <v>1.4849999999999999</v>
      </c>
      <c r="O58" s="445">
        <v>1.4849999999999999</v>
      </c>
      <c r="P58" s="448"/>
      <c r="Q58" s="447" t="s">
        <v>1935</v>
      </c>
    </row>
    <row r="59" spans="1:17">
      <c r="A59" s="442">
        <v>46044</v>
      </c>
      <c r="B59" t="s">
        <v>2312</v>
      </c>
      <c r="C59" s="444" t="s">
        <v>2336</v>
      </c>
      <c r="D59" s="445" t="s">
        <v>2305</v>
      </c>
      <c r="E59" s="446">
        <v>46073</v>
      </c>
      <c r="F59" s="445" t="s">
        <v>1931</v>
      </c>
      <c r="G59" s="445" t="s">
        <v>194</v>
      </c>
      <c r="H59" s="445" t="s">
        <v>2167</v>
      </c>
      <c r="I59" s="445"/>
      <c r="J59" s="449">
        <v>503.44</v>
      </c>
      <c r="K59" s="445">
        <v>0</v>
      </c>
      <c r="L59" s="450">
        <v>42</v>
      </c>
      <c r="M59" s="451">
        <v>45.1</v>
      </c>
      <c r="N59" s="445">
        <v>43.55</v>
      </c>
      <c r="O59" s="445">
        <v>43.55</v>
      </c>
      <c r="P59" s="448"/>
      <c r="Q59" s="447" t="s">
        <v>1935</v>
      </c>
    </row>
    <row r="60" spans="1:17">
      <c r="A60" s="442">
        <v>46044</v>
      </c>
      <c r="B60" t="s">
        <v>2319</v>
      </c>
      <c r="C60" s="444" t="s">
        <v>2337</v>
      </c>
      <c r="D60" s="445" t="s">
        <v>2072</v>
      </c>
      <c r="E60" s="446">
        <v>46220</v>
      </c>
      <c r="F60" s="445" t="s">
        <v>1931</v>
      </c>
      <c r="G60" s="445" t="s">
        <v>194</v>
      </c>
      <c r="H60" s="445" t="s">
        <v>2338</v>
      </c>
      <c r="I60" s="445"/>
      <c r="J60" s="449">
        <v>647.63</v>
      </c>
      <c r="K60" s="445">
        <v>0</v>
      </c>
      <c r="L60" s="450">
        <v>60.4</v>
      </c>
      <c r="M60" s="451">
        <v>60.75</v>
      </c>
      <c r="N60" s="445">
        <v>60.575000000000003</v>
      </c>
      <c r="O60" s="445">
        <v>60.575000000000003</v>
      </c>
      <c r="P60" s="448"/>
      <c r="Q60" s="447" t="s">
        <v>1935</v>
      </c>
    </row>
    <row r="61" spans="1:17">
      <c r="A61" s="442">
        <v>46044</v>
      </c>
      <c r="B61" t="s">
        <v>2318</v>
      </c>
      <c r="C61" s="444" t="s">
        <v>2339</v>
      </c>
      <c r="D61" s="445" t="s">
        <v>2034</v>
      </c>
      <c r="E61" s="446">
        <v>46220</v>
      </c>
      <c r="F61" s="445" t="s">
        <v>1931</v>
      </c>
      <c r="G61" s="445" t="s">
        <v>194</v>
      </c>
      <c r="H61" s="445" t="s">
        <v>2340</v>
      </c>
      <c r="I61" s="445"/>
      <c r="J61" s="449">
        <v>234.34</v>
      </c>
      <c r="K61" s="445">
        <v>0</v>
      </c>
      <c r="L61" s="450">
        <v>18.899999999999999</v>
      </c>
      <c r="M61" s="451">
        <v>19.05</v>
      </c>
      <c r="N61" s="445">
        <v>18.975000000000001</v>
      </c>
      <c r="O61" s="445">
        <v>18.975000000000001</v>
      </c>
      <c r="P61" s="448"/>
      <c r="Q61" s="447" t="s">
        <v>1935</v>
      </c>
    </row>
    <row r="62" spans="1:17">
      <c r="A62" s="442">
        <v>46044</v>
      </c>
      <c r="B62" s="448" t="s">
        <v>2341</v>
      </c>
      <c r="C62" s="444" t="s">
        <v>2342</v>
      </c>
      <c r="D62" s="445" t="s">
        <v>2343</v>
      </c>
      <c r="E62" s="446">
        <v>46366</v>
      </c>
      <c r="F62" s="445" t="s">
        <v>1931</v>
      </c>
      <c r="G62" s="445" t="s">
        <v>194</v>
      </c>
      <c r="H62" s="445" t="s">
        <v>2344</v>
      </c>
      <c r="I62" s="445"/>
      <c r="J62" s="524">
        <v>722.3</v>
      </c>
      <c r="K62" s="445">
        <v>0</v>
      </c>
      <c r="L62" s="525">
        <v>8.5734584214819786E-3</v>
      </c>
      <c r="M62" s="526">
        <v>8.5734584214819786E-3</v>
      </c>
      <c r="N62" s="445">
        <v>8.5734584214819786E-3</v>
      </c>
      <c r="O62" s="445">
        <v>8.5824879851806746E-3</v>
      </c>
      <c r="P62" s="448">
        <v>28.174332033025586</v>
      </c>
      <c r="Q62" s="447" t="s">
        <v>1928</v>
      </c>
    </row>
    <row r="63" spans="1:17">
      <c r="A63" s="442">
        <v>46044</v>
      </c>
      <c r="B63" t="s">
        <v>2316</v>
      </c>
      <c r="C63" s="444" t="s">
        <v>2345</v>
      </c>
      <c r="D63" s="445" t="s">
        <v>2082</v>
      </c>
      <c r="E63" s="446">
        <v>46101</v>
      </c>
      <c r="F63" s="445" t="s">
        <v>1931</v>
      </c>
      <c r="G63" s="445" t="s">
        <v>194</v>
      </c>
      <c r="H63" s="445" t="s">
        <v>2346</v>
      </c>
      <c r="I63" s="445"/>
      <c r="J63" s="449">
        <v>354.49</v>
      </c>
      <c r="K63" s="445">
        <v>0</v>
      </c>
      <c r="L63" s="450">
        <v>37.4</v>
      </c>
      <c r="M63" s="451">
        <v>39.200000000000003</v>
      </c>
      <c r="N63" s="445">
        <v>38.299999999999997</v>
      </c>
      <c r="O63" s="445">
        <v>38.299999999999997</v>
      </c>
      <c r="P63" s="448"/>
      <c r="Q63" s="447" t="s">
        <v>1935</v>
      </c>
    </row>
    <row r="64" spans="1:17">
      <c r="A64" s="442">
        <v>46044</v>
      </c>
      <c r="B64" t="s">
        <v>2321</v>
      </c>
      <c r="C64" s="444" t="s">
        <v>2347</v>
      </c>
      <c r="D64" s="445" t="s">
        <v>1937</v>
      </c>
      <c r="E64" s="446">
        <v>46220</v>
      </c>
      <c r="F64" s="445" t="s">
        <v>1931</v>
      </c>
      <c r="G64" s="445" t="s">
        <v>194</v>
      </c>
      <c r="H64" s="445" t="s">
        <v>2175</v>
      </c>
      <c r="I64" s="445"/>
      <c r="J64" s="449">
        <v>451.14</v>
      </c>
      <c r="K64" s="445">
        <v>0</v>
      </c>
      <c r="L64" s="450">
        <v>30.9</v>
      </c>
      <c r="M64" s="451">
        <v>31.15</v>
      </c>
      <c r="N64" s="445">
        <v>31.024999999999999</v>
      </c>
      <c r="O64" s="445">
        <v>31.024999999999999</v>
      </c>
      <c r="P64" s="448"/>
      <c r="Q64" s="447" t="s">
        <v>1935</v>
      </c>
    </row>
    <row r="65" spans="1:17">
      <c r="A65" s="442">
        <v>46044</v>
      </c>
      <c r="B65" t="s">
        <v>2331</v>
      </c>
      <c r="C65" s="444" t="s">
        <v>2348</v>
      </c>
      <c r="D65" s="445" t="s">
        <v>1951</v>
      </c>
      <c r="E65" s="446">
        <v>46059</v>
      </c>
      <c r="F65" s="445" t="s">
        <v>1931</v>
      </c>
      <c r="G65" s="445" t="s">
        <v>194</v>
      </c>
      <c r="H65" s="445" t="s">
        <v>2349</v>
      </c>
      <c r="I65" s="445"/>
      <c r="J65" s="449">
        <v>620.76</v>
      </c>
      <c r="K65" s="445">
        <v>0</v>
      </c>
      <c r="L65" s="450">
        <v>4.92</v>
      </c>
      <c r="M65" s="451">
        <v>4.96</v>
      </c>
      <c r="N65" s="445">
        <v>4.9399999999999995</v>
      </c>
      <c r="O65" s="445">
        <v>4.9399999999999995</v>
      </c>
      <c r="P65" s="448"/>
      <c r="Q65" s="447" t="s">
        <v>1935</v>
      </c>
    </row>
    <row r="66" spans="1:17">
      <c r="A66" s="442">
        <v>46044</v>
      </c>
      <c r="B66" s="448" t="s">
        <v>2042</v>
      </c>
      <c r="C66" s="444" t="s">
        <v>2042</v>
      </c>
      <c r="D66" s="445" t="s">
        <v>1952</v>
      </c>
      <c r="E66" s="446">
        <v>46073</v>
      </c>
      <c r="F66" s="445" t="s">
        <v>1931</v>
      </c>
      <c r="G66" s="445" t="s">
        <v>194</v>
      </c>
      <c r="H66" s="445" t="s">
        <v>2193</v>
      </c>
      <c r="I66" s="445" t="s">
        <v>1927</v>
      </c>
      <c r="J66" s="449">
        <v>0.05</v>
      </c>
      <c r="K66" s="445">
        <v>0</v>
      </c>
      <c r="L66" s="450">
        <v>0</v>
      </c>
      <c r="M66" s="451">
        <v>0</v>
      </c>
      <c r="N66" s="445">
        <v>0</v>
      </c>
      <c r="O66" s="445">
        <v>3.1500391229027984E-4</v>
      </c>
      <c r="P66" s="448">
        <v>25.254564713096997</v>
      </c>
      <c r="Q66" s="447" t="s">
        <v>1953</v>
      </c>
    </row>
    <row r="67" spans="1:17">
      <c r="A67" s="442">
        <v>46044</v>
      </c>
      <c r="B67" s="448" t="s">
        <v>2043</v>
      </c>
      <c r="C67" s="444" t="s">
        <v>2043</v>
      </c>
      <c r="D67" s="445" t="s">
        <v>1952</v>
      </c>
      <c r="E67" s="446">
        <v>46073</v>
      </c>
      <c r="F67" s="445" t="s">
        <v>1926</v>
      </c>
      <c r="G67" s="445" t="s">
        <v>194</v>
      </c>
      <c r="H67" s="445" t="s">
        <v>2194</v>
      </c>
      <c r="I67" s="445" t="s">
        <v>1927</v>
      </c>
      <c r="J67" s="449">
        <v>0.41</v>
      </c>
      <c r="K67" s="445">
        <v>21.16</v>
      </c>
      <c r="L67" s="450">
        <v>0</v>
      </c>
      <c r="M67" s="451">
        <v>0</v>
      </c>
      <c r="N67" s="445">
        <v>0</v>
      </c>
      <c r="O67" s="445">
        <v>5.135509873645662E-2</v>
      </c>
      <c r="P67" s="448">
        <v>33.514523462193701</v>
      </c>
      <c r="Q67" s="447" t="s">
        <v>1953</v>
      </c>
    </row>
    <row r="68" spans="1:17">
      <c r="A68" s="442">
        <v>46044</v>
      </c>
      <c r="B68" s="448" t="s">
        <v>2044</v>
      </c>
      <c r="C68" s="444" t="s">
        <v>2044</v>
      </c>
      <c r="D68" s="445" t="s">
        <v>1952</v>
      </c>
      <c r="E68" s="446">
        <v>46073</v>
      </c>
      <c r="F68" s="445" t="s">
        <v>1926</v>
      </c>
      <c r="G68" s="445" t="s">
        <v>194</v>
      </c>
      <c r="H68" s="445" t="s">
        <v>2195</v>
      </c>
      <c r="I68" s="445" t="s">
        <v>1927</v>
      </c>
      <c r="J68" s="449">
        <v>1.75</v>
      </c>
      <c r="K68" s="445">
        <v>22.32</v>
      </c>
      <c r="L68" s="450">
        <v>0</v>
      </c>
      <c r="M68" s="451">
        <v>0</v>
      </c>
      <c r="N68" s="445">
        <v>0</v>
      </c>
      <c r="O68" s="445">
        <v>0.26246636025082554</v>
      </c>
      <c r="P68" s="448">
        <v>29.424048176427302</v>
      </c>
      <c r="Q68" s="447" t="s">
        <v>1953</v>
      </c>
    </row>
    <row r="69" spans="1:17">
      <c r="A69" s="442">
        <v>46044</v>
      </c>
      <c r="B69" s="448" t="s">
        <v>2045</v>
      </c>
      <c r="C69" s="444" t="s">
        <v>2045</v>
      </c>
      <c r="D69" s="445" t="s">
        <v>1952</v>
      </c>
      <c r="E69" s="446">
        <v>46073</v>
      </c>
      <c r="F69" s="445" t="s">
        <v>1931</v>
      </c>
      <c r="G69" s="445" t="s">
        <v>194</v>
      </c>
      <c r="H69" s="445" t="s">
        <v>2196</v>
      </c>
      <c r="I69" s="445" t="s">
        <v>1927</v>
      </c>
      <c r="J69" s="449">
        <v>0.04</v>
      </c>
      <c r="K69" s="445">
        <v>0</v>
      </c>
      <c r="L69" s="450">
        <v>0</v>
      </c>
      <c r="M69" s="451">
        <v>0</v>
      </c>
      <c r="N69" s="445">
        <v>0</v>
      </c>
      <c r="O69" s="445">
        <v>5.5271850282067777E-5</v>
      </c>
      <c r="P69" s="448">
        <v>24.624472197698299</v>
      </c>
      <c r="Q69" s="447" t="s">
        <v>1953</v>
      </c>
    </row>
    <row r="70" spans="1:17">
      <c r="A70" s="442">
        <v>46044</v>
      </c>
      <c r="B70" s="448" t="s">
        <v>2046</v>
      </c>
      <c r="C70" s="444" t="s">
        <v>2046</v>
      </c>
      <c r="D70" s="445" t="s">
        <v>1952</v>
      </c>
      <c r="E70" s="446">
        <v>46073</v>
      </c>
      <c r="F70" s="445" t="s">
        <v>1926</v>
      </c>
      <c r="G70" s="445" t="s">
        <v>194</v>
      </c>
      <c r="H70" s="445" t="s">
        <v>2197</v>
      </c>
      <c r="I70" s="445" t="s">
        <v>1927</v>
      </c>
      <c r="J70" s="449">
        <v>1.1000000000000001</v>
      </c>
      <c r="K70" s="445">
        <v>22.72</v>
      </c>
      <c r="L70" s="450">
        <v>0</v>
      </c>
      <c r="M70" s="451">
        <v>0</v>
      </c>
      <c r="N70" s="445">
        <v>0</v>
      </c>
      <c r="O70" s="445">
        <v>0.23056833275098579</v>
      </c>
      <c r="P70" s="448">
        <v>29.804018464531399</v>
      </c>
      <c r="Q70" s="447" t="s">
        <v>1953</v>
      </c>
    </row>
    <row r="71" spans="1:17">
      <c r="A71" s="442">
        <v>46044</v>
      </c>
      <c r="B71" s="448" t="s">
        <v>2047</v>
      </c>
      <c r="C71" s="444" t="s">
        <v>2047</v>
      </c>
      <c r="D71" s="445" t="s">
        <v>1952</v>
      </c>
      <c r="E71" s="446">
        <v>46073</v>
      </c>
      <c r="F71" s="445" t="s">
        <v>1926</v>
      </c>
      <c r="G71" s="445" t="s">
        <v>194</v>
      </c>
      <c r="H71" s="445" t="s">
        <v>2198</v>
      </c>
      <c r="I71" s="445" t="s">
        <v>1927</v>
      </c>
      <c r="J71" s="449">
        <v>2.6</v>
      </c>
      <c r="K71" s="445">
        <v>23.72</v>
      </c>
      <c r="L71" s="450">
        <v>0</v>
      </c>
      <c r="M71" s="451">
        <v>0</v>
      </c>
      <c r="N71" s="445">
        <v>0</v>
      </c>
      <c r="O71" s="445">
        <v>0.62881198638338787</v>
      </c>
      <c r="P71" s="448">
        <v>26.495869607780001</v>
      </c>
      <c r="Q71" s="447" t="s">
        <v>1953</v>
      </c>
    </row>
    <row r="72" spans="1:17">
      <c r="A72" s="442">
        <v>46044</v>
      </c>
      <c r="B72" s="448" t="s">
        <v>2056</v>
      </c>
      <c r="C72" s="444" t="s">
        <v>2056</v>
      </c>
      <c r="D72" s="445" t="s">
        <v>2057</v>
      </c>
      <c r="E72" s="446">
        <v>46073</v>
      </c>
      <c r="F72" s="445" t="s">
        <v>1926</v>
      </c>
      <c r="G72" s="445" t="s">
        <v>194</v>
      </c>
      <c r="H72" s="445" t="s">
        <v>2199</v>
      </c>
      <c r="I72" s="445" t="s">
        <v>1927</v>
      </c>
      <c r="J72" s="449">
        <v>0.21</v>
      </c>
      <c r="K72" s="445">
        <v>18.79</v>
      </c>
      <c r="L72" s="450">
        <v>0</v>
      </c>
      <c r="M72" s="451">
        <v>0</v>
      </c>
      <c r="N72" s="445">
        <v>0</v>
      </c>
      <c r="O72" s="445">
        <v>3.6030516163670985E-2</v>
      </c>
      <c r="P72" s="448">
        <v>54.8934145320369</v>
      </c>
      <c r="Q72" s="447" t="s">
        <v>1953</v>
      </c>
    </row>
    <row r="73" spans="1:17">
      <c r="A73" s="442">
        <v>46044</v>
      </c>
      <c r="B73" s="448" t="s">
        <v>2058</v>
      </c>
      <c r="C73" s="444" t="s">
        <v>2058</v>
      </c>
      <c r="D73" s="445" t="s">
        <v>2057</v>
      </c>
      <c r="E73" s="446">
        <v>46073</v>
      </c>
      <c r="F73" s="445" t="s">
        <v>1926</v>
      </c>
      <c r="G73" s="445" t="s">
        <v>194</v>
      </c>
      <c r="H73" s="445" t="s">
        <v>2200</v>
      </c>
      <c r="I73" s="445" t="s">
        <v>1927</v>
      </c>
      <c r="J73" s="449">
        <v>0.33</v>
      </c>
      <c r="K73" s="445">
        <v>20.170000000000002</v>
      </c>
      <c r="L73" s="450">
        <v>0</v>
      </c>
      <c r="M73" s="451">
        <v>0</v>
      </c>
      <c r="N73" s="445">
        <v>0</v>
      </c>
      <c r="O73" s="445">
        <v>8.6337499906315368E-2</v>
      </c>
      <c r="P73" s="448">
        <v>52.609558249291396</v>
      </c>
      <c r="Q73" s="447" t="s">
        <v>1953</v>
      </c>
    </row>
    <row r="74" spans="1:17">
      <c r="A74" s="442">
        <v>46044</v>
      </c>
      <c r="B74" s="448" t="s">
        <v>2077</v>
      </c>
      <c r="C74" s="444" t="s">
        <v>2077</v>
      </c>
      <c r="D74" s="445" t="s">
        <v>1954</v>
      </c>
      <c r="E74" s="446">
        <v>46073</v>
      </c>
      <c r="F74" s="445" t="s">
        <v>1926</v>
      </c>
      <c r="G74" s="445" t="s">
        <v>194</v>
      </c>
      <c r="H74" s="445" t="s">
        <v>2201</v>
      </c>
      <c r="I74" s="445" t="s">
        <v>1927</v>
      </c>
      <c r="J74" s="449">
        <v>0.01</v>
      </c>
      <c r="K74" s="445">
        <v>12.1</v>
      </c>
      <c r="L74" s="450">
        <v>0</v>
      </c>
      <c r="M74" s="451">
        <v>0</v>
      </c>
      <c r="N74" s="445">
        <v>0</v>
      </c>
      <c r="O74" s="445">
        <v>2.1625601602773942E-3</v>
      </c>
      <c r="P74" s="448">
        <v>44.2513881813871</v>
      </c>
      <c r="Q74" s="447" t="s">
        <v>1953</v>
      </c>
    </row>
    <row r="75" spans="1:17">
      <c r="A75" s="442">
        <v>46044</v>
      </c>
      <c r="B75" s="448" t="s">
        <v>2078</v>
      </c>
      <c r="C75" s="444" t="s">
        <v>2078</v>
      </c>
      <c r="D75" s="445" t="s">
        <v>1954</v>
      </c>
      <c r="E75" s="446">
        <v>46073</v>
      </c>
      <c r="F75" s="445" t="s">
        <v>1926</v>
      </c>
      <c r="G75" s="445" t="s">
        <v>194</v>
      </c>
      <c r="H75" s="445" t="s">
        <v>2202</v>
      </c>
      <c r="I75" s="445" t="s">
        <v>1927</v>
      </c>
      <c r="J75" s="449">
        <v>0.05</v>
      </c>
      <c r="K75" s="445">
        <v>13.309999999999999</v>
      </c>
      <c r="L75" s="450">
        <v>0</v>
      </c>
      <c r="M75" s="451">
        <v>0</v>
      </c>
      <c r="N75" s="445">
        <v>0</v>
      </c>
      <c r="O75" s="445">
        <v>7.5630228076243259E-3</v>
      </c>
      <c r="P75" s="448">
        <v>35.686961108835696</v>
      </c>
      <c r="Q75" s="447" t="s">
        <v>1953</v>
      </c>
    </row>
    <row r="76" spans="1:17">
      <c r="A76" s="442">
        <v>46044</v>
      </c>
      <c r="B76" s="448" t="s">
        <v>2121</v>
      </c>
      <c r="C76" s="444" t="s">
        <v>2121</v>
      </c>
      <c r="D76" s="445" t="s">
        <v>2122</v>
      </c>
      <c r="E76" s="446">
        <v>46073</v>
      </c>
      <c r="F76" s="445" t="s">
        <v>1931</v>
      </c>
      <c r="G76" s="445" t="s">
        <v>194</v>
      </c>
      <c r="H76" s="445" t="s">
        <v>2203</v>
      </c>
      <c r="I76" s="445" t="s">
        <v>1927</v>
      </c>
      <c r="J76" s="449">
        <v>2.9</v>
      </c>
      <c r="K76" s="445">
        <v>0</v>
      </c>
      <c r="L76" s="450">
        <v>0</v>
      </c>
      <c r="M76" s="451">
        <v>0</v>
      </c>
      <c r="N76" s="445">
        <v>0</v>
      </c>
      <c r="O76" s="445">
        <v>0.5657570890783965</v>
      </c>
      <c r="P76" s="448">
        <v>32.051439091789796</v>
      </c>
      <c r="Q76" s="447" t="s">
        <v>1953</v>
      </c>
    </row>
    <row r="77" spans="1:17">
      <c r="A77" s="442">
        <v>46044</v>
      </c>
      <c r="B77" s="448" t="s">
        <v>2123</v>
      </c>
      <c r="C77" s="444" t="s">
        <v>2123</v>
      </c>
      <c r="D77" s="445" t="s">
        <v>2122</v>
      </c>
      <c r="E77" s="446">
        <v>46073</v>
      </c>
      <c r="F77" s="445" t="s">
        <v>1926</v>
      </c>
      <c r="G77" s="445" t="s">
        <v>194</v>
      </c>
      <c r="H77" s="445" t="s">
        <v>2204</v>
      </c>
      <c r="I77" s="445" t="s">
        <v>1927</v>
      </c>
      <c r="J77" s="449">
        <v>0.1</v>
      </c>
      <c r="K77" s="445">
        <v>47.72</v>
      </c>
      <c r="L77" s="450">
        <v>0</v>
      </c>
      <c r="M77" s="451">
        <v>0</v>
      </c>
      <c r="N77" s="445">
        <v>0</v>
      </c>
      <c r="O77" s="445">
        <v>1.2498964057866109E-2</v>
      </c>
      <c r="P77" s="448">
        <v>40.7028776150607</v>
      </c>
      <c r="Q77" s="447" t="s">
        <v>1953</v>
      </c>
    </row>
    <row r="78" spans="1:17">
      <c r="A78" s="442">
        <v>46044</v>
      </c>
      <c r="B78" s="448" t="s">
        <v>2124</v>
      </c>
      <c r="C78" s="444" t="s">
        <v>2124</v>
      </c>
      <c r="D78" s="445" t="s">
        <v>2122</v>
      </c>
      <c r="E78" s="446">
        <v>46073</v>
      </c>
      <c r="F78" s="445" t="s">
        <v>1926</v>
      </c>
      <c r="G78" s="445" t="s">
        <v>194</v>
      </c>
      <c r="H78" s="445" t="s">
        <v>2205</v>
      </c>
      <c r="I78" s="445" t="s">
        <v>1927</v>
      </c>
      <c r="J78" s="449">
        <v>0.26</v>
      </c>
      <c r="K78" s="445">
        <v>51.56</v>
      </c>
      <c r="L78" s="450">
        <v>0</v>
      </c>
      <c r="M78" s="451">
        <v>0</v>
      </c>
      <c r="N78" s="445">
        <v>0</v>
      </c>
      <c r="O78" s="445">
        <v>4.178729957632691E-2</v>
      </c>
      <c r="P78" s="448">
        <v>35.5042838972713</v>
      </c>
      <c r="Q78" s="447" t="s">
        <v>1953</v>
      </c>
    </row>
    <row r="79" spans="1:17">
      <c r="A79" s="442">
        <v>46044</v>
      </c>
      <c r="B79" s="448" t="s">
        <v>2130</v>
      </c>
      <c r="C79" s="444" t="s">
        <v>2130</v>
      </c>
      <c r="D79" s="445" t="s">
        <v>2087</v>
      </c>
      <c r="E79" s="446">
        <v>46073</v>
      </c>
      <c r="F79" s="445" t="s">
        <v>1926</v>
      </c>
      <c r="G79" s="445" t="s">
        <v>194</v>
      </c>
      <c r="H79" s="445" t="s">
        <v>2206</v>
      </c>
      <c r="I79" s="445" t="s">
        <v>1927</v>
      </c>
      <c r="J79" s="449">
        <v>0.1</v>
      </c>
      <c r="K79" s="445">
        <v>42.9</v>
      </c>
      <c r="L79" s="450">
        <v>0</v>
      </c>
      <c r="M79" s="451">
        <v>0</v>
      </c>
      <c r="N79" s="445">
        <v>0</v>
      </c>
      <c r="O79" s="445">
        <v>7.3982607965410879E-4</v>
      </c>
      <c r="P79" s="448">
        <v>33.192816252884903</v>
      </c>
      <c r="Q79" s="447" t="s">
        <v>1953</v>
      </c>
    </row>
    <row r="80" spans="1:17">
      <c r="A80" s="442">
        <v>46044</v>
      </c>
      <c r="B80" s="448" t="s">
        <v>2131</v>
      </c>
      <c r="C80" s="444" t="s">
        <v>2131</v>
      </c>
      <c r="D80" s="445" t="s">
        <v>2087</v>
      </c>
      <c r="E80" s="446">
        <v>46073</v>
      </c>
      <c r="F80" s="445" t="s">
        <v>1926</v>
      </c>
      <c r="G80" s="445" t="s">
        <v>194</v>
      </c>
      <c r="H80" s="445" t="s">
        <v>2207</v>
      </c>
      <c r="I80" s="445" t="s">
        <v>1927</v>
      </c>
      <c r="J80" s="449">
        <v>0.17</v>
      </c>
      <c r="K80" s="445">
        <v>47.83</v>
      </c>
      <c r="L80" s="450">
        <v>0</v>
      </c>
      <c r="M80" s="451">
        <v>0</v>
      </c>
      <c r="N80" s="445">
        <v>0</v>
      </c>
      <c r="O80" s="445">
        <v>1.5231817409685745E-2</v>
      </c>
      <c r="P80" s="448">
        <v>30.436030629886702</v>
      </c>
      <c r="Q80" s="447" t="s">
        <v>1953</v>
      </c>
    </row>
    <row r="81" spans="1:17">
      <c r="A81" s="442">
        <v>46044</v>
      </c>
      <c r="B81" s="443" t="s">
        <v>2136</v>
      </c>
      <c r="C81" s="443" t="s">
        <v>2136</v>
      </c>
      <c r="D81" s="445" t="s">
        <v>2137</v>
      </c>
      <c r="E81" s="446">
        <v>46073</v>
      </c>
      <c r="F81" s="445" t="s">
        <v>1926</v>
      </c>
      <c r="G81" s="445" t="s">
        <v>194</v>
      </c>
      <c r="H81" s="445" t="s">
        <v>2208</v>
      </c>
      <c r="I81" s="445" t="s">
        <v>1927</v>
      </c>
      <c r="J81" s="449">
        <v>0.5</v>
      </c>
      <c r="K81" s="445">
        <v>49.88</v>
      </c>
      <c r="L81" s="450">
        <v>0</v>
      </c>
      <c r="M81" s="451">
        <v>0</v>
      </c>
      <c r="N81" s="445">
        <v>0</v>
      </c>
      <c r="O81" s="445">
        <v>9.9430463402141123E-2</v>
      </c>
      <c r="P81" s="448">
        <v>24.907992817811003</v>
      </c>
      <c r="Q81" s="447" t="s">
        <v>1953</v>
      </c>
    </row>
    <row r="82" spans="1:17">
      <c r="A82" s="442">
        <v>46044</v>
      </c>
      <c r="B82" s="443" t="s">
        <v>2146</v>
      </c>
      <c r="C82" s="443" t="s">
        <v>2146</v>
      </c>
      <c r="D82" s="445" t="s">
        <v>1954</v>
      </c>
      <c r="E82" s="446">
        <v>46073</v>
      </c>
      <c r="F82" s="445" t="s">
        <v>1926</v>
      </c>
      <c r="G82" s="445" t="s">
        <v>194</v>
      </c>
      <c r="H82" s="445" t="s">
        <v>2212</v>
      </c>
      <c r="I82" s="445" t="s">
        <v>1927</v>
      </c>
      <c r="J82" s="449">
        <v>0.01</v>
      </c>
      <c r="K82" s="445">
        <v>11.41</v>
      </c>
      <c r="L82" s="450">
        <v>0</v>
      </c>
      <c r="M82" s="451">
        <v>0</v>
      </c>
      <c r="N82" s="445">
        <v>0</v>
      </c>
      <c r="O82" s="445">
        <v>2.1625601602773942E-3</v>
      </c>
      <c r="P82" s="448">
        <v>44.2513881813871</v>
      </c>
      <c r="Q82" s="447" t="s">
        <v>1953</v>
      </c>
    </row>
    <row r="83" spans="1:17">
      <c r="A83" s="442">
        <v>46044</v>
      </c>
      <c r="B83" s="443" t="s">
        <v>2147</v>
      </c>
      <c r="C83" s="443" t="s">
        <v>2147</v>
      </c>
      <c r="D83" s="445" t="s">
        <v>1954</v>
      </c>
      <c r="E83" s="446">
        <v>46073</v>
      </c>
      <c r="F83" s="445" t="s">
        <v>1926</v>
      </c>
      <c r="G83" s="445" t="s">
        <v>194</v>
      </c>
      <c r="H83" s="445" t="s">
        <v>2213</v>
      </c>
      <c r="I83" s="445" t="s">
        <v>1927</v>
      </c>
      <c r="J83" s="449">
        <v>0.05</v>
      </c>
      <c r="K83" s="445">
        <v>12.62</v>
      </c>
      <c r="L83" s="450">
        <v>0</v>
      </c>
      <c r="M83" s="451">
        <v>0</v>
      </c>
      <c r="N83" s="445">
        <v>0</v>
      </c>
      <c r="O83" s="445">
        <v>7.5630228076243259E-3</v>
      </c>
      <c r="P83" s="448">
        <v>35.686961108835696</v>
      </c>
      <c r="Q83" s="447" t="s">
        <v>1953</v>
      </c>
    </row>
    <row r="84" spans="1:17">
      <c r="A84" s="442">
        <v>46044</v>
      </c>
      <c r="B84" s="443" t="s">
        <v>2148</v>
      </c>
      <c r="C84" s="443" t="s">
        <v>2148</v>
      </c>
      <c r="D84" s="445" t="s">
        <v>1954</v>
      </c>
      <c r="E84" s="446">
        <v>46073</v>
      </c>
      <c r="F84" s="445" t="s">
        <v>1926</v>
      </c>
      <c r="G84" s="445" t="s">
        <v>194</v>
      </c>
      <c r="H84" s="445" t="s">
        <v>2214</v>
      </c>
      <c r="I84" s="445" t="s">
        <v>1927</v>
      </c>
      <c r="J84" s="449">
        <v>0.14000000000000001</v>
      </c>
      <c r="K84" s="445">
        <v>13.53</v>
      </c>
      <c r="L84" s="450">
        <v>0</v>
      </c>
      <c r="M84" s="451">
        <v>0</v>
      </c>
      <c r="N84" s="445">
        <v>0</v>
      </c>
      <c r="O84" s="445">
        <v>2.5942795424490565E-2</v>
      </c>
      <c r="P84" s="448">
        <v>30.846879847219899</v>
      </c>
      <c r="Q84" s="447" t="s">
        <v>1953</v>
      </c>
    </row>
    <row r="85" spans="1:17">
      <c r="A85" s="442">
        <v>46044</v>
      </c>
      <c r="B85" s="443" t="s">
        <v>2149</v>
      </c>
      <c r="C85" s="443" t="s">
        <v>2149</v>
      </c>
      <c r="D85" s="445" t="s">
        <v>2150</v>
      </c>
      <c r="E85" s="446">
        <v>46073</v>
      </c>
      <c r="F85" s="445" t="s">
        <v>1926</v>
      </c>
      <c r="G85" s="445" t="s">
        <v>194</v>
      </c>
      <c r="H85" s="445" t="s">
        <v>2215</v>
      </c>
      <c r="I85" s="445" t="s">
        <v>1927</v>
      </c>
      <c r="J85" s="449">
        <v>0.03</v>
      </c>
      <c r="K85" s="445">
        <v>12.01</v>
      </c>
      <c r="L85" s="450">
        <v>0</v>
      </c>
      <c r="M85" s="451">
        <v>0</v>
      </c>
      <c r="N85" s="445">
        <v>0</v>
      </c>
      <c r="O85" s="445">
        <v>4.7414072254640767E-3</v>
      </c>
      <c r="P85" s="448">
        <v>46.278043094525195</v>
      </c>
      <c r="Q85" s="447" t="s">
        <v>1953</v>
      </c>
    </row>
    <row r="86" spans="1:17">
      <c r="A86" s="442">
        <v>46044</v>
      </c>
      <c r="B86" s="443" t="s">
        <v>2151</v>
      </c>
      <c r="C86" s="443" t="s">
        <v>2151</v>
      </c>
      <c r="D86" s="445" t="s">
        <v>2150</v>
      </c>
      <c r="E86" s="446">
        <v>46073</v>
      </c>
      <c r="F86" s="445" t="s">
        <v>1926</v>
      </c>
      <c r="G86" s="445" t="s">
        <v>194</v>
      </c>
      <c r="H86" s="445" t="s">
        <v>2216</v>
      </c>
      <c r="I86" s="445" t="s">
        <v>1927</v>
      </c>
      <c r="J86" s="449">
        <v>0.08</v>
      </c>
      <c r="K86" s="445">
        <v>12.959999999999999</v>
      </c>
      <c r="L86" s="450">
        <v>0</v>
      </c>
      <c r="M86" s="451">
        <v>0</v>
      </c>
      <c r="N86" s="445">
        <v>0</v>
      </c>
      <c r="O86" s="445">
        <v>1.5081564403461957E-2</v>
      </c>
      <c r="P86" s="448">
        <v>42.444933196543396</v>
      </c>
      <c r="Q86" s="447" t="s">
        <v>1953</v>
      </c>
    </row>
    <row r="87" spans="1:17">
      <c r="A87" s="442">
        <v>46044</v>
      </c>
      <c r="B87" s="444" t="s">
        <v>2217</v>
      </c>
      <c r="C87" s="444" t="s">
        <v>2217</v>
      </c>
      <c r="D87" s="445" t="s">
        <v>2087</v>
      </c>
      <c r="E87" s="446">
        <v>46073</v>
      </c>
      <c r="F87" s="445" t="s">
        <v>1931</v>
      </c>
      <c r="G87" s="445" t="s">
        <v>194</v>
      </c>
      <c r="H87" s="445" t="s">
        <v>2218</v>
      </c>
      <c r="I87" s="445" t="s">
        <v>1927</v>
      </c>
      <c r="J87" s="449">
        <v>2.15</v>
      </c>
      <c r="K87" s="445">
        <v>0</v>
      </c>
      <c r="L87" s="450">
        <v>0</v>
      </c>
      <c r="M87" s="451">
        <v>0</v>
      </c>
      <c r="N87" s="445">
        <v>0</v>
      </c>
      <c r="O87" s="445">
        <v>0.37111225925893893</v>
      </c>
      <c r="P87" s="448">
        <v>26.126736405561601</v>
      </c>
      <c r="Q87" s="447" t="s">
        <v>1953</v>
      </c>
    </row>
    <row r="88" spans="1:17">
      <c r="A88" s="442">
        <v>46044</v>
      </c>
      <c r="B88" s="444" t="s">
        <v>2219</v>
      </c>
      <c r="C88" s="444" t="s">
        <v>2219</v>
      </c>
      <c r="D88" s="445" t="s">
        <v>2087</v>
      </c>
      <c r="E88" s="446">
        <v>46073</v>
      </c>
      <c r="F88" s="445" t="s">
        <v>1926</v>
      </c>
      <c r="G88" s="445" t="s">
        <v>194</v>
      </c>
      <c r="H88" s="445" t="s">
        <v>2220</v>
      </c>
      <c r="I88" s="445" t="s">
        <v>1927</v>
      </c>
      <c r="J88" s="449">
        <v>0.1</v>
      </c>
      <c r="K88" s="445">
        <v>46.9</v>
      </c>
      <c r="L88" s="450">
        <v>0</v>
      </c>
      <c r="M88" s="451">
        <v>0</v>
      </c>
      <c r="N88" s="445">
        <v>0</v>
      </c>
      <c r="O88" s="445">
        <v>8.9796462792885393E-3</v>
      </c>
      <c r="P88" s="448">
        <v>31.042726104038401</v>
      </c>
      <c r="Q88" s="447" t="s">
        <v>1953</v>
      </c>
    </row>
    <row r="89" spans="1:17">
      <c r="A89" s="442">
        <v>46044</v>
      </c>
      <c r="B89" s="444" t="s">
        <v>2221</v>
      </c>
      <c r="C89" s="444" t="s">
        <v>2221</v>
      </c>
      <c r="D89" s="445" t="s">
        <v>2087</v>
      </c>
      <c r="E89" s="446">
        <v>46073</v>
      </c>
      <c r="F89" s="445" t="s">
        <v>1926</v>
      </c>
      <c r="G89" s="445" t="s">
        <v>194</v>
      </c>
      <c r="H89" s="445" t="s">
        <v>2222</v>
      </c>
      <c r="I89" s="445" t="s">
        <v>1927</v>
      </c>
      <c r="J89" s="449">
        <v>0.39</v>
      </c>
      <c r="K89" s="445">
        <v>50.11</v>
      </c>
      <c r="L89" s="450">
        <v>0</v>
      </c>
      <c r="M89" s="451">
        <v>0</v>
      </c>
      <c r="N89" s="445">
        <v>0</v>
      </c>
      <c r="O89" s="445">
        <v>4.9687265644698081E-2</v>
      </c>
      <c r="P89" s="448">
        <v>28.825192365762099</v>
      </c>
      <c r="Q89" s="447" t="s">
        <v>1953</v>
      </c>
    </row>
    <row r="90" spans="1:17">
      <c r="A90" s="442">
        <v>46044</v>
      </c>
      <c r="B90" s="443" t="s">
        <v>2223</v>
      </c>
      <c r="C90" s="443" t="s">
        <v>2223</v>
      </c>
      <c r="D90" s="445" t="s">
        <v>1952</v>
      </c>
      <c r="E90" s="446">
        <v>46101</v>
      </c>
      <c r="F90" s="445" t="s">
        <v>1931</v>
      </c>
      <c r="G90" s="445" t="s">
        <v>194</v>
      </c>
      <c r="H90" s="445" t="s">
        <v>2224</v>
      </c>
      <c r="I90" s="445" t="s">
        <v>1927</v>
      </c>
      <c r="J90" s="449">
        <v>0.82</v>
      </c>
      <c r="K90" s="445">
        <v>0</v>
      </c>
      <c r="L90" s="450">
        <v>0</v>
      </c>
      <c r="M90" s="451">
        <v>0</v>
      </c>
      <c r="N90" s="445">
        <v>0</v>
      </c>
      <c r="O90" s="445">
        <v>3.1954845975439988E-2</v>
      </c>
      <c r="P90" s="448">
        <v>27.9991970002845</v>
      </c>
      <c r="Q90" s="447" t="s">
        <v>1953</v>
      </c>
    </row>
    <row r="91" spans="1:17">
      <c r="A91" s="442">
        <v>46044</v>
      </c>
      <c r="B91" s="443" t="s">
        <v>2225</v>
      </c>
      <c r="C91" s="443" t="s">
        <v>2225</v>
      </c>
      <c r="D91" s="445" t="s">
        <v>1952</v>
      </c>
      <c r="E91" s="446">
        <v>46101</v>
      </c>
      <c r="F91" s="445" t="s">
        <v>1926</v>
      </c>
      <c r="G91" s="445" t="s">
        <v>194</v>
      </c>
      <c r="H91" s="445" t="s">
        <v>2226</v>
      </c>
      <c r="I91" s="445" t="s">
        <v>1927</v>
      </c>
      <c r="J91" s="449">
        <v>0.87</v>
      </c>
      <c r="K91" s="445">
        <v>20.439999999999998</v>
      </c>
      <c r="L91" s="450">
        <v>0</v>
      </c>
      <c r="M91" s="451">
        <v>0</v>
      </c>
      <c r="N91" s="445">
        <v>0</v>
      </c>
      <c r="O91" s="445">
        <v>0.12087555511885155</v>
      </c>
      <c r="P91" s="448">
        <v>32.217206902658596</v>
      </c>
      <c r="Q91" s="447" t="s">
        <v>1953</v>
      </c>
    </row>
    <row r="92" spans="1:17">
      <c r="A92" s="442">
        <v>46044</v>
      </c>
      <c r="B92" s="443" t="s">
        <v>2227</v>
      </c>
      <c r="C92" s="443" t="s">
        <v>2227</v>
      </c>
      <c r="D92" s="445" t="s">
        <v>1952</v>
      </c>
      <c r="E92" s="446">
        <v>46101</v>
      </c>
      <c r="F92" s="445" t="s">
        <v>1926</v>
      </c>
      <c r="G92" s="445" t="s">
        <v>194</v>
      </c>
      <c r="H92" s="445" t="s">
        <v>2228</v>
      </c>
      <c r="I92" s="445" t="s">
        <v>1927</v>
      </c>
      <c r="J92" s="449">
        <v>1.26</v>
      </c>
      <c r="K92" s="445">
        <v>22.049999999999997</v>
      </c>
      <c r="L92" s="450">
        <v>0</v>
      </c>
      <c r="M92" s="451">
        <v>0</v>
      </c>
      <c r="N92" s="445">
        <v>0</v>
      </c>
      <c r="O92" s="445">
        <v>0.29750565404165541</v>
      </c>
      <c r="P92" s="448">
        <v>29.951134711959302</v>
      </c>
      <c r="Q92" s="447" t="s">
        <v>1953</v>
      </c>
    </row>
    <row r="93" spans="1:17">
      <c r="A93" s="442">
        <v>46044</v>
      </c>
      <c r="B93" s="443" t="s">
        <v>2229</v>
      </c>
      <c r="C93" s="443" t="s">
        <v>2229</v>
      </c>
      <c r="D93" s="445" t="s">
        <v>2230</v>
      </c>
      <c r="E93" s="446">
        <v>46073</v>
      </c>
      <c r="F93" s="445" t="s">
        <v>1931</v>
      </c>
      <c r="G93" s="445" t="s">
        <v>194</v>
      </c>
      <c r="H93" s="445" t="s">
        <v>2231</v>
      </c>
      <c r="I93" s="445" t="s">
        <v>1927</v>
      </c>
      <c r="J93" s="449">
        <v>8.36</v>
      </c>
      <c r="K93" s="445">
        <v>0</v>
      </c>
      <c r="L93" s="450">
        <v>0</v>
      </c>
      <c r="M93" s="451">
        <v>0</v>
      </c>
      <c r="N93" s="445">
        <v>0</v>
      </c>
      <c r="O93" s="445">
        <v>1.5594143686003805</v>
      </c>
      <c r="P93" s="448">
        <v>30.392603253018297</v>
      </c>
      <c r="Q93" s="447" t="s">
        <v>1953</v>
      </c>
    </row>
    <row r="94" spans="1:17">
      <c r="A94" s="442">
        <v>46044</v>
      </c>
      <c r="B94" s="443" t="s">
        <v>2232</v>
      </c>
      <c r="C94" s="443" t="s">
        <v>2232</v>
      </c>
      <c r="D94" s="445" t="s">
        <v>2230</v>
      </c>
      <c r="E94" s="446">
        <v>46073</v>
      </c>
      <c r="F94" s="445" t="s">
        <v>1931</v>
      </c>
      <c r="G94" s="445" t="s">
        <v>194</v>
      </c>
      <c r="H94" s="445" t="s">
        <v>2233</v>
      </c>
      <c r="I94" s="445" t="s">
        <v>1927</v>
      </c>
      <c r="J94" s="449">
        <v>4.24</v>
      </c>
      <c r="K94" s="445">
        <v>0</v>
      </c>
      <c r="L94" s="450">
        <v>0</v>
      </c>
      <c r="M94" s="451">
        <v>0</v>
      </c>
      <c r="N94" s="445">
        <v>0</v>
      </c>
      <c r="O94" s="445">
        <v>0.7884373682304725</v>
      </c>
      <c r="P94" s="448">
        <v>27.245550952690301</v>
      </c>
      <c r="Q94" s="447" t="s">
        <v>1953</v>
      </c>
    </row>
    <row r="95" spans="1:17">
      <c r="A95" s="442">
        <v>46044</v>
      </c>
      <c r="B95" s="454" t="s">
        <v>2247</v>
      </c>
      <c r="C95" s="454" t="s">
        <v>2247</v>
      </c>
      <c r="D95" s="445" t="s">
        <v>1954</v>
      </c>
      <c r="E95" s="446">
        <v>46073</v>
      </c>
      <c r="F95" s="445" t="s">
        <v>1931</v>
      </c>
      <c r="G95" s="445" t="s">
        <v>194</v>
      </c>
      <c r="H95" s="445" t="s">
        <v>2248</v>
      </c>
      <c r="I95" s="445" t="s">
        <v>1927</v>
      </c>
      <c r="J95" s="449">
        <v>0.33</v>
      </c>
      <c r="K95" s="445">
        <v>0</v>
      </c>
      <c r="L95" s="450">
        <v>0</v>
      </c>
      <c r="M95" s="451">
        <v>0</v>
      </c>
      <c r="N95" s="445">
        <v>0</v>
      </c>
      <c r="O95" s="445">
        <v>6.6592635698353608E-2</v>
      </c>
      <c r="P95" s="448">
        <v>29.430981725173599</v>
      </c>
      <c r="Q95" s="447" t="s">
        <v>1953</v>
      </c>
    </row>
    <row r="96" spans="1:17">
      <c r="A96" s="442">
        <v>46044</v>
      </c>
      <c r="B96" s="454" t="s">
        <v>2249</v>
      </c>
      <c r="C96" s="454" t="s">
        <v>2249</v>
      </c>
      <c r="D96" s="445" t="s">
        <v>2015</v>
      </c>
      <c r="E96" s="446">
        <v>46071</v>
      </c>
      <c r="F96" s="445" t="s">
        <v>1926</v>
      </c>
      <c r="G96" s="445" t="s">
        <v>194</v>
      </c>
      <c r="H96" s="445" t="s">
        <v>2250</v>
      </c>
      <c r="I96" s="445" t="s">
        <v>1927</v>
      </c>
      <c r="J96" s="449">
        <v>245</v>
      </c>
      <c r="K96" s="445">
        <v>160755</v>
      </c>
      <c r="L96" s="450">
        <v>0</v>
      </c>
      <c r="M96" s="451">
        <v>0</v>
      </c>
      <c r="N96" s="445">
        <v>0</v>
      </c>
      <c r="O96" s="445">
        <v>41.955386600561269</v>
      </c>
      <c r="P96" s="448">
        <v>22.919570865557798</v>
      </c>
      <c r="Q96" s="447" t="s">
        <v>1953</v>
      </c>
    </row>
    <row r="97" spans="1:17">
      <c r="A97" s="442">
        <v>46044</v>
      </c>
      <c r="B97" s="454" t="s">
        <v>2251</v>
      </c>
      <c r="C97" s="454" t="s">
        <v>2251</v>
      </c>
      <c r="D97" s="445" t="s">
        <v>2104</v>
      </c>
      <c r="E97" s="446">
        <v>46073</v>
      </c>
      <c r="F97" s="445" t="s">
        <v>1926</v>
      </c>
      <c r="G97" s="445" t="s">
        <v>194</v>
      </c>
      <c r="H97" s="445" t="s">
        <v>2252</v>
      </c>
      <c r="I97" s="445" t="s">
        <v>1927</v>
      </c>
      <c r="J97" s="449">
        <v>0.31</v>
      </c>
      <c r="K97" s="445">
        <v>107.69</v>
      </c>
      <c r="L97" s="450">
        <v>0</v>
      </c>
      <c r="M97" s="451">
        <v>0</v>
      </c>
      <c r="N97" s="445">
        <v>0</v>
      </c>
      <c r="O97" s="445">
        <v>7.7130527595286338E-2</v>
      </c>
      <c r="P97" s="448">
        <v>29.916330666992199</v>
      </c>
      <c r="Q97" s="447" t="s">
        <v>1953</v>
      </c>
    </row>
    <row r="98" spans="1:17">
      <c r="A98" s="442">
        <v>46044</v>
      </c>
      <c r="B98" s="454" t="s">
        <v>2253</v>
      </c>
      <c r="C98" s="454" t="s">
        <v>2253</v>
      </c>
      <c r="D98" s="445" t="s">
        <v>2104</v>
      </c>
      <c r="E98" s="446">
        <v>46073</v>
      </c>
      <c r="F98" s="445" t="s">
        <v>1926</v>
      </c>
      <c r="G98" s="445" t="s">
        <v>194</v>
      </c>
      <c r="H98" s="445" t="s">
        <v>2254</v>
      </c>
      <c r="I98" s="445" t="s">
        <v>1927</v>
      </c>
      <c r="J98" s="449">
        <v>0.77</v>
      </c>
      <c r="K98" s="445">
        <v>112.23</v>
      </c>
      <c r="L98" s="450">
        <v>0</v>
      </c>
      <c r="M98" s="451">
        <v>0</v>
      </c>
      <c r="N98" s="445">
        <v>0</v>
      </c>
      <c r="O98" s="445">
        <v>0.18048614803089744</v>
      </c>
      <c r="P98" s="448">
        <v>27.105391630588898</v>
      </c>
      <c r="Q98" s="447" t="s">
        <v>1953</v>
      </c>
    </row>
    <row r="99" spans="1:17">
      <c r="A99" s="442">
        <v>46044</v>
      </c>
      <c r="B99" s="443" t="s">
        <v>2271</v>
      </c>
      <c r="C99" s="443" t="s">
        <v>2271</v>
      </c>
      <c r="D99" s="445" t="s">
        <v>2104</v>
      </c>
      <c r="E99" s="446">
        <v>46073</v>
      </c>
      <c r="F99" s="445" t="s">
        <v>1926</v>
      </c>
      <c r="G99" s="445" t="s">
        <v>194</v>
      </c>
      <c r="H99" s="445" t="s">
        <v>2272</v>
      </c>
      <c r="I99" s="445" t="s">
        <v>1927</v>
      </c>
      <c r="J99" s="449">
        <v>0.96</v>
      </c>
      <c r="K99" s="445">
        <v>113.04</v>
      </c>
      <c r="L99" s="450">
        <v>0</v>
      </c>
      <c r="M99" s="451">
        <v>0</v>
      </c>
      <c r="N99" s="445">
        <v>0</v>
      </c>
      <c r="O99" s="445">
        <v>0.21449044470790185</v>
      </c>
      <c r="P99" s="448">
        <v>26.638045836588301</v>
      </c>
      <c r="Q99" s="447" t="s">
        <v>1953</v>
      </c>
    </row>
    <row r="100" spans="1:17">
      <c r="A100" s="442">
        <v>46044</v>
      </c>
      <c r="B100" s="443" t="s">
        <v>2273</v>
      </c>
      <c r="C100" s="443" t="s">
        <v>2273</v>
      </c>
      <c r="D100" s="445" t="s">
        <v>2274</v>
      </c>
      <c r="E100" s="446">
        <v>46073</v>
      </c>
      <c r="F100" s="445" t="s">
        <v>1931</v>
      </c>
      <c r="G100" s="445" t="s">
        <v>194</v>
      </c>
      <c r="H100" s="445" t="s">
        <v>2275</v>
      </c>
      <c r="I100" s="445" t="s">
        <v>1927</v>
      </c>
      <c r="J100" s="449">
        <v>1.36</v>
      </c>
      <c r="K100" s="445">
        <v>0</v>
      </c>
      <c r="L100" s="450">
        <v>0</v>
      </c>
      <c r="M100" s="451">
        <v>0</v>
      </c>
      <c r="N100" s="445">
        <v>0</v>
      </c>
      <c r="O100" s="445">
        <v>0.20630022359849154</v>
      </c>
      <c r="P100" s="448">
        <v>32.874029705587198</v>
      </c>
      <c r="Q100" s="447" t="s">
        <v>1953</v>
      </c>
    </row>
    <row r="101" spans="1:17">
      <c r="A101" s="442">
        <v>46044</v>
      </c>
      <c r="B101" s="443" t="s">
        <v>2276</v>
      </c>
      <c r="C101" s="443" t="s">
        <v>2276</v>
      </c>
      <c r="D101" s="445" t="s">
        <v>2274</v>
      </c>
      <c r="E101" s="446">
        <v>46073</v>
      </c>
      <c r="F101" s="445" t="s">
        <v>1926</v>
      </c>
      <c r="G101" s="445" t="s">
        <v>194</v>
      </c>
      <c r="H101" s="445" t="s">
        <v>2277</v>
      </c>
      <c r="I101" s="445" t="s">
        <v>1927</v>
      </c>
      <c r="J101" s="449">
        <v>0.12</v>
      </c>
      <c r="K101" s="445">
        <v>25.77</v>
      </c>
      <c r="L101" s="450">
        <v>0</v>
      </c>
      <c r="M101" s="451">
        <v>0</v>
      </c>
      <c r="N101" s="445">
        <v>0</v>
      </c>
      <c r="O101" s="445">
        <v>1.7260710130609227E-2</v>
      </c>
      <c r="P101" s="448">
        <v>38.005528890806005</v>
      </c>
      <c r="Q101" s="447" t="s">
        <v>1953</v>
      </c>
    </row>
    <row r="102" spans="1:17">
      <c r="A102" s="442">
        <v>46044</v>
      </c>
      <c r="B102" s="443" t="s">
        <v>2278</v>
      </c>
      <c r="C102" s="443" t="s">
        <v>2278</v>
      </c>
      <c r="D102" s="445" t="s">
        <v>2274</v>
      </c>
      <c r="E102" s="446">
        <v>46073</v>
      </c>
      <c r="F102" s="445" t="s">
        <v>1926</v>
      </c>
      <c r="G102" s="445" t="s">
        <v>194</v>
      </c>
      <c r="H102" s="445" t="s">
        <v>2279</v>
      </c>
      <c r="I102" s="445" t="s">
        <v>1927</v>
      </c>
      <c r="J102" s="449">
        <v>0.51</v>
      </c>
      <c r="K102" s="445">
        <v>27.63</v>
      </c>
      <c r="L102" s="450">
        <v>0</v>
      </c>
      <c r="M102" s="451">
        <v>0</v>
      </c>
      <c r="N102" s="445">
        <v>0</v>
      </c>
      <c r="O102" s="445">
        <v>7.3317914022603917E-2</v>
      </c>
      <c r="P102" s="448">
        <v>35.34173234272</v>
      </c>
      <c r="Q102" s="447" t="s">
        <v>1953</v>
      </c>
    </row>
    <row r="103" spans="1:17">
      <c r="A103" s="442">
        <v>46044</v>
      </c>
      <c r="B103" s="454" t="s">
        <v>2290</v>
      </c>
      <c r="C103" s="454" t="s">
        <v>2290</v>
      </c>
      <c r="D103" s="445" t="s">
        <v>2015</v>
      </c>
      <c r="E103" s="446">
        <v>46071</v>
      </c>
      <c r="F103" s="445" t="s">
        <v>1926</v>
      </c>
      <c r="G103" s="445" t="s">
        <v>194</v>
      </c>
      <c r="H103" s="445" t="s">
        <v>2311</v>
      </c>
      <c r="I103" s="445" t="s">
        <v>1927</v>
      </c>
      <c r="J103" s="449">
        <v>320</v>
      </c>
      <c r="K103" s="445">
        <v>162680</v>
      </c>
      <c r="L103" s="450">
        <v>0</v>
      </c>
      <c r="M103" s="451">
        <v>0</v>
      </c>
      <c r="N103" s="445">
        <v>0</v>
      </c>
      <c r="O103" s="445">
        <v>61.356400683164473</v>
      </c>
      <c r="P103" s="448">
        <v>22.370555485518899</v>
      </c>
      <c r="Q103" s="447" t="s">
        <v>1953</v>
      </c>
    </row>
    <row r="104" spans="1:17">
      <c r="A104" s="442">
        <v>46044</v>
      </c>
      <c r="B104" s="443" t="s">
        <v>2350</v>
      </c>
      <c r="C104" s="443" t="s">
        <v>2350</v>
      </c>
      <c r="D104" s="445" t="s">
        <v>2143</v>
      </c>
      <c r="E104" s="446">
        <v>46073</v>
      </c>
      <c r="F104" s="445" t="s">
        <v>1926</v>
      </c>
      <c r="G104" s="445" t="s">
        <v>194</v>
      </c>
      <c r="H104" s="445" t="s">
        <v>2351</v>
      </c>
      <c r="I104" s="445" t="s">
        <v>1927</v>
      </c>
      <c r="J104" s="449">
        <v>1.01</v>
      </c>
      <c r="K104" s="445">
        <v>33.14</v>
      </c>
      <c r="L104" s="450">
        <v>0</v>
      </c>
      <c r="M104" s="451">
        <v>0</v>
      </c>
      <c r="N104" s="445">
        <v>0</v>
      </c>
      <c r="O104" s="445">
        <v>0.17774111741501061</v>
      </c>
      <c r="P104" s="448">
        <v>22.417998183888301</v>
      </c>
      <c r="Q104" s="447" t="s">
        <v>1953</v>
      </c>
    </row>
    <row r="105" spans="1:17">
      <c r="A105" s="442">
        <v>46044</v>
      </c>
      <c r="B105" s="443" t="s">
        <v>2352</v>
      </c>
      <c r="C105" s="443" t="s">
        <v>2352</v>
      </c>
      <c r="D105" s="445" t="s">
        <v>2353</v>
      </c>
      <c r="E105" s="446">
        <v>46073</v>
      </c>
      <c r="F105" s="445" t="s">
        <v>1926</v>
      </c>
      <c r="G105" s="445" t="s">
        <v>194</v>
      </c>
      <c r="H105" s="445" t="s">
        <v>2354</v>
      </c>
      <c r="I105" s="445" t="s">
        <v>1927</v>
      </c>
      <c r="J105" s="449">
        <v>0.35</v>
      </c>
      <c r="K105" s="445">
        <v>42.9</v>
      </c>
      <c r="L105" s="450">
        <v>0</v>
      </c>
      <c r="M105" s="451">
        <v>0</v>
      </c>
      <c r="N105" s="445">
        <v>0</v>
      </c>
      <c r="O105" s="445">
        <v>6.8806765672410952E-2</v>
      </c>
      <c r="P105" s="448">
        <v>30.710778498129496</v>
      </c>
      <c r="Q105" s="447" t="s">
        <v>1953</v>
      </c>
    </row>
    <row r="106" spans="1:17">
      <c r="A106" s="442">
        <v>46044</v>
      </c>
      <c r="B106" s="443" t="s">
        <v>2355</v>
      </c>
      <c r="C106" s="443" t="s">
        <v>2355</v>
      </c>
      <c r="D106" s="445" t="s">
        <v>2353</v>
      </c>
      <c r="E106" s="446">
        <v>46073</v>
      </c>
      <c r="F106" s="445" t="s">
        <v>1926</v>
      </c>
      <c r="G106" s="445" t="s">
        <v>194</v>
      </c>
      <c r="H106" s="445" t="s">
        <v>2356</v>
      </c>
      <c r="I106" s="445" t="s">
        <v>1927</v>
      </c>
      <c r="J106" s="449">
        <v>1.24</v>
      </c>
      <c r="K106" s="445">
        <v>45.01</v>
      </c>
      <c r="L106" s="450">
        <v>0</v>
      </c>
      <c r="M106" s="451">
        <v>0</v>
      </c>
      <c r="N106" s="445">
        <v>0</v>
      </c>
      <c r="O106" s="445">
        <v>0.2345349366586626</v>
      </c>
      <c r="P106" s="448">
        <v>29.116432721075803</v>
      </c>
      <c r="Q106" s="447" t="s">
        <v>1953</v>
      </c>
    </row>
    <row r="107" spans="1:17">
      <c r="A107" s="442">
        <v>46044</v>
      </c>
      <c r="B107" s="443" t="s">
        <v>2357</v>
      </c>
      <c r="C107" s="443" t="s">
        <v>2357</v>
      </c>
      <c r="D107" s="445" t="s">
        <v>2353</v>
      </c>
      <c r="E107" s="446">
        <v>46101</v>
      </c>
      <c r="F107" s="445" t="s">
        <v>1931</v>
      </c>
      <c r="G107" s="445" t="s">
        <v>194</v>
      </c>
      <c r="H107" s="445" t="s">
        <v>2222</v>
      </c>
      <c r="I107" s="445" t="s">
        <v>1927</v>
      </c>
      <c r="J107" s="449">
        <v>0.95</v>
      </c>
      <c r="K107" s="445">
        <v>0</v>
      </c>
      <c r="L107" s="450">
        <v>0</v>
      </c>
      <c r="M107" s="451">
        <v>0</v>
      </c>
      <c r="N107" s="445">
        <v>0</v>
      </c>
      <c r="O107" s="445">
        <v>0.19009861346088192</v>
      </c>
      <c r="P107" s="448">
        <v>29.946718585025099</v>
      </c>
      <c r="Q107" s="447" t="s">
        <v>1953</v>
      </c>
    </row>
    <row r="108" spans="1:17">
      <c r="A108" s="442">
        <v>46044</v>
      </c>
      <c r="B108" s="443" t="s">
        <v>2358</v>
      </c>
      <c r="C108" s="443" t="s">
        <v>2358</v>
      </c>
      <c r="D108" s="445" t="s">
        <v>2353</v>
      </c>
      <c r="E108" s="446">
        <v>46101</v>
      </c>
      <c r="F108" s="445" t="s">
        <v>1926</v>
      </c>
      <c r="G108" s="445" t="s">
        <v>194</v>
      </c>
      <c r="H108" s="445" t="s">
        <v>2359</v>
      </c>
      <c r="I108" s="445" t="s">
        <v>1927</v>
      </c>
      <c r="J108" s="449">
        <v>0.6</v>
      </c>
      <c r="K108" s="445">
        <v>41.9</v>
      </c>
      <c r="L108" s="450">
        <v>0</v>
      </c>
      <c r="M108" s="451">
        <v>0</v>
      </c>
      <c r="N108" s="445">
        <v>0</v>
      </c>
      <c r="O108" s="445">
        <v>0.11392294713896892</v>
      </c>
      <c r="P108" s="448">
        <v>31.712098545810598</v>
      </c>
      <c r="Q108" s="447" t="s">
        <v>1953</v>
      </c>
    </row>
    <row r="109" spans="1:17">
      <c r="A109" s="442">
        <v>46044</v>
      </c>
      <c r="B109" s="443" t="s">
        <v>2360</v>
      </c>
      <c r="C109" s="443" t="s">
        <v>2360</v>
      </c>
      <c r="D109" s="445" t="s">
        <v>2353</v>
      </c>
      <c r="E109" s="446">
        <v>46101</v>
      </c>
      <c r="F109" s="445" t="s">
        <v>1926</v>
      </c>
      <c r="G109" s="445" t="s">
        <v>194</v>
      </c>
      <c r="H109" s="445" t="s">
        <v>2361</v>
      </c>
      <c r="I109" s="445" t="s">
        <v>1927</v>
      </c>
      <c r="J109" s="449">
        <v>1.76</v>
      </c>
      <c r="K109" s="445">
        <v>44.74</v>
      </c>
      <c r="L109" s="450">
        <v>0</v>
      </c>
      <c r="M109" s="451">
        <v>0</v>
      </c>
      <c r="N109" s="445">
        <v>0</v>
      </c>
      <c r="O109" s="445">
        <v>0.34174499185588919</v>
      </c>
      <c r="P109" s="448">
        <v>29.9143231058171</v>
      </c>
      <c r="Q109" s="447" t="s">
        <v>1953</v>
      </c>
    </row>
    <row r="110" spans="1:17">
      <c r="A110" s="442">
        <v>46037</v>
      </c>
      <c r="B110" s="443" t="s">
        <v>2141</v>
      </c>
      <c r="C110" s="443" t="s">
        <v>2141</v>
      </c>
      <c r="D110" s="445" t="s">
        <v>2030</v>
      </c>
      <c r="E110" s="446">
        <v>46038</v>
      </c>
      <c r="F110" s="445" t="s">
        <v>1926</v>
      </c>
      <c r="G110" s="445" t="s">
        <v>194</v>
      </c>
      <c r="H110" s="445" t="s">
        <v>2209</v>
      </c>
      <c r="I110" s="445" t="s">
        <v>1927</v>
      </c>
      <c r="J110" s="449">
        <v>0.01</v>
      </c>
      <c r="K110" s="445">
        <v>13.76</v>
      </c>
      <c r="L110" s="450">
        <v>0</v>
      </c>
      <c r="M110" s="451">
        <v>0</v>
      </c>
      <c r="N110" s="445">
        <v>0</v>
      </c>
      <c r="O110" s="445">
        <v>3.1298364024433207E-4</v>
      </c>
      <c r="P110" s="448">
        <v>76.62247725346009</v>
      </c>
      <c r="Q110" s="447" t="s">
        <v>1953</v>
      </c>
    </row>
    <row r="111" spans="1:17">
      <c r="A111" s="442">
        <v>46037</v>
      </c>
      <c r="B111" s="443" t="s">
        <v>2142</v>
      </c>
      <c r="C111" s="443" t="s">
        <v>2142</v>
      </c>
      <c r="D111" s="445" t="s">
        <v>2143</v>
      </c>
      <c r="E111" s="446">
        <v>46038</v>
      </c>
      <c r="F111" s="445" t="s">
        <v>1931</v>
      </c>
      <c r="G111" s="445" t="s">
        <v>194</v>
      </c>
      <c r="H111" s="445" t="s">
        <v>2210</v>
      </c>
      <c r="I111" s="445" t="s">
        <v>1927</v>
      </c>
      <c r="J111" s="449">
        <v>0.2</v>
      </c>
      <c r="K111" s="445">
        <v>0</v>
      </c>
      <c r="L111" s="450">
        <v>0</v>
      </c>
      <c r="M111" s="451">
        <v>0</v>
      </c>
      <c r="N111" s="445">
        <v>0</v>
      </c>
      <c r="O111" s="445">
        <v>3.1478252458207165E-2</v>
      </c>
      <c r="P111" s="448">
        <v>24.805842758912899</v>
      </c>
      <c r="Q111" s="447" t="s">
        <v>1953</v>
      </c>
    </row>
    <row r="112" spans="1:17">
      <c r="A112" s="442">
        <v>46037</v>
      </c>
      <c r="B112" s="443" t="s">
        <v>2145</v>
      </c>
      <c r="C112" s="444" t="s">
        <v>2145</v>
      </c>
      <c r="D112" s="445" t="s">
        <v>2143</v>
      </c>
      <c r="E112" s="446">
        <v>46038</v>
      </c>
      <c r="F112" s="445" t="s">
        <v>1931</v>
      </c>
      <c r="G112" s="445" t="s">
        <v>194</v>
      </c>
      <c r="H112" s="445" t="s">
        <v>2211</v>
      </c>
      <c r="I112" s="445" t="s">
        <v>1927</v>
      </c>
      <c r="J112" s="449">
        <v>1.52</v>
      </c>
      <c r="K112" s="445">
        <v>0</v>
      </c>
      <c r="L112" s="450">
        <v>0</v>
      </c>
      <c r="M112" s="451">
        <v>0</v>
      </c>
      <c r="N112" s="445">
        <v>0</v>
      </c>
      <c r="O112" s="445">
        <v>0.27003181270141102</v>
      </c>
      <c r="P112" s="448">
        <v>40.147098907901402</v>
      </c>
      <c r="Q112" s="447" t="s">
        <v>1953</v>
      </c>
    </row>
    <row r="113" spans="1:17">
      <c r="A113" s="442">
        <v>46037</v>
      </c>
      <c r="B113" s="443" t="s">
        <v>2146</v>
      </c>
      <c r="C113" s="443" t="s">
        <v>2146</v>
      </c>
      <c r="D113" s="445" t="s">
        <v>1954</v>
      </c>
      <c r="E113" s="446">
        <v>46073</v>
      </c>
      <c r="F113" s="445" t="s">
        <v>1926</v>
      </c>
      <c r="G113" s="445" t="s">
        <v>194</v>
      </c>
      <c r="H113" s="445" t="s">
        <v>2212</v>
      </c>
      <c r="I113" s="445" t="s">
        <v>1927</v>
      </c>
      <c r="J113" s="449">
        <v>0.02</v>
      </c>
      <c r="K113" s="445">
        <v>11.4</v>
      </c>
      <c r="L113" s="450">
        <v>0</v>
      </c>
      <c r="M113" s="451">
        <v>0</v>
      </c>
      <c r="N113" s="445">
        <v>0</v>
      </c>
      <c r="O113" s="445">
        <v>1.3385267823726934E-3</v>
      </c>
      <c r="P113" s="448">
        <v>31.7039852623904</v>
      </c>
      <c r="Q113" s="447" t="s">
        <v>1953</v>
      </c>
    </row>
    <row r="114" spans="1:17">
      <c r="A114" s="442">
        <v>46037</v>
      </c>
      <c r="B114" s="443" t="s">
        <v>2147</v>
      </c>
      <c r="C114" s="443" t="s">
        <v>2147</v>
      </c>
      <c r="D114" s="445" t="s">
        <v>1954</v>
      </c>
      <c r="E114" s="446">
        <v>46073</v>
      </c>
      <c r="F114" s="445" t="s">
        <v>1926</v>
      </c>
      <c r="G114" s="445" t="s">
        <v>194</v>
      </c>
      <c r="H114" s="445" t="s">
        <v>2213</v>
      </c>
      <c r="I114" s="445" t="s">
        <v>1927</v>
      </c>
      <c r="J114" s="449">
        <v>7.0000000000000007E-2</v>
      </c>
      <c r="K114" s="445">
        <v>12.6</v>
      </c>
      <c r="L114" s="450">
        <v>0</v>
      </c>
      <c r="M114" s="451">
        <v>0</v>
      </c>
      <c r="N114" s="445">
        <v>0</v>
      </c>
      <c r="O114" s="445">
        <v>1.2725029291833891E-2</v>
      </c>
      <c r="P114" s="448">
        <v>28.805607697378299</v>
      </c>
      <c r="Q114" s="447" t="s">
        <v>1953</v>
      </c>
    </row>
    <row r="115" spans="1:17">
      <c r="A115" s="442">
        <v>46037</v>
      </c>
      <c r="B115" s="443" t="s">
        <v>2148</v>
      </c>
      <c r="C115" s="443" t="s">
        <v>2148</v>
      </c>
      <c r="D115" s="445" t="s">
        <v>1954</v>
      </c>
      <c r="E115" s="446">
        <v>46073</v>
      </c>
      <c r="F115" s="445" t="s">
        <v>1926</v>
      </c>
      <c r="G115" s="445" t="s">
        <v>194</v>
      </c>
      <c r="H115" s="445" t="s">
        <v>2214</v>
      </c>
      <c r="I115" s="445" t="s">
        <v>1927</v>
      </c>
      <c r="J115" s="449">
        <v>0.28000000000000003</v>
      </c>
      <c r="K115" s="445">
        <v>13.39</v>
      </c>
      <c r="L115" s="450">
        <v>0</v>
      </c>
      <c r="M115" s="451">
        <v>0</v>
      </c>
      <c r="N115" s="445">
        <v>0</v>
      </c>
      <c r="O115" s="445">
        <v>5.324731892131656E-2</v>
      </c>
      <c r="P115" s="448">
        <v>27.127543330626597</v>
      </c>
      <c r="Q115" s="447" t="s">
        <v>1953</v>
      </c>
    </row>
    <row r="116" spans="1:17">
      <c r="A116" s="442">
        <v>46037</v>
      </c>
      <c r="B116" s="443" t="s">
        <v>2149</v>
      </c>
      <c r="C116" s="443" t="s">
        <v>2149</v>
      </c>
      <c r="D116" s="445" t="s">
        <v>2150</v>
      </c>
      <c r="E116" s="446">
        <v>46073</v>
      </c>
      <c r="F116" s="445" t="s">
        <v>1926</v>
      </c>
      <c r="G116" s="445" t="s">
        <v>194</v>
      </c>
      <c r="H116" s="445" t="s">
        <v>2215</v>
      </c>
      <c r="I116" s="445" t="s">
        <v>1927</v>
      </c>
      <c r="J116" s="449">
        <v>0.12</v>
      </c>
      <c r="K116" s="445">
        <v>11.92</v>
      </c>
      <c r="L116" s="450">
        <v>0</v>
      </c>
      <c r="M116" s="451">
        <v>0</v>
      </c>
      <c r="N116" s="445">
        <v>0</v>
      </c>
      <c r="O116" s="445">
        <v>2.2081877640040659E-2</v>
      </c>
      <c r="P116" s="448">
        <v>39.7571832582925</v>
      </c>
      <c r="Q116" s="447" t="s">
        <v>1953</v>
      </c>
    </row>
    <row r="117" spans="1:17">
      <c r="A117" s="442">
        <v>46037</v>
      </c>
      <c r="B117" s="443" t="s">
        <v>2151</v>
      </c>
      <c r="C117" s="443" t="s">
        <v>2151</v>
      </c>
      <c r="D117" s="445" t="s">
        <v>2150</v>
      </c>
      <c r="E117" s="446">
        <v>46073</v>
      </c>
      <c r="F117" s="445" t="s">
        <v>1926</v>
      </c>
      <c r="G117" s="445" t="s">
        <v>194</v>
      </c>
      <c r="H117" s="445" t="s">
        <v>2216</v>
      </c>
      <c r="I117" s="445" t="s">
        <v>1927</v>
      </c>
      <c r="J117" s="449">
        <v>0.34</v>
      </c>
      <c r="K117" s="445">
        <v>12.7</v>
      </c>
      <c r="L117" s="450">
        <v>0</v>
      </c>
      <c r="M117" s="451">
        <v>0</v>
      </c>
      <c r="N117" s="445">
        <v>0</v>
      </c>
      <c r="O117" s="445">
        <v>6.2729016623614048E-2</v>
      </c>
      <c r="P117" s="448">
        <v>37.173633268891699</v>
      </c>
      <c r="Q117" s="447" t="s">
        <v>1953</v>
      </c>
    </row>
    <row r="118" spans="1:17">
      <c r="A118" s="442">
        <v>46037</v>
      </c>
      <c r="B118" s="444" t="s">
        <v>2217</v>
      </c>
      <c r="C118" s="444" t="s">
        <v>2217</v>
      </c>
      <c r="D118" s="445" t="s">
        <v>2087</v>
      </c>
      <c r="E118" s="446">
        <v>46073</v>
      </c>
      <c r="F118" s="445" t="s">
        <v>1931</v>
      </c>
      <c r="G118" s="445" t="s">
        <v>194</v>
      </c>
      <c r="H118" s="445" t="s">
        <v>2218</v>
      </c>
      <c r="I118" s="445" t="s">
        <v>1927</v>
      </c>
      <c r="J118" s="449">
        <v>0.76</v>
      </c>
      <c r="K118" s="445">
        <v>0</v>
      </c>
      <c r="L118" s="450">
        <v>0</v>
      </c>
      <c r="M118" s="451">
        <v>0</v>
      </c>
      <c r="N118" s="445">
        <v>0</v>
      </c>
      <c r="O118" s="445">
        <v>0.12064517353801955</v>
      </c>
      <c r="P118" s="448">
        <v>24.118570688274598</v>
      </c>
      <c r="Q118" s="447" t="s">
        <v>1953</v>
      </c>
    </row>
    <row r="119" spans="1:17">
      <c r="A119" s="442">
        <v>46037</v>
      </c>
      <c r="B119" s="444" t="s">
        <v>2219</v>
      </c>
      <c r="C119" s="444" t="s">
        <v>2219</v>
      </c>
      <c r="D119" s="445" t="s">
        <v>2087</v>
      </c>
      <c r="E119" s="446">
        <v>46073</v>
      </c>
      <c r="F119" s="445" t="s">
        <v>1926</v>
      </c>
      <c r="G119" s="445" t="s">
        <v>194</v>
      </c>
      <c r="H119" s="445" t="s">
        <v>2220</v>
      </c>
      <c r="I119" s="445" t="s">
        <v>1927</v>
      </c>
      <c r="J119" s="449">
        <v>0.38</v>
      </c>
      <c r="K119" s="445">
        <v>46.62</v>
      </c>
      <c r="L119" s="450">
        <v>0</v>
      </c>
      <c r="M119" s="451">
        <v>0</v>
      </c>
      <c r="N119" s="445">
        <v>0</v>
      </c>
      <c r="O119" s="445">
        <v>5.0053264231713294E-2</v>
      </c>
      <c r="P119" s="448">
        <v>28.816596876256099</v>
      </c>
      <c r="Q119" s="447" t="s">
        <v>1953</v>
      </c>
    </row>
    <row r="120" spans="1:17">
      <c r="A120" s="442">
        <v>46037</v>
      </c>
      <c r="B120" s="444" t="s">
        <v>2221</v>
      </c>
      <c r="C120" s="444" t="s">
        <v>2221</v>
      </c>
      <c r="D120" s="445" t="s">
        <v>2087</v>
      </c>
      <c r="E120" s="446">
        <v>46073</v>
      </c>
      <c r="F120" s="445" t="s">
        <v>1926</v>
      </c>
      <c r="G120" s="445" t="s">
        <v>194</v>
      </c>
      <c r="H120" s="445" t="s">
        <v>2222</v>
      </c>
      <c r="I120" s="445" t="s">
        <v>1927</v>
      </c>
      <c r="J120" s="449">
        <v>1.01</v>
      </c>
      <c r="K120" s="445">
        <v>49.49</v>
      </c>
      <c r="L120" s="450">
        <v>0</v>
      </c>
      <c r="M120" s="451">
        <v>0</v>
      </c>
      <c r="N120" s="445">
        <v>0</v>
      </c>
      <c r="O120" s="445">
        <v>0.18541981335222152</v>
      </c>
      <c r="P120" s="448">
        <v>26.565497708644198</v>
      </c>
      <c r="Q120" s="447" t="s">
        <v>1953</v>
      </c>
    </row>
    <row r="121" spans="1:17">
      <c r="A121" s="442">
        <v>46037</v>
      </c>
      <c r="B121" s="443" t="s">
        <v>2223</v>
      </c>
      <c r="C121" s="443" t="s">
        <v>2223</v>
      </c>
      <c r="D121" s="445" t="s">
        <v>1952</v>
      </c>
      <c r="E121" s="446">
        <v>46101</v>
      </c>
      <c r="F121" s="445" t="s">
        <v>1931</v>
      </c>
      <c r="G121" s="445" t="s">
        <v>194</v>
      </c>
      <c r="H121" s="445" t="s">
        <v>2224</v>
      </c>
      <c r="I121" s="445" t="s">
        <v>1927</v>
      </c>
      <c r="J121" s="449">
        <v>0.82</v>
      </c>
      <c r="K121" s="445">
        <v>0</v>
      </c>
      <c r="L121" s="450">
        <v>0</v>
      </c>
      <c r="M121" s="451">
        <v>0</v>
      </c>
      <c r="N121" s="445">
        <v>0</v>
      </c>
      <c r="O121" s="445">
        <v>1.4115714771864902E-2</v>
      </c>
      <c r="P121" s="448">
        <v>26.882683866381402</v>
      </c>
      <c r="Q121" s="447" t="s">
        <v>1953</v>
      </c>
    </row>
    <row r="122" spans="1:17">
      <c r="A122" s="442">
        <v>46037</v>
      </c>
      <c r="B122" s="443" t="s">
        <v>2225</v>
      </c>
      <c r="C122" s="443" t="s">
        <v>2225</v>
      </c>
      <c r="D122" s="445" t="s">
        <v>1952</v>
      </c>
      <c r="E122" s="446">
        <v>46101</v>
      </c>
      <c r="F122" s="445" t="s">
        <v>1926</v>
      </c>
      <c r="G122" s="445" t="s">
        <v>194</v>
      </c>
      <c r="H122" s="445" t="s">
        <v>2226</v>
      </c>
      <c r="I122" s="445" t="s">
        <v>1927</v>
      </c>
      <c r="J122" s="449">
        <v>1.18</v>
      </c>
      <c r="K122" s="445">
        <v>20.13</v>
      </c>
      <c r="L122" s="450">
        <v>0</v>
      </c>
      <c r="M122" s="451">
        <v>0</v>
      </c>
      <c r="N122" s="445">
        <v>0</v>
      </c>
      <c r="O122" s="445">
        <v>0.19014183836966705</v>
      </c>
      <c r="P122" s="448">
        <v>30.714394291564499</v>
      </c>
      <c r="Q122" s="447" t="s">
        <v>1953</v>
      </c>
    </row>
    <row r="123" spans="1:17">
      <c r="A123" s="442">
        <v>46037</v>
      </c>
      <c r="B123" s="443" t="s">
        <v>2227</v>
      </c>
      <c r="C123" s="443" t="s">
        <v>2227</v>
      </c>
      <c r="D123" s="445" t="s">
        <v>1952</v>
      </c>
      <c r="E123" s="446">
        <v>46101</v>
      </c>
      <c r="F123" s="445" t="s">
        <v>1926</v>
      </c>
      <c r="G123" s="445" t="s">
        <v>194</v>
      </c>
      <c r="H123" s="445" t="s">
        <v>2228</v>
      </c>
      <c r="I123" s="445" t="s">
        <v>1927</v>
      </c>
      <c r="J123" s="449">
        <v>1.26</v>
      </c>
      <c r="K123" s="445">
        <v>22.049999999999997</v>
      </c>
      <c r="L123" s="450">
        <v>0</v>
      </c>
      <c r="M123" s="451">
        <v>0</v>
      </c>
      <c r="N123" s="445">
        <v>0</v>
      </c>
      <c r="O123" s="445">
        <v>0.4143551814005792</v>
      </c>
      <c r="P123" s="448">
        <v>28.624307012608501</v>
      </c>
      <c r="Q123" s="447" t="s">
        <v>1953</v>
      </c>
    </row>
    <row r="124" spans="1:17">
      <c r="A124" s="442">
        <v>46037</v>
      </c>
      <c r="B124" s="443" t="s">
        <v>2229</v>
      </c>
      <c r="C124" s="443" t="s">
        <v>2229</v>
      </c>
      <c r="D124" s="445" t="s">
        <v>2230</v>
      </c>
      <c r="E124" s="446">
        <v>46073</v>
      </c>
      <c r="F124" s="445" t="s">
        <v>1931</v>
      </c>
      <c r="G124" s="445" t="s">
        <v>194</v>
      </c>
      <c r="H124" s="445" t="s">
        <v>2231</v>
      </c>
      <c r="I124" s="445" t="s">
        <v>1927</v>
      </c>
      <c r="J124" s="449">
        <v>4.5599999999999996</v>
      </c>
      <c r="K124" s="445">
        <v>0</v>
      </c>
      <c r="L124" s="450">
        <v>0</v>
      </c>
      <c r="M124" s="451">
        <v>0</v>
      </c>
      <c r="N124" s="445">
        <v>0</v>
      </c>
      <c r="O124" s="445">
        <v>0.89749048728360503</v>
      </c>
      <c r="P124" s="448">
        <v>24.538374791829199</v>
      </c>
      <c r="Q124" s="447" t="s">
        <v>1953</v>
      </c>
    </row>
    <row r="125" spans="1:17">
      <c r="A125" s="442">
        <v>46037</v>
      </c>
      <c r="B125" s="443" t="s">
        <v>2232</v>
      </c>
      <c r="C125" s="443" t="s">
        <v>2232</v>
      </c>
      <c r="D125" s="445" t="s">
        <v>2230</v>
      </c>
      <c r="E125" s="446">
        <v>46073</v>
      </c>
      <c r="F125" s="445" t="s">
        <v>1931</v>
      </c>
      <c r="G125" s="445" t="s">
        <v>194</v>
      </c>
      <c r="H125" s="445" t="s">
        <v>2233</v>
      </c>
      <c r="I125" s="445" t="s">
        <v>1927</v>
      </c>
      <c r="J125" s="449">
        <v>1.75</v>
      </c>
      <c r="K125" s="445">
        <v>0</v>
      </c>
      <c r="L125" s="450">
        <v>0</v>
      </c>
      <c r="M125" s="451">
        <v>0</v>
      </c>
      <c r="N125" s="445">
        <v>0</v>
      </c>
      <c r="O125" s="445">
        <v>0.35144282712129604</v>
      </c>
      <c r="P125" s="448">
        <v>23.9868970856331</v>
      </c>
      <c r="Q125" s="447" t="s">
        <v>1953</v>
      </c>
    </row>
    <row r="126" spans="1:17">
      <c r="A126" s="442">
        <v>46037</v>
      </c>
      <c r="B126" s="454" t="s">
        <v>2247</v>
      </c>
      <c r="C126" s="454" t="s">
        <v>2247</v>
      </c>
      <c r="D126" s="445" t="s">
        <v>1954</v>
      </c>
      <c r="E126" s="446">
        <v>46073</v>
      </c>
      <c r="F126" s="445" t="s">
        <v>1931</v>
      </c>
      <c r="G126" s="445" t="s">
        <v>194</v>
      </c>
      <c r="H126" s="445" t="s">
        <v>2248</v>
      </c>
      <c r="I126" s="445" t="s">
        <v>1927</v>
      </c>
      <c r="J126" s="449">
        <v>0.18</v>
      </c>
      <c r="K126" s="445">
        <v>0</v>
      </c>
      <c r="L126" s="450">
        <v>0</v>
      </c>
      <c r="M126" s="451">
        <v>0</v>
      </c>
      <c r="N126" s="445">
        <v>0</v>
      </c>
      <c r="O126" s="445">
        <v>3.4392211836535111E-2</v>
      </c>
      <c r="P126" s="448">
        <v>28.074113674128</v>
      </c>
      <c r="Q126" s="447" t="s">
        <v>1953</v>
      </c>
    </row>
    <row r="127" spans="1:17">
      <c r="A127" s="442">
        <v>46037</v>
      </c>
      <c r="B127" s="454" t="s">
        <v>2249</v>
      </c>
      <c r="C127" s="454" t="s">
        <v>2249</v>
      </c>
      <c r="D127" s="445" t="s">
        <v>2015</v>
      </c>
      <c r="E127" s="446">
        <v>46071</v>
      </c>
      <c r="F127" s="445" t="s">
        <v>1926</v>
      </c>
      <c r="G127" s="445" t="s">
        <v>194</v>
      </c>
      <c r="H127" s="445" t="s">
        <v>2250</v>
      </c>
      <c r="I127" s="445" t="s">
        <v>1927</v>
      </c>
      <c r="J127" s="449">
        <v>820</v>
      </c>
      <c r="K127" s="445">
        <v>160180</v>
      </c>
      <c r="L127" s="450">
        <v>0</v>
      </c>
      <c r="M127" s="451">
        <v>0</v>
      </c>
      <c r="N127" s="445">
        <v>0</v>
      </c>
      <c r="O127" s="445">
        <v>147.76767723222446</v>
      </c>
      <c r="P127" s="448">
        <v>15.350922798936001</v>
      </c>
      <c r="Q127" s="447" t="s">
        <v>1953</v>
      </c>
    </row>
    <row r="128" spans="1:17">
      <c r="A128" s="442">
        <v>46037</v>
      </c>
      <c r="B128" s="454" t="s">
        <v>2251</v>
      </c>
      <c r="C128" s="454" t="s">
        <v>2251</v>
      </c>
      <c r="D128" s="445" t="s">
        <v>2104</v>
      </c>
      <c r="E128" s="446">
        <v>46073</v>
      </c>
      <c r="F128" s="445" t="s">
        <v>1926</v>
      </c>
      <c r="G128" s="445" t="s">
        <v>194</v>
      </c>
      <c r="H128" s="445" t="s">
        <v>2252</v>
      </c>
      <c r="I128" s="445" t="s">
        <v>1927</v>
      </c>
      <c r="J128" s="449">
        <v>0.79</v>
      </c>
      <c r="K128" s="445">
        <v>107.21</v>
      </c>
      <c r="L128" s="450">
        <v>0</v>
      </c>
      <c r="M128" s="451">
        <v>0</v>
      </c>
      <c r="N128" s="445">
        <v>0</v>
      </c>
      <c r="O128" s="445">
        <v>0.17243465306075081</v>
      </c>
      <c r="P128" s="448">
        <v>24.4332463526185</v>
      </c>
      <c r="Q128" s="447" t="s">
        <v>1953</v>
      </c>
    </row>
    <row r="129" spans="1:17">
      <c r="A129" s="442">
        <v>46037</v>
      </c>
      <c r="B129" s="454" t="s">
        <v>2253</v>
      </c>
      <c r="C129" s="454" t="s">
        <v>2253</v>
      </c>
      <c r="D129" s="445" t="s">
        <v>2104</v>
      </c>
      <c r="E129" s="446">
        <v>46073</v>
      </c>
      <c r="F129" s="445" t="s">
        <v>1926</v>
      </c>
      <c r="G129" s="445" t="s">
        <v>194</v>
      </c>
      <c r="H129" s="445" t="s">
        <v>2254</v>
      </c>
      <c r="I129" s="445" t="s">
        <v>1927</v>
      </c>
      <c r="J129" s="449">
        <v>1.99</v>
      </c>
      <c r="K129" s="445">
        <v>111.01</v>
      </c>
      <c r="L129" s="450">
        <v>0</v>
      </c>
      <c r="M129" s="451">
        <v>0</v>
      </c>
      <c r="N129" s="445">
        <v>0</v>
      </c>
      <c r="O129" s="445">
        <v>0.39665046573239326</v>
      </c>
      <c r="P129" s="448">
        <v>21.975721512021099</v>
      </c>
      <c r="Q129" s="447" t="s">
        <v>1953</v>
      </c>
    </row>
    <row r="130" spans="1:17">
      <c r="A130" s="442">
        <v>46037</v>
      </c>
      <c r="B130" s="443" t="s">
        <v>2271</v>
      </c>
      <c r="C130" s="443" t="s">
        <v>2271</v>
      </c>
      <c r="D130" s="445" t="s">
        <v>2104</v>
      </c>
      <c r="E130" s="446">
        <v>46073</v>
      </c>
      <c r="F130" s="445" t="s">
        <v>1926</v>
      </c>
      <c r="G130" s="445" t="s">
        <v>194</v>
      </c>
      <c r="H130" s="445" t="s">
        <v>2272</v>
      </c>
      <c r="I130" s="445" t="s">
        <v>1927</v>
      </c>
      <c r="J130" s="449">
        <v>2.36</v>
      </c>
      <c r="K130" s="445">
        <v>111.64</v>
      </c>
      <c r="L130" s="450">
        <v>0</v>
      </c>
      <c r="M130" s="451">
        <v>0</v>
      </c>
      <c r="N130" s="445">
        <v>0</v>
      </c>
      <c r="O130" s="445">
        <v>0.46739547790647695</v>
      </c>
      <c r="P130" s="448">
        <v>21.630639012963201</v>
      </c>
      <c r="Q130" s="447" t="s">
        <v>1953</v>
      </c>
    </row>
    <row r="131" spans="1:17">
      <c r="A131" s="442">
        <v>46037</v>
      </c>
      <c r="B131" s="443" t="s">
        <v>2273</v>
      </c>
      <c r="C131" s="443" t="s">
        <v>2273</v>
      </c>
      <c r="D131" s="445" t="s">
        <v>2274</v>
      </c>
      <c r="E131" s="446">
        <v>46073</v>
      </c>
      <c r="F131" s="445" t="s">
        <v>1931</v>
      </c>
      <c r="G131" s="445" t="s">
        <v>194</v>
      </c>
      <c r="H131" s="445" t="s">
        <v>2275</v>
      </c>
      <c r="I131" s="445" t="s">
        <v>1927</v>
      </c>
      <c r="J131" s="449">
        <v>0.6</v>
      </c>
      <c r="K131" s="445">
        <v>0</v>
      </c>
      <c r="L131" s="450">
        <v>0</v>
      </c>
      <c r="M131" s="451">
        <v>0</v>
      </c>
      <c r="N131" s="445">
        <v>0</v>
      </c>
      <c r="O131" s="445">
        <v>4.9923308269209099E-2</v>
      </c>
      <c r="P131" s="448">
        <v>30.116133810142003</v>
      </c>
      <c r="Q131" s="447" t="s">
        <v>1953</v>
      </c>
    </row>
    <row r="132" spans="1:17">
      <c r="A132" s="442">
        <v>46037</v>
      </c>
      <c r="B132" s="443" t="s">
        <v>2276</v>
      </c>
      <c r="C132" s="443" t="s">
        <v>2276</v>
      </c>
      <c r="D132" s="445" t="s">
        <v>2274</v>
      </c>
      <c r="E132" s="446">
        <v>46073</v>
      </c>
      <c r="F132" s="445" t="s">
        <v>1926</v>
      </c>
      <c r="G132" s="445" t="s">
        <v>194</v>
      </c>
      <c r="H132" s="445" t="s">
        <v>2277</v>
      </c>
      <c r="I132" s="445" t="s">
        <v>1927</v>
      </c>
      <c r="J132" s="449">
        <v>0.38</v>
      </c>
      <c r="K132" s="445">
        <v>25.51</v>
      </c>
      <c r="L132" s="450">
        <v>0</v>
      </c>
      <c r="M132" s="451">
        <v>0</v>
      </c>
      <c r="N132" s="445">
        <v>0</v>
      </c>
      <c r="O132" s="445">
        <v>8.4467256911697292E-2</v>
      </c>
      <c r="P132" s="448">
        <v>34.926213645091096</v>
      </c>
      <c r="Q132" s="447" t="s">
        <v>1953</v>
      </c>
    </row>
    <row r="133" spans="1:17">
      <c r="A133" s="442">
        <v>46037</v>
      </c>
      <c r="B133" s="443" t="s">
        <v>2278</v>
      </c>
      <c r="C133" s="443" t="s">
        <v>2278</v>
      </c>
      <c r="D133" s="445" t="s">
        <v>2274</v>
      </c>
      <c r="E133" s="446">
        <v>46073</v>
      </c>
      <c r="F133" s="445" t="s">
        <v>1926</v>
      </c>
      <c r="G133" s="445" t="s">
        <v>194</v>
      </c>
      <c r="H133" s="445" t="s">
        <v>2279</v>
      </c>
      <c r="I133" s="445" t="s">
        <v>1927</v>
      </c>
      <c r="J133" s="449">
        <v>1.1399999999999999</v>
      </c>
      <c r="K133" s="445">
        <v>27</v>
      </c>
      <c r="L133" s="450">
        <v>0</v>
      </c>
      <c r="M133" s="451">
        <v>0</v>
      </c>
      <c r="N133" s="445">
        <v>0</v>
      </c>
      <c r="O133" s="445">
        <v>0.24434724220007711</v>
      </c>
      <c r="P133" s="448">
        <v>32.247365967863203</v>
      </c>
      <c r="Q133" s="447" t="s">
        <v>1953</v>
      </c>
    </row>
  </sheetData>
  <conditionalFormatting sqref="B68:B104">
    <cfRule type="duplicateValues" dxfId="44" priority="40" stopIfTrue="1"/>
    <cfRule type="duplicateValues" dxfId="43" priority="41"/>
  </conditionalFormatting>
  <conditionalFormatting sqref="B75:B77">
    <cfRule type="duplicateValues" dxfId="42" priority="34"/>
  </conditionalFormatting>
  <conditionalFormatting sqref="B118:B120">
    <cfRule type="duplicateValues" dxfId="41" priority="12"/>
  </conditionalFormatting>
  <conditionalFormatting sqref="B121:B125 B1 B130:B133 B53:B117">
    <cfRule type="duplicateValues" dxfId="40" priority="29" stopIfTrue="1"/>
    <cfRule type="duplicateValues" dxfId="39" priority="30"/>
  </conditionalFormatting>
  <conditionalFormatting sqref="B121:B125 B1:B17 B130:B133 B53:B117">
    <cfRule type="duplicateValues" dxfId="38" priority="31"/>
  </conditionalFormatting>
  <conditionalFormatting sqref="B121:B125 B130:B133 B1:B117">
    <cfRule type="duplicateValues" dxfId="37" priority="25"/>
  </conditionalFormatting>
  <conditionalFormatting sqref="C2:C104">
    <cfRule type="duplicateValues" dxfId="36" priority="44"/>
  </conditionalFormatting>
  <conditionalFormatting sqref="C6:C67">
    <cfRule type="duplicateValues" dxfId="35" priority="37"/>
  </conditionalFormatting>
  <conditionalFormatting sqref="C68:C104">
    <cfRule type="duplicateValues" dxfId="34" priority="42" stopIfTrue="1"/>
    <cfRule type="duplicateValues" dxfId="33" priority="43"/>
  </conditionalFormatting>
  <conditionalFormatting sqref="C78:C80">
    <cfRule type="duplicateValues" dxfId="32" priority="27" stopIfTrue="1"/>
    <cfRule type="duplicateValues" dxfId="31" priority="28"/>
  </conditionalFormatting>
  <conditionalFormatting sqref="C81:C85">
    <cfRule type="duplicateValues" dxfId="30" priority="32" stopIfTrue="1"/>
    <cfRule type="duplicateValues" dxfId="29" priority="33"/>
  </conditionalFormatting>
  <conditionalFormatting sqref="C86:C92">
    <cfRule type="duplicateValues" dxfId="28" priority="38"/>
    <cfRule type="duplicateValues" dxfId="27" priority="39" stopIfTrue="1"/>
  </conditionalFormatting>
  <conditionalFormatting sqref="C93:C94">
    <cfRule type="duplicateValues" dxfId="26" priority="21"/>
    <cfRule type="duplicateValues" dxfId="25" priority="22" stopIfTrue="1"/>
    <cfRule type="duplicateValues" dxfId="24" priority="23"/>
    <cfRule type="duplicateValues" dxfId="23" priority="24"/>
  </conditionalFormatting>
  <conditionalFormatting sqref="C105:C107">
    <cfRule type="duplicateValues" dxfId="22" priority="35"/>
    <cfRule type="duplicateValues" dxfId="21" priority="36" stopIfTrue="1"/>
  </conditionalFormatting>
  <conditionalFormatting sqref="C108:C111">
    <cfRule type="duplicateValues" dxfId="20" priority="17"/>
    <cfRule type="duplicateValues" dxfId="19" priority="18" stopIfTrue="1"/>
    <cfRule type="duplicateValues" dxfId="18" priority="19"/>
    <cfRule type="duplicateValues" dxfId="17" priority="20"/>
  </conditionalFormatting>
  <conditionalFormatting sqref="C112 C118:C120 C1:C104">
    <cfRule type="duplicateValues" dxfId="16" priority="26"/>
  </conditionalFormatting>
  <conditionalFormatting sqref="C113:C117">
    <cfRule type="duplicateValues" dxfId="15" priority="13"/>
    <cfRule type="duplicateValues" dxfId="14" priority="14" stopIfTrue="1"/>
    <cfRule type="duplicateValues" dxfId="13" priority="15"/>
    <cfRule type="duplicateValues" dxfId="12" priority="16"/>
  </conditionalFormatting>
  <conditionalFormatting sqref="C121:C125">
    <cfRule type="duplicateValues" dxfId="11" priority="8"/>
    <cfRule type="duplicateValues" dxfId="10" priority="9" stopIfTrue="1"/>
    <cfRule type="duplicateValues" dxfId="9" priority="10"/>
    <cfRule type="duplicateValues" dxfId="8" priority="11"/>
  </conditionalFormatting>
  <conditionalFormatting sqref="C130:C133">
    <cfRule type="duplicateValues" dxfId="7" priority="3"/>
    <cfRule type="duplicateValues" dxfId="6" priority="4" stopIfTrue="1"/>
    <cfRule type="duplicateValues" dxfId="5" priority="5"/>
    <cfRule type="duplicateValues" dxfId="4" priority="6"/>
  </conditionalFormatting>
  <conditionalFormatting sqref="L1:M133">
    <cfRule type="cellIs" dxfId="3" priority="7" operator="equal">
      <formula>0</formula>
    </cfRule>
  </conditionalFormatting>
  <conditionalFormatting sqref="T2:T3">
    <cfRule type="cellIs" dxfId="2" priority="2" operator="equal">
      <formula>0</formula>
    </cfRule>
  </conditionalFormatting>
  <conditionalFormatting sqref="W2:W3">
    <cfRule type="cellIs" dxfId="1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6</vt:i4>
      </vt:variant>
    </vt:vector>
  </HeadingPairs>
  <TitlesOfParts>
    <vt:vector size="25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Check</vt:lpstr>
      <vt:lpstr>Input_APM</vt:lpstr>
      <vt:lpstr>Input_APM (Zenith)</vt:lpstr>
      <vt:lpstr>Check (Zenith)</vt:lpstr>
      <vt:lpstr>Auxiliar</vt:lpstr>
      <vt:lpstr>CDS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2026-01-23T15:39:40Z</dcterms:modified>
  <cp:category/>
  <cp:contentStatus/>
</cp:coreProperties>
</file>